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1840" windowHeight="12435" tabRatio="722"/>
  </bookViews>
  <sheets>
    <sheet name="TiRAY" sheetId="7" r:id="rId1"/>
    <sheet name="TiLOW+TiRAY" sheetId="3" r:id="rId2"/>
    <sheet name="TiLOW" sheetId="2" r:id="rId3"/>
    <sheet name="TiRAY+TiLOW+TiRAY" sheetId="4" r:id="rId4"/>
  </sheets>
  <definedNames>
    <definedName name="_xlnm._FilterDatabase" localSheetId="2" hidden="1">TiLOW!#REF!</definedName>
    <definedName name="_xlnm._FilterDatabase" localSheetId="0" hidden="1">TiRAY!#REF!</definedName>
  </definedNames>
  <calcPr calcId="145621"/>
</workbook>
</file>

<file path=xl/calcChain.xml><?xml version="1.0" encoding="utf-8"?>
<calcChain xmlns="http://schemas.openxmlformats.org/spreadsheetml/2006/main">
  <c r="K93" i="4" l="1"/>
  <c r="J93" i="4"/>
  <c r="I93" i="4"/>
  <c r="K84" i="2"/>
  <c r="J84" i="2"/>
  <c r="I84" i="2"/>
  <c r="K97" i="3"/>
  <c r="J97" i="3"/>
  <c r="I97" i="3"/>
  <c r="K84" i="7" l="1"/>
  <c r="J84" i="7"/>
  <c r="I84" i="7"/>
  <c r="BN131" i="4" l="1"/>
  <c r="BM132" i="4"/>
  <c r="BM133" i="4" s="1"/>
  <c r="BM134" i="4" s="1"/>
  <c r="BM135" i="4" s="1"/>
  <c r="BM136" i="4" s="1"/>
  <c r="BM137" i="4" s="1"/>
  <c r="BM138" i="4" s="1"/>
  <c r="BM139" i="4" s="1"/>
  <c r="BM140" i="4" s="1"/>
  <c r="BM141" i="4" s="1"/>
  <c r="BM142" i="4" s="1"/>
  <c r="BM143" i="4" s="1"/>
  <c r="BM144" i="4" s="1"/>
  <c r="BM145" i="4" s="1"/>
  <c r="BM146" i="4" s="1"/>
  <c r="BM147" i="4" s="1"/>
  <c r="BM148" i="4" s="1"/>
  <c r="BM149" i="4" s="1"/>
  <c r="BM150" i="4" s="1"/>
  <c r="BM151" i="4" s="1"/>
  <c r="BM152" i="4" s="1"/>
  <c r="BM153" i="4" s="1"/>
  <c r="BM154" i="4" s="1"/>
  <c r="BM155" i="4" s="1"/>
  <c r="BM156" i="4" s="1"/>
  <c r="BM157" i="4" s="1"/>
  <c r="BM158" i="4" s="1"/>
  <c r="BM159" i="4" s="1"/>
  <c r="BM160" i="4" s="1"/>
  <c r="BM161" i="4" s="1"/>
  <c r="BM162" i="4" s="1"/>
  <c r="BM163" i="4" s="1"/>
  <c r="BM164" i="4" s="1"/>
  <c r="BM165" i="4" s="1"/>
  <c r="BM166" i="4" s="1"/>
  <c r="BM167" i="4" s="1"/>
  <c r="BM168" i="4" s="1"/>
  <c r="BM169" i="4" s="1"/>
  <c r="BM170" i="4" s="1"/>
  <c r="BM171" i="4" s="1"/>
  <c r="BM172" i="4" s="1"/>
  <c r="BM173" i="4" s="1"/>
  <c r="D10" i="4"/>
  <c r="F8" i="4"/>
  <c r="E8" i="4"/>
  <c r="D8" i="4"/>
  <c r="AT93" i="2"/>
  <c r="AS94" i="2"/>
  <c r="AS95" i="2" s="1"/>
  <c r="AS96" i="2" s="1"/>
  <c r="AS97" i="2" s="1"/>
  <c r="AS98" i="2" s="1"/>
  <c r="AS99" i="2" s="1"/>
  <c r="AS100" i="2" s="1"/>
  <c r="AS101" i="2" s="1"/>
  <c r="AS102" i="2" s="1"/>
  <c r="AS103" i="2" s="1"/>
  <c r="AS104" i="2" s="1"/>
  <c r="AS105" i="2" s="1"/>
  <c r="AS106" i="2" s="1"/>
  <c r="AS107" i="2" s="1"/>
  <c r="AS108" i="2" s="1"/>
  <c r="AS109" i="2" s="1"/>
  <c r="AS110" i="2" s="1"/>
  <c r="AS111" i="2" s="1"/>
  <c r="AS112" i="2" s="1"/>
  <c r="AS113" i="2" s="1"/>
  <c r="AS114" i="2" s="1"/>
  <c r="AS115" i="2" s="1"/>
  <c r="AS116" i="2" s="1"/>
  <c r="AS117" i="2" s="1"/>
  <c r="AS118" i="2" s="1"/>
  <c r="AS119" i="2" s="1"/>
  <c r="AS120" i="2" s="1"/>
  <c r="AS121" i="2" s="1"/>
  <c r="AS122" i="2" s="1"/>
  <c r="AS123" i="2" s="1"/>
  <c r="AS124" i="2" s="1"/>
  <c r="AS125" i="2" s="1"/>
  <c r="AS126" i="2" s="1"/>
  <c r="AS127" i="2" s="1"/>
  <c r="AS128" i="2" s="1"/>
  <c r="AS129" i="2" s="1"/>
  <c r="AS130" i="2" s="1"/>
  <c r="AS131" i="2" s="1"/>
  <c r="AS132" i="2" s="1"/>
  <c r="AS133" i="2" s="1"/>
  <c r="AS134" i="2" s="1"/>
  <c r="AS135" i="2" s="1"/>
  <c r="E18" i="2"/>
  <c r="G16" i="2"/>
  <c r="F16" i="2"/>
  <c r="E16" i="2"/>
  <c r="BN132" i="4" l="1"/>
  <c r="AT94" i="2"/>
  <c r="AT95" i="2" s="1"/>
  <c r="BM108" i="3"/>
  <c r="BL109" i="3"/>
  <c r="BL110" i="3" s="1"/>
  <c r="BL111" i="3" s="1"/>
  <c r="BL112" i="3" s="1"/>
  <c r="BL113" i="3" s="1"/>
  <c r="BL114" i="3" s="1"/>
  <c r="BL115" i="3" s="1"/>
  <c r="BL116" i="3" s="1"/>
  <c r="BL117" i="3" s="1"/>
  <c r="BL118" i="3" s="1"/>
  <c r="BL119" i="3" s="1"/>
  <c r="BL120" i="3" s="1"/>
  <c r="BL121" i="3" s="1"/>
  <c r="BL122" i="3" s="1"/>
  <c r="BL123" i="3" s="1"/>
  <c r="BL124" i="3" s="1"/>
  <c r="BL125" i="3" s="1"/>
  <c r="BL126" i="3" s="1"/>
  <c r="BL127" i="3" s="1"/>
  <c r="BL128" i="3" s="1"/>
  <c r="BL129" i="3" s="1"/>
  <c r="BL130" i="3" s="1"/>
  <c r="BL131" i="3" s="1"/>
  <c r="BL132" i="3" s="1"/>
  <c r="BL133" i="3" s="1"/>
  <c r="BL134" i="3" s="1"/>
  <c r="BL135" i="3" s="1"/>
  <c r="BL136" i="3" s="1"/>
  <c r="BL137" i="3" s="1"/>
  <c r="BL138" i="3" s="1"/>
  <c r="BL139" i="3" s="1"/>
  <c r="BL140" i="3" s="1"/>
  <c r="BL141" i="3" s="1"/>
  <c r="BL142" i="3" s="1"/>
  <c r="BL143" i="3" s="1"/>
  <c r="BL144" i="3" s="1"/>
  <c r="BL145" i="3" s="1"/>
  <c r="BL146" i="3" s="1"/>
  <c r="BL147" i="3" s="1"/>
  <c r="BL148" i="3" s="1"/>
  <c r="BL149" i="3" s="1"/>
  <c r="BL150" i="3" s="1"/>
  <c r="D16" i="3"/>
  <c r="F14" i="3"/>
  <c r="E14" i="3"/>
  <c r="D14" i="3"/>
  <c r="BN133" i="4" l="1"/>
  <c r="AT96" i="2"/>
  <c r="BM109" i="3"/>
  <c r="BM110" i="3" s="1"/>
  <c r="BA105" i="7"/>
  <c r="BN134" i="4" l="1"/>
  <c r="AT97" i="2"/>
  <c r="BM111" i="3"/>
  <c r="E20" i="7"/>
  <c r="G18" i="7"/>
  <c r="F18" i="7"/>
  <c r="BA106" i="7" s="1"/>
  <c r="E18" i="7"/>
  <c r="BN135" i="4" l="1"/>
  <c r="AT98" i="2"/>
  <c r="BM112" i="3"/>
  <c r="BA107" i="7"/>
  <c r="I98" i="2"/>
  <c r="BN136" i="4" l="1"/>
  <c r="AT99" i="2"/>
  <c r="BM113" i="3"/>
  <c r="BA108" i="7"/>
  <c r="CR71" i="4"/>
  <c r="CQ71" i="4"/>
  <c r="CN71" i="4"/>
  <c r="CW47" i="4"/>
  <c r="CW49" i="4" s="1"/>
  <c r="CU47" i="4"/>
  <c r="CU49" i="4" s="1"/>
  <c r="CS47" i="4"/>
  <c r="CS49" i="4" s="1"/>
  <c r="CR47" i="4"/>
  <c r="CR49" i="4" s="1"/>
  <c r="CQ47" i="4"/>
  <c r="CQ49" i="4" s="1"/>
  <c r="CO47" i="4"/>
  <c r="CO49" i="4" s="1"/>
  <c r="CM47" i="4"/>
  <c r="CM49" i="4" s="1"/>
  <c r="CK47" i="4"/>
  <c r="CK49" i="4" s="1"/>
  <c r="AX210" i="4"/>
  <c r="AX209" i="4"/>
  <c r="AX208" i="4"/>
  <c r="AX207" i="4"/>
  <c r="AX206" i="4"/>
  <c r="AX205" i="4"/>
  <c r="AX204" i="4"/>
  <c r="AX203" i="4"/>
  <c r="AX202" i="4"/>
  <c r="AX201" i="4"/>
  <c r="AX200" i="4"/>
  <c r="AX199" i="4"/>
  <c r="AX198" i="4"/>
  <c r="AX197" i="4"/>
  <c r="AX196" i="4"/>
  <c r="AX195" i="4"/>
  <c r="AX194" i="4"/>
  <c r="AX193" i="4"/>
  <c r="AX192" i="4"/>
  <c r="AX191" i="4"/>
  <c r="AX190" i="4"/>
  <c r="AX189" i="4"/>
  <c r="AX188" i="4"/>
  <c r="AX187" i="4"/>
  <c r="AX177" i="4"/>
  <c r="AX176" i="4"/>
  <c r="AX175" i="4"/>
  <c r="AX174" i="4"/>
  <c r="AX173" i="4"/>
  <c r="AX172" i="4"/>
  <c r="AX171" i="4"/>
  <c r="AX170" i="4"/>
  <c r="AX169" i="4"/>
  <c r="AX168" i="4"/>
  <c r="AX167" i="4"/>
  <c r="AX166" i="4"/>
  <c r="AX156" i="4"/>
  <c r="AX155" i="4"/>
  <c r="AX154" i="4"/>
  <c r="AX153" i="4"/>
  <c r="AX152" i="4"/>
  <c r="AX151" i="4"/>
  <c r="AX150" i="4"/>
  <c r="AX149" i="4"/>
  <c r="AX148" i="4"/>
  <c r="AX147" i="4"/>
  <c r="AX146" i="4"/>
  <c r="AX145" i="4"/>
  <c r="AX144" i="4"/>
  <c r="AX143" i="4"/>
  <c r="AX142" i="4"/>
  <c r="AX141" i="4"/>
  <c r="AX140" i="4"/>
  <c r="AX139" i="4"/>
  <c r="AX138" i="4"/>
  <c r="AX137" i="4"/>
  <c r="AX136" i="4"/>
  <c r="AX135" i="4"/>
  <c r="AX134" i="4"/>
  <c r="AX133" i="4"/>
  <c r="C21" i="4"/>
  <c r="C18" i="4"/>
  <c r="BN137" i="4" l="1"/>
  <c r="AT100" i="2"/>
  <c r="BM114" i="3"/>
  <c r="BA109" i="7"/>
  <c r="AY155" i="4"/>
  <c r="AY142" i="4"/>
  <c r="AY146" i="4"/>
  <c r="C14" i="4"/>
  <c r="AY135" i="4"/>
  <c r="AY147" i="4"/>
  <c r="AY138" i="4"/>
  <c r="AY151" i="4"/>
  <c r="AY136" i="4"/>
  <c r="AY140" i="4"/>
  <c r="AY144" i="4"/>
  <c r="AY148" i="4"/>
  <c r="AY152" i="4"/>
  <c r="AY156" i="4"/>
  <c r="AY139" i="4"/>
  <c r="AY154" i="4"/>
  <c r="AY150" i="4"/>
  <c r="AY133" i="4"/>
  <c r="AY137" i="4"/>
  <c r="AY141" i="4"/>
  <c r="AY145" i="4"/>
  <c r="AY149" i="4"/>
  <c r="AY153" i="4"/>
  <c r="AY134" i="4"/>
  <c r="AY143" i="4"/>
  <c r="D22" i="2"/>
  <c r="D24" i="7"/>
  <c r="BW69" i="2"/>
  <c r="BV69" i="2"/>
  <c r="BS69" i="2"/>
  <c r="CB46" i="2"/>
  <c r="CB47" i="2" s="1"/>
  <c r="BZ46" i="2"/>
  <c r="BZ47" i="2" s="1"/>
  <c r="BX46" i="2"/>
  <c r="BX47" i="2" s="1"/>
  <c r="BW46" i="2"/>
  <c r="BW47" i="2" s="1"/>
  <c r="BV46" i="2"/>
  <c r="BV47" i="2" s="1"/>
  <c r="BT46" i="2"/>
  <c r="BT47" i="2" s="1"/>
  <c r="BR46" i="2"/>
  <c r="BR47" i="2" s="1"/>
  <c r="BP46" i="2"/>
  <c r="BP47" i="2" s="1"/>
  <c r="BN138" i="4" l="1"/>
  <c r="AT101" i="2"/>
  <c r="BM115" i="3"/>
  <c r="BA110" i="7"/>
  <c r="BN139" i="4" l="1"/>
  <c r="AT102" i="2"/>
  <c r="BM116" i="3"/>
  <c r="BA111" i="7"/>
  <c r="BN140" i="4" l="1"/>
  <c r="AT103" i="2"/>
  <c r="BM117" i="3"/>
  <c r="BA112" i="7"/>
  <c r="BN141" i="4" l="1"/>
  <c r="AT104" i="2"/>
  <c r="BM118" i="3"/>
  <c r="BA113" i="7"/>
  <c r="BN142" i="4" l="1"/>
  <c r="AT105" i="2"/>
  <c r="BM119" i="3"/>
  <c r="BA114" i="7"/>
  <c r="BN143" i="4" l="1"/>
  <c r="AT106" i="2"/>
  <c r="BM120" i="3"/>
  <c r="BA115" i="7"/>
  <c r="BN144" i="4" l="1"/>
  <c r="AT107" i="2"/>
  <c r="BM121" i="3"/>
  <c r="BA116" i="7"/>
  <c r="BN145" i="4" l="1"/>
  <c r="AT108" i="2"/>
  <c r="BM122" i="3"/>
  <c r="BA117" i="7"/>
  <c r="BN146" i="4" l="1"/>
  <c r="AT109" i="2"/>
  <c r="BM123" i="3"/>
  <c r="BA118" i="7"/>
  <c r="BN147" i="4" l="1"/>
  <c r="AT110" i="2"/>
  <c r="BM124" i="3"/>
  <c r="BA119" i="7"/>
  <c r="BN148" i="4" l="1"/>
  <c r="AT111" i="2"/>
  <c r="BM125" i="3"/>
  <c r="BA120" i="7"/>
  <c r="BN149" i="4" l="1"/>
  <c r="AT112" i="2"/>
  <c r="BM126" i="3"/>
  <c r="BA121" i="7"/>
  <c r="BN150" i="4" l="1"/>
  <c r="AT113" i="2"/>
  <c r="BM127" i="3"/>
  <c r="BA122" i="7"/>
  <c r="BN151" i="4" l="1"/>
  <c r="AT114" i="2"/>
  <c r="BM128" i="3"/>
  <c r="BA123" i="7"/>
  <c r="BN152" i="4" l="1"/>
  <c r="AT115" i="2"/>
  <c r="BM129" i="3"/>
  <c r="BA124" i="7"/>
  <c r="BN153" i="4" l="1"/>
  <c r="AT116" i="2"/>
  <c r="BM130" i="3"/>
  <c r="BA125" i="7"/>
  <c r="BN154" i="4" l="1"/>
  <c r="AT117" i="2"/>
  <c r="BM131" i="3"/>
  <c r="BA126" i="7"/>
  <c r="BN155" i="4" l="1"/>
  <c r="AT118" i="2"/>
  <c r="BM132" i="3"/>
  <c r="BA127" i="7"/>
  <c r="BN156" i="4" l="1"/>
  <c r="AT119" i="2"/>
  <c r="BM133" i="3"/>
  <c r="BA128" i="7"/>
  <c r="BN157" i="4" l="1"/>
  <c r="AT120" i="2"/>
  <c r="BM134" i="3"/>
  <c r="BA129" i="7"/>
  <c r="BN158" i="4" l="1"/>
  <c r="AT121" i="2"/>
  <c r="BM135" i="3"/>
  <c r="BA130" i="7"/>
  <c r="BN159" i="4" l="1"/>
  <c r="AT122" i="2"/>
  <c r="BM136" i="3"/>
  <c r="BA131" i="7"/>
  <c r="BN160" i="4" l="1"/>
  <c r="AT123" i="2"/>
  <c r="BM137" i="3"/>
  <c r="BA132" i="7"/>
  <c r="BN161" i="4" l="1"/>
  <c r="AT124" i="2"/>
  <c r="BM138" i="3"/>
  <c r="BA133" i="7"/>
  <c r="BN162" i="4" l="1"/>
  <c r="AT125" i="2"/>
  <c r="BM139" i="3"/>
  <c r="BA134" i="7"/>
  <c r="BN163" i="4" l="1"/>
  <c r="AT126" i="2"/>
  <c r="BM140" i="3"/>
  <c r="BA135" i="7"/>
  <c r="BN164" i="4" l="1"/>
  <c r="AT127" i="2"/>
  <c r="BM141" i="3"/>
  <c r="BA136" i="7"/>
  <c r="BN165" i="4" l="1"/>
  <c r="AT128" i="2"/>
  <c r="BM142" i="3"/>
  <c r="BA137" i="7"/>
  <c r="BN166" i="4" l="1"/>
  <c r="AT129" i="2"/>
  <c r="BM143" i="3"/>
  <c r="BA138" i="7"/>
  <c r="BN167" i="4" l="1"/>
  <c r="AT130" i="2"/>
  <c r="BM144" i="3"/>
  <c r="BA139" i="7"/>
  <c r="BN168" i="4" l="1"/>
  <c r="AT131" i="2"/>
  <c r="BM145" i="3"/>
  <c r="BA140" i="7"/>
  <c r="BN169" i="4" l="1"/>
  <c r="AT132" i="2"/>
  <c r="BM146" i="3"/>
  <c r="BA141" i="7"/>
  <c r="BN170" i="4" l="1"/>
  <c r="AT133" i="2"/>
  <c r="BM147" i="3"/>
  <c r="BA142" i="7"/>
  <c r="BN171" i="4" l="1"/>
  <c r="AT134" i="2"/>
  <c r="BM148" i="3"/>
  <c r="BA143" i="7"/>
  <c r="BN172" i="4" l="1"/>
  <c r="AT135" i="2"/>
  <c r="BM149" i="3"/>
  <c r="BA144" i="7"/>
  <c r="BN173" i="4" l="1"/>
  <c r="BM150" i="3"/>
  <c r="BA145" i="7"/>
  <c r="BA146" i="7" l="1"/>
  <c r="BA147" i="7" l="1"/>
  <c r="AF108" i="2" l="1"/>
  <c r="AF107" i="2"/>
  <c r="AF106" i="2"/>
  <c r="AF105" i="2"/>
  <c r="AF104" i="2"/>
  <c r="AF103" i="2"/>
  <c r="AF102" i="2"/>
  <c r="AF101" i="2"/>
  <c r="AF100" i="2"/>
  <c r="AF99" i="2"/>
  <c r="AF98" i="2"/>
  <c r="AF97" i="2"/>
  <c r="CQ69" i="3"/>
  <c r="CP69" i="3"/>
  <c r="CM69" i="3"/>
  <c r="CV46" i="3"/>
  <c r="CV47" i="3" s="1"/>
  <c r="CT46" i="3"/>
  <c r="CT47" i="3" s="1"/>
  <c r="CR46" i="3"/>
  <c r="CR47" i="3" s="1"/>
  <c r="CQ46" i="3"/>
  <c r="CQ47" i="3" s="1"/>
  <c r="CP46" i="3"/>
  <c r="CP47" i="3" s="1"/>
  <c r="CN46" i="3"/>
  <c r="CN47" i="3" s="1"/>
  <c r="CL46" i="3"/>
  <c r="CL47" i="3" s="1"/>
  <c r="CJ46" i="3"/>
  <c r="CJ47" i="3" s="1"/>
  <c r="AW154" i="3"/>
  <c r="AW153" i="3"/>
  <c r="AW152" i="3"/>
  <c r="AW151" i="3"/>
  <c r="AW150" i="3"/>
  <c r="AW149" i="3"/>
  <c r="AW148" i="3"/>
  <c r="AW147" i="3"/>
  <c r="AW146" i="3"/>
  <c r="AW145" i="3"/>
  <c r="AW144" i="3"/>
  <c r="AW143" i="3"/>
  <c r="AW142" i="3"/>
  <c r="AW141" i="3"/>
  <c r="AW140" i="3"/>
  <c r="AW139" i="3"/>
  <c r="AW138" i="3"/>
  <c r="AW137" i="3"/>
  <c r="AW136" i="3"/>
  <c r="AW135" i="3"/>
  <c r="AW134" i="3"/>
  <c r="AW133" i="3"/>
  <c r="AW132" i="3"/>
  <c r="AW131" i="3"/>
  <c r="AW121" i="3" l="1"/>
  <c r="AW120" i="3"/>
  <c r="AW119" i="3"/>
  <c r="AW118" i="3"/>
  <c r="AW117" i="3"/>
  <c r="AW116" i="3"/>
  <c r="AW115" i="3"/>
  <c r="AW114" i="3"/>
  <c r="AW113" i="3"/>
  <c r="AW112" i="3"/>
  <c r="AW111" i="3"/>
  <c r="AW110" i="3"/>
  <c r="C27" i="3"/>
  <c r="C24" i="3"/>
  <c r="C20" i="3" l="1"/>
  <c r="CL46" i="7"/>
  <c r="CL47" i="7" s="1"/>
  <c r="CJ46" i="7"/>
  <c r="CJ47" i="7" s="1"/>
  <c r="CG69" i="7"/>
  <c r="CF69" i="7"/>
  <c r="CC69" i="7"/>
  <c r="AZ106" i="7" l="1"/>
  <c r="AZ107" i="7" s="1"/>
  <c r="AZ108" i="7" s="1"/>
  <c r="AZ109" i="7" s="1"/>
  <c r="AZ110" i="7" s="1"/>
  <c r="AZ111" i="7" s="1"/>
  <c r="AZ112" i="7" s="1"/>
  <c r="AZ113" i="7" s="1"/>
  <c r="AZ114" i="7" s="1"/>
  <c r="AZ115" i="7" s="1"/>
  <c r="AZ116" i="7" s="1"/>
  <c r="AZ117" i="7" s="1"/>
  <c r="AZ118" i="7" s="1"/>
  <c r="AZ119" i="7" s="1"/>
  <c r="AZ120" i="7" s="1"/>
  <c r="AZ121" i="7" l="1"/>
  <c r="AZ122" i="7" s="1"/>
  <c r="AZ123" i="7" s="1"/>
  <c r="AZ124" i="7" s="1"/>
  <c r="AZ125" i="7" s="1"/>
  <c r="AZ126" i="7" s="1"/>
  <c r="AZ127" i="7" s="1"/>
  <c r="AZ128" i="7" s="1"/>
  <c r="AZ129" i="7" s="1"/>
  <c r="AZ130" i="7" s="1"/>
  <c r="AZ131" i="7" s="1"/>
  <c r="AZ132" i="7" s="1"/>
  <c r="AZ133" i="7" s="1"/>
  <c r="AZ134" i="7" s="1"/>
  <c r="AZ135" i="7" s="1"/>
  <c r="AZ136" i="7" s="1"/>
  <c r="AZ137" i="7" s="1"/>
  <c r="AZ138" i="7" s="1"/>
  <c r="AZ139" i="7" s="1"/>
  <c r="AZ140" i="7" s="1"/>
  <c r="AZ141" i="7" s="1"/>
  <c r="AZ142" i="7" s="1"/>
  <c r="AZ143" i="7" s="1"/>
  <c r="AZ144" i="7" s="1"/>
  <c r="AZ145" i="7" s="1"/>
  <c r="AZ146" i="7" s="1"/>
  <c r="AZ147" i="7" s="1"/>
  <c r="AM129" i="7" l="1"/>
  <c r="AM128" i="7"/>
  <c r="AM127" i="7"/>
  <c r="AM126" i="7"/>
  <c r="AM125" i="7"/>
  <c r="AM124" i="7"/>
  <c r="AM123" i="7"/>
  <c r="AM122" i="7"/>
  <c r="AM121" i="7"/>
  <c r="AM120" i="7"/>
  <c r="AM119" i="7"/>
  <c r="AM118" i="7"/>
  <c r="AM117" i="7"/>
  <c r="AM116" i="7"/>
  <c r="AM115" i="7"/>
  <c r="AM114" i="7"/>
  <c r="AM113" i="7"/>
  <c r="AM112" i="7"/>
  <c r="AM111" i="7"/>
  <c r="AM110" i="7"/>
  <c r="AM109" i="7"/>
  <c r="AM108" i="7"/>
  <c r="AM107" i="7"/>
  <c r="AM106" i="7"/>
  <c r="Q129" i="7" l="1"/>
  <c r="R129" i="7" s="1"/>
  <c r="S129" i="7" s="1"/>
  <c r="T129" i="7" s="1"/>
  <c r="U129" i="7" s="1"/>
  <c r="Q128" i="7"/>
  <c r="R128" i="7" s="1"/>
  <c r="S128" i="7" s="1"/>
  <c r="T128" i="7" s="1"/>
  <c r="U128" i="7" s="1"/>
  <c r="Q127" i="7"/>
  <c r="R127" i="7" s="1"/>
  <c r="S127" i="7" s="1"/>
  <c r="T127" i="7" s="1"/>
  <c r="U127" i="7" s="1"/>
  <c r="Q126" i="7"/>
  <c r="R126" i="7" s="1"/>
  <c r="S126" i="7" s="1"/>
  <c r="T126" i="7" s="1"/>
  <c r="U126" i="7" s="1"/>
  <c r="Q125" i="7"/>
  <c r="R125" i="7" s="1"/>
  <c r="S125" i="7" s="1"/>
  <c r="T125" i="7" s="1"/>
  <c r="U125" i="7" s="1"/>
  <c r="Q124" i="7"/>
  <c r="R124" i="7" s="1"/>
  <c r="S124" i="7" s="1"/>
  <c r="T124" i="7" s="1"/>
  <c r="U124" i="7" s="1"/>
  <c r="Q123" i="7"/>
  <c r="R123" i="7" s="1"/>
  <c r="S123" i="7" s="1"/>
  <c r="T123" i="7" s="1"/>
  <c r="U123" i="7" s="1"/>
  <c r="Q122" i="7"/>
  <c r="R122" i="7" s="1"/>
  <c r="S122" i="7" s="1"/>
  <c r="T122" i="7" s="1"/>
  <c r="U122" i="7" s="1"/>
  <c r="Q121" i="7"/>
  <c r="R121" i="7" s="1"/>
  <c r="S121" i="7" s="1"/>
  <c r="T121" i="7" s="1"/>
  <c r="U121" i="7" s="1"/>
  <c r="Q120" i="7"/>
  <c r="R120" i="7" s="1"/>
  <c r="S120" i="7" s="1"/>
  <c r="T120" i="7" s="1"/>
  <c r="U120" i="7" s="1"/>
  <c r="Q119" i="7"/>
  <c r="R119" i="7" s="1"/>
  <c r="S119" i="7" s="1"/>
  <c r="T119" i="7" s="1"/>
  <c r="U119" i="7" s="1"/>
  <c r="Q118" i="7"/>
  <c r="R118" i="7" s="1"/>
  <c r="S118" i="7" s="1"/>
  <c r="T118" i="7" s="1"/>
  <c r="U118" i="7" s="1"/>
  <c r="Q117" i="7"/>
  <c r="R117" i="7" s="1"/>
  <c r="S117" i="7" s="1"/>
  <c r="T117" i="7" s="1"/>
  <c r="U117" i="7" s="1"/>
  <c r="Q116" i="7"/>
  <c r="R116" i="7" s="1"/>
  <c r="S116" i="7" s="1"/>
  <c r="T116" i="7" s="1"/>
  <c r="U116" i="7" s="1"/>
  <c r="Q115" i="7"/>
  <c r="R115" i="7" s="1"/>
  <c r="S115" i="7" s="1"/>
  <c r="T115" i="7" s="1"/>
  <c r="U115" i="7" s="1"/>
  <c r="Q114" i="7"/>
  <c r="R114" i="7" s="1"/>
  <c r="S114" i="7" s="1"/>
  <c r="T114" i="7" s="1"/>
  <c r="U114" i="7" s="1"/>
  <c r="Q113" i="7"/>
  <c r="R113" i="7" s="1"/>
  <c r="S113" i="7" s="1"/>
  <c r="T113" i="7" s="1"/>
  <c r="U113" i="7" s="1"/>
  <c r="Q112" i="7"/>
  <c r="R112" i="7" s="1"/>
  <c r="S112" i="7" s="1"/>
  <c r="T112" i="7" s="1"/>
  <c r="U112" i="7" s="1"/>
  <c r="Q111" i="7"/>
  <c r="R111" i="7" s="1"/>
  <c r="S111" i="7" s="1"/>
  <c r="T111" i="7" s="1"/>
  <c r="U111" i="7" s="1"/>
  <c r="Q110" i="7"/>
  <c r="R110" i="7" s="1"/>
  <c r="S110" i="7" s="1"/>
  <c r="T110" i="7" s="1"/>
  <c r="U110" i="7" s="1"/>
  <c r="Q109" i="7"/>
  <c r="R109" i="7" s="1"/>
  <c r="S109" i="7" s="1"/>
  <c r="T109" i="7" s="1"/>
  <c r="U109" i="7" s="1"/>
  <c r="Q108" i="7"/>
  <c r="R108" i="7" s="1"/>
  <c r="S108" i="7" s="1"/>
  <c r="T108" i="7" s="1"/>
  <c r="U108" i="7" s="1"/>
  <c r="Q107" i="7"/>
  <c r="R107" i="7" s="1"/>
  <c r="S107" i="7" s="1"/>
  <c r="T107" i="7" s="1"/>
  <c r="U107" i="7" s="1"/>
  <c r="N106" i="7"/>
  <c r="M106" i="7" s="1"/>
  <c r="C106" i="7"/>
  <c r="V127" i="7" s="1"/>
  <c r="W127" i="7" s="1"/>
  <c r="B27" i="7"/>
  <c r="D27" i="7" s="1"/>
  <c r="X127" i="7" l="1"/>
  <c r="AF115" i="7"/>
  <c r="AF107" i="7"/>
  <c r="AF113" i="7"/>
  <c r="AF121" i="7"/>
  <c r="AF123" i="7"/>
  <c r="V111" i="7"/>
  <c r="W111" i="7" s="1"/>
  <c r="X111" i="7" s="1"/>
  <c r="V113" i="7"/>
  <c r="W113" i="7" s="1"/>
  <c r="X113" i="7" s="1"/>
  <c r="V119" i="7"/>
  <c r="W119" i="7" s="1"/>
  <c r="X119" i="7" s="1"/>
  <c r="V121" i="7"/>
  <c r="W121" i="7" s="1"/>
  <c r="X121" i="7" s="1"/>
  <c r="AF128" i="7"/>
  <c r="AF126" i="7"/>
  <c r="AF124" i="7"/>
  <c r="AF122" i="7"/>
  <c r="AF120" i="7"/>
  <c r="AF118" i="7"/>
  <c r="AF116" i="7"/>
  <c r="AF114" i="7"/>
  <c r="AF112" i="7"/>
  <c r="AF110" i="7"/>
  <c r="AF108" i="7"/>
  <c r="Q106" i="7"/>
  <c r="R106" i="7" s="1"/>
  <c r="S106" i="7" s="1"/>
  <c r="T106" i="7" s="1"/>
  <c r="U106" i="7" s="1"/>
  <c r="V128" i="7"/>
  <c r="W128" i="7" s="1"/>
  <c r="X128" i="7" s="1"/>
  <c r="V126" i="7"/>
  <c r="W126" i="7" s="1"/>
  <c r="X126" i="7" s="1"/>
  <c r="V124" i="7"/>
  <c r="W124" i="7" s="1"/>
  <c r="X124" i="7" s="1"/>
  <c r="V122" i="7"/>
  <c r="W122" i="7" s="1"/>
  <c r="X122" i="7" s="1"/>
  <c r="V120" i="7"/>
  <c r="W120" i="7" s="1"/>
  <c r="X120" i="7" s="1"/>
  <c r="V118" i="7"/>
  <c r="W118" i="7" s="1"/>
  <c r="X118" i="7" s="1"/>
  <c r="V116" i="7"/>
  <c r="W116" i="7" s="1"/>
  <c r="X116" i="7" s="1"/>
  <c r="V114" i="7"/>
  <c r="W114" i="7" s="1"/>
  <c r="X114" i="7" s="1"/>
  <c r="V112" i="7"/>
  <c r="W112" i="7" s="1"/>
  <c r="X112" i="7" s="1"/>
  <c r="V110" i="7"/>
  <c r="W110" i="7" s="1"/>
  <c r="X110" i="7" s="1"/>
  <c r="V108" i="7"/>
  <c r="W108" i="7" s="1"/>
  <c r="X108" i="7" s="1"/>
  <c r="V129" i="7"/>
  <c r="W129" i="7" s="1"/>
  <c r="X129" i="7" s="1"/>
  <c r="AF125" i="7"/>
  <c r="AF106" i="7"/>
  <c r="V106" i="7"/>
  <c r="W106" i="7" s="1"/>
  <c r="AF127" i="7"/>
  <c r="AF129" i="7"/>
  <c r="V109" i="7"/>
  <c r="W109" i="7" s="1"/>
  <c r="X109" i="7" s="1"/>
  <c r="AF111" i="7"/>
  <c r="V117" i="7"/>
  <c r="W117" i="7" s="1"/>
  <c r="X117" i="7" s="1"/>
  <c r="V107" i="7"/>
  <c r="W107" i="7" s="1"/>
  <c r="X107" i="7" s="1"/>
  <c r="AF109" i="7"/>
  <c r="V115" i="7"/>
  <c r="W115" i="7" s="1"/>
  <c r="X115" i="7" s="1"/>
  <c r="AF117" i="7"/>
  <c r="V123" i="7"/>
  <c r="W123" i="7" s="1"/>
  <c r="X123" i="7" s="1"/>
  <c r="BK1" i="7"/>
  <c r="E83" i="7" s="1"/>
  <c r="AF119" i="7"/>
  <c r="V125" i="7"/>
  <c r="W125" i="7" s="1"/>
  <c r="X125" i="7" s="1"/>
  <c r="F84" i="7" l="1"/>
  <c r="H84" i="7"/>
  <c r="AJ122" i="7"/>
  <c r="AK122" i="7" s="1"/>
  <c r="AL122" i="7" s="1"/>
  <c r="AG122" i="7"/>
  <c r="AH122" i="7" s="1"/>
  <c r="AI122" i="7" s="1"/>
  <c r="AJ119" i="7"/>
  <c r="AK119" i="7" s="1"/>
  <c r="AL119" i="7" s="1"/>
  <c r="AG119" i="7"/>
  <c r="AH119" i="7" s="1"/>
  <c r="AI119" i="7" s="1"/>
  <c r="AJ111" i="7"/>
  <c r="AK111" i="7" s="1"/>
  <c r="AL111" i="7" s="1"/>
  <c r="AG111" i="7"/>
  <c r="AH111" i="7" s="1"/>
  <c r="AI111" i="7" s="1"/>
  <c r="AJ108" i="7"/>
  <c r="AK108" i="7" s="1"/>
  <c r="AL108" i="7" s="1"/>
  <c r="AG108" i="7"/>
  <c r="AH108" i="7" s="1"/>
  <c r="AI108" i="7" s="1"/>
  <c r="AJ116" i="7"/>
  <c r="AK116" i="7" s="1"/>
  <c r="AL116" i="7" s="1"/>
  <c r="AG116" i="7"/>
  <c r="AH116" i="7" s="1"/>
  <c r="AI116" i="7" s="1"/>
  <c r="AJ124" i="7"/>
  <c r="AK124" i="7" s="1"/>
  <c r="AL124" i="7" s="1"/>
  <c r="AG124" i="7"/>
  <c r="AH124" i="7" s="1"/>
  <c r="AI124" i="7" s="1"/>
  <c r="AJ113" i="7"/>
  <c r="AK113" i="7" s="1"/>
  <c r="AG113" i="7"/>
  <c r="AH113" i="7" s="1"/>
  <c r="AI113" i="7" s="1"/>
  <c r="AJ121" i="7"/>
  <c r="AK121" i="7" s="1"/>
  <c r="AL121" i="7" s="1"/>
  <c r="AG121" i="7"/>
  <c r="AH121" i="7" s="1"/>
  <c r="AI121" i="7" s="1"/>
  <c r="AJ109" i="7"/>
  <c r="AK109" i="7" s="1"/>
  <c r="AL109" i="7" s="1"/>
  <c r="AG109" i="7"/>
  <c r="AH109" i="7" s="1"/>
  <c r="AI109" i="7" s="1"/>
  <c r="AJ106" i="7"/>
  <c r="AK106" i="7" s="1"/>
  <c r="AL106" i="7" s="1"/>
  <c r="AG106" i="7"/>
  <c r="AH106" i="7" s="1"/>
  <c r="AI106" i="7" s="1"/>
  <c r="AJ110" i="7"/>
  <c r="AK110" i="7" s="1"/>
  <c r="AL110" i="7" s="1"/>
  <c r="AG110" i="7"/>
  <c r="AH110" i="7" s="1"/>
  <c r="AI110" i="7" s="1"/>
  <c r="AJ118" i="7"/>
  <c r="AK118" i="7" s="1"/>
  <c r="AL118" i="7" s="1"/>
  <c r="AG118" i="7"/>
  <c r="AH118" i="7" s="1"/>
  <c r="AI118" i="7" s="1"/>
  <c r="AJ126" i="7"/>
  <c r="AK126" i="7" s="1"/>
  <c r="AL126" i="7" s="1"/>
  <c r="AG126" i="7"/>
  <c r="AH126" i="7" s="1"/>
  <c r="AI126" i="7" s="1"/>
  <c r="AJ107" i="7"/>
  <c r="AK107" i="7" s="1"/>
  <c r="AL107" i="7" s="1"/>
  <c r="AG107" i="7"/>
  <c r="AH107" i="7" s="1"/>
  <c r="AJ117" i="7"/>
  <c r="AK117" i="7" s="1"/>
  <c r="AL117" i="7" s="1"/>
  <c r="AG117" i="7"/>
  <c r="AH117" i="7" s="1"/>
  <c r="AI117" i="7" s="1"/>
  <c r="AJ127" i="7"/>
  <c r="AK127" i="7" s="1"/>
  <c r="AL127" i="7" s="1"/>
  <c r="AG127" i="7"/>
  <c r="AH127" i="7" s="1"/>
  <c r="AI127" i="7" s="1"/>
  <c r="AJ114" i="7"/>
  <c r="AK114" i="7" s="1"/>
  <c r="AL114" i="7" s="1"/>
  <c r="AG114" i="7"/>
  <c r="AH114" i="7" s="1"/>
  <c r="AI114" i="7" s="1"/>
  <c r="AJ129" i="7"/>
  <c r="AK129" i="7" s="1"/>
  <c r="AL129" i="7" s="1"/>
  <c r="AG129" i="7"/>
  <c r="AH129" i="7" s="1"/>
  <c r="AI129" i="7" s="1"/>
  <c r="AJ125" i="7"/>
  <c r="AK125" i="7" s="1"/>
  <c r="AL125" i="7" s="1"/>
  <c r="AG125" i="7"/>
  <c r="AH125" i="7" s="1"/>
  <c r="AI125" i="7" s="1"/>
  <c r="AG112" i="7"/>
  <c r="AH112" i="7" s="1"/>
  <c r="AI112" i="7" s="1"/>
  <c r="AJ112" i="7"/>
  <c r="AK112" i="7" s="1"/>
  <c r="AL112" i="7" s="1"/>
  <c r="AG120" i="7"/>
  <c r="AH120" i="7" s="1"/>
  <c r="AI120" i="7" s="1"/>
  <c r="AJ120" i="7"/>
  <c r="AK120" i="7" s="1"/>
  <c r="AL120" i="7" s="1"/>
  <c r="AJ128" i="7"/>
  <c r="AK128" i="7" s="1"/>
  <c r="AL128" i="7" s="1"/>
  <c r="AG128" i="7"/>
  <c r="AH128" i="7" s="1"/>
  <c r="AI128" i="7" s="1"/>
  <c r="AJ123" i="7"/>
  <c r="AK123" i="7" s="1"/>
  <c r="AG123" i="7"/>
  <c r="AH123" i="7" s="1"/>
  <c r="AI123" i="7" s="1"/>
  <c r="AJ115" i="7"/>
  <c r="AK115" i="7" s="1"/>
  <c r="AG115" i="7"/>
  <c r="AH115" i="7" s="1"/>
  <c r="AI115" i="7" s="1"/>
  <c r="X106" i="7"/>
  <c r="Z106" i="7" s="1"/>
  <c r="AA106" i="7" s="1"/>
  <c r="AN121" i="7" l="1"/>
  <c r="AL115" i="7"/>
  <c r="AN115" i="7" s="1"/>
  <c r="AL113" i="7"/>
  <c r="AN113" i="7" s="1"/>
  <c r="AI107" i="7"/>
  <c r="AN107" i="7" s="1"/>
  <c r="AL123" i="7"/>
  <c r="AN123" i="7" s="1"/>
  <c r="AN116" i="7"/>
  <c r="AN118" i="7"/>
  <c r="AN112" i="7"/>
  <c r="AN114" i="7"/>
  <c r="AN117" i="7"/>
  <c r="AN128" i="7"/>
  <c r="AN124" i="7"/>
  <c r="AN126" i="7"/>
  <c r="AN109" i="7"/>
  <c r="AN119" i="7"/>
  <c r="AN106" i="7"/>
  <c r="AN111" i="7"/>
  <c r="AN122" i="7"/>
  <c r="AN108" i="7"/>
  <c r="AN110" i="7"/>
  <c r="AN120" i="7"/>
  <c r="AN129" i="7"/>
  <c r="AN127" i="7"/>
  <c r="Y107" i="7"/>
  <c r="Z107" i="7" s="1"/>
  <c r="AC106" i="7"/>
  <c r="AN125" i="7"/>
  <c r="Z108" i="7" l="1"/>
  <c r="AA107" i="7"/>
  <c r="AO106" i="7"/>
  <c r="AA108" i="7" l="1"/>
  <c r="Z109" i="7"/>
  <c r="AC107" i="7"/>
  <c r="Y108" i="7"/>
  <c r="Y109" i="7" l="1"/>
  <c r="AC108" i="7"/>
  <c r="Z110" i="7"/>
  <c r="AA109" i="7"/>
  <c r="AO107" i="7"/>
  <c r="AA110" i="7" l="1"/>
  <c r="Z111" i="7"/>
  <c r="AC109" i="7"/>
  <c r="Y110" i="7"/>
  <c r="AO108" i="7"/>
  <c r="Y111" i="7" l="1"/>
  <c r="AC110" i="7"/>
  <c r="Z112" i="7"/>
  <c r="AA111" i="7"/>
  <c r="AO109" i="7"/>
  <c r="AC111" i="7" l="1"/>
  <c r="Y112" i="7"/>
  <c r="AO110" i="7"/>
  <c r="AA112" i="7"/>
  <c r="Z113" i="7"/>
  <c r="Z114" i="7" l="1"/>
  <c r="AA113" i="7"/>
  <c r="AO111" i="7"/>
  <c r="Y113" i="7"/>
  <c r="AC112" i="7"/>
  <c r="AO112" i="7" l="1"/>
  <c r="AA114" i="7"/>
  <c r="Z115" i="7"/>
  <c r="AC113" i="7"/>
  <c r="Y114" i="7"/>
  <c r="Z116" i="7" l="1"/>
  <c r="AA115" i="7"/>
  <c r="AO113" i="7"/>
  <c r="Y115" i="7"/>
  <c r="AC114" i="7"/>
  <c r="AA116" i="7" l="1"/>
  <c r="Z117" i="7"/>
  <c r="AC115" i="7"/>
  <c r="Y116" i="7"/>
  <c r="AO114" i="7"/>
  <c r="Z118" i="7" l="1"/>
  <c r="AA117" i="7"/>
  <c r="Y117" i="7"/>
  <c r="AC116" i="7"/>
  <c r="AO115" i="7"/>
  <c r="AC117" i="7" l="1"/>
  <c r="Y118" i="7"/>
  <c r="AO116" i="7"/>
  <c r="AA118" i="7"/>
  <c r="Z119" i="7"/>
  <c r="Y119" i="7" l="1"/>
  <c r="AC118" i="7"/>
  <c r="Z120" i="7"/>
  <c r="AA119" i="7"/>
  <c r="AO117" i="7"/>
  <c r="AO118" i="7" l="1"/>
  <c r="AC119" i="7"/>
  <c r="Y120" i="7"/>
  <c r="AA120" i="7"/>
  <c r="Z121" i="7"/>
  <c r="Y121" i="7" l="1"/>
  <c r="AC120" i="7"/>
  <c r="Z122" i="7"/>
  <c r="AA121" i="7"/>
  <c r="AO119" i="7"/>
  <c r="AO120" i="7" l="1"/>
  <c r="AA122" i="7"/>
  <c r="Z123" i="7"/>
  <c r="AC121" i="7"/>
  <c r="Y122" i="7"/>
  <c r="Y123" i="7" l="1"/>
  <c r="AC122" i="7"/>
  <c r="Z124" i="7"/>
  <c r="AA123" i="7"/>
  <c r="AO121" i="7"/>
  <c r="AO122" i="7" l="1"/>
  <c r="AA124" i="7"/>
  <c r="Z125" i="7"/>
  <c r="AC123" i="7"/>
  <c r="Y124" i="7"/>
  <c r="Y125" i="7" l="1"/>
  <c r="AC124" i="7"/>
  <c r="Z126" i="7"/>
  <c r="AA125" i="7"/>
  <c r="AO123" i="7"/>
  <c r="AO124" i="7" l="1"/>
  <c r="Y126" i="7"/>
  <c r="AC125" i="7"/>
  <c r="AA126" i="7"/>
  <c r="Z127" i="7"/>
  <c r="Y127" i="7" l="1"/>
  <c r="AC126" i="7"/>
  <c r="AO125" i="7"/>
  <c r="Z128" i="7"/>
  <c r="AA127" i="7"/>
  <c r="Y128" i="7" l="1"/>
  <c r="AC127" i="7"/>
  <c r="AO126" i="7"/>
  <c r="AA128" i="7"/>
  <c r="Z129" i="7"/>
  <c r="AA129" i="7" s="1"/>
  <c r="AC129" i="7" s="1"/>
  <c r="AO127" i="7" l="1"/>
  <c r="AE129" i="7"/>
  <c r="AO129" i="7"/>
  <c r="Y129" i="7"/>
  <c r="AC128" i="7"/>
  <c r="AE125" i="7" s="1"/>
  <c r="AP125" i="7" s="1"/>
  <c r="AE106" i="7" l="1"/>
  <c r="AP106" i="7" s="1"/>
  <c r="AR106" i="7" s="1"/>
  <c r="AT106" i="7" s="1"/>
  <c r="AP129" i="7"/>
  <c r="AQ129" i="7" s="1"/>
  <c r="AS129" i="7" s="1"/>
  <c r="AE126" i="7"/>
  <c r="AP126" i="7" s="1"/>
  <c r="AR126" i="7" s="1"/>
  <c r="AT126" i="7" s="1"/>
  <c r="AE123" i="7"/>
  <c r="AP123" i="7" s="1"/>
  <c r="AR123" i="7" s="1"/>
  <c r="AT123" i="7" s="1"/>
  <c r="AW123" i="7" s="1"/>
  <c r="AE113" i="7"/>
  <c r="AP113" i="7" s="1"/>
  <c r="AQ113" i="7" s="1"/>
  <c r="AS113" i="7" s="1"/>
  <c r="AE117" i="7"/>
  <c r="AP117" i="7" s="1"/>
  <c r="AR117" i="7" s="1"/>
  <c r="AT117" i="7" s="1"/>
  <c r="AW117" i="7" s="1"/>
  <c r="AE110" i="7"/>
  <c r="AP110" i="7" s="1"/>
  <c r="AQ110" i="7" s="1"/>
  <c r="AS110" i="7" s="1"/>
  <c r="AE111" i="7"/>
  <c r="AP111" i="7" s="1"/>
  <c r="AR111" i="7" s="1"/>
  <c r="AT111" i="7" s="1"/>
  <c r="AW111" i="7" s="1"/>
  <c r="AE114" i="7"/>
  <c r="AP114" i="7" s="1"/>
  <c r="AQ114" i="7" s="1"/>
  <c r="AS114" i="7" s="1"/>
  <c r="AE121" i="7"/>
  <c r="AP121" i="7" s="1"/>
  <c r="AR121" i="7" s="1"/>
  <c r="AT121" i="7" s="1"/>
  <c r="AW121" i="7" s="1"/>
  <c r="AE127" i="7"/>
  <c r="AP127" i="7" s="1"/>
  <c r="AQ125" i="7"/>
  <c r="AS125" i="7" s="1"/>
  <c r="AR125" i="7"/>
  <c r="AT125" i="7" s="1"/>
  <c r="AR129" i="7"/>
  <c r="AT129" i="7" s="1"/>
  <c r="AE118" i="7"/>
  <c r="AP118" i="7" s="1"/>
  <c r="AE128" i="7"/>
  <c r="AO128" i="7"/>
  <c r="AE119" i="7"/>
  <c r="AP119" i="7" s="1"/>
  <c r="AE107" i="7"/>
  <c r="AP107" i="7" s="1"/>
  <c r="AE122" i="7"/>
  <c r="AP122" i="7" s="1"/>
  <c r="AE120" i="7"/>
  <c r="AP120" i="7" s="1"/>
  <c r="D28" i="7"/>
  <c r="AE108" i="7"/>
  <c r="AP108" i="7" s="1"/>
  <c r="AE112" i="7"/>
  <c r="AP112" i="7" s="1"/>
  <c r="AE109" i="7"/>
  <c r="AP109" i="7" s="1"/>
  <c r="AE124" i="7"/>
  <c r="AP124" i="7" s="1"/>
  <c r="AE116" i="7"/>
  <c r="AP116" i="7" s="1"/>
  <c r="AE115" i="7"/>
  <c r="AP115" i="7" s="1"/>
  <c r="D21" i="7" l="1"/>
  <c r="E19" i="7"/>
  <c r="AU110" i="7"/>
  <c r="AU129" i="7"/>
  <c r="AU125" i="7"/>
  <c r="AU114" i="7"/>
  <c r="AU113" i="7"/>
  <c r="E74" i="7"/>
  <c r="D83" i="7" s="1"/>
  <c r="D19" i="7"/>
  <c r="AR110" i="7"/>
  <c r="AT110" i="7" s="1"/>
  <c r="AW110" i="7" s="1"/>
  <c r="AR113" i="7"/>
  <c r="AT113" i="7" s="1"/>
  <c r="AW113" i="7" s="1"/>
  <c r="AQ106" i="7"/>
  <c r="AS106" i="7" s="1"/>
  <c r="AQ123" i="7"/>
  <c r="AS123" i="7" s="1"/>
  <c r="AR114" i="7"/>
  <c r="AT114" i="7" s="1"/>
  <c r="AW114" i="7" s="1"/>
  <c r="AQ117" i="7"/>
  <c r="AS117" i="7" s="1"/>
  <c r="AP128" i="7"/>
  <c r="AQ128" i="7" s="1"/>
  <c r="AS128" i="7" s="1"/>
  <c r="AQ121" i="7"/>
  <c r="AS121" i="7" s="1"/>
  <c r="AQ126" i="7"/>
  <c r="AS126" i="7" s="1"/>
  <c r="AQ111" i="7"/>
  <c r="AS111" i="7" s="1"/>
  <c r="AQ115" i="7"/>
  <c r="AS115" i="7" s="1"/>
  <c r="AR115" i="7"/>
  <c r="AT115" i="7" s="1"/>
  <c r="AW115" i="7" s="1"/>
  <c r="AQ109" i="7"/>
  <c r="AS109" i="7" s="1"/>
  <c r="AR109" i="7"/>
  <c r="AT109" i="7" s="1"/>
  <c r="AW109" i="7" s="1"/>
  <c r="AR120" i="7"/>
  <c r="AT120" i="7" s="1"/>
  <c r="AW120" i="7" s="1"/>
  <c r="AQ120" i="7"/>
  <c r="AS120" i="7" s="1"/>
  <c r="AV117" i="7"/>
  <c r="AD117" i="7"/>
  <c r="N117" i="7"/>
  <c r="M117" i="7" s="1"/>
  <c r="AQ118" i="7"/>
  <c r="AS118" i="7" s="1"/>
  <c r="AR118" i="7"/>
  <c r="AT118" i="7" s="1"/>
  <c r="AW118" i="7" s="1"/>
  <c r="AD126" i="7"/>
  <c r="AV126" i="7"/>
  <c r="AW126" i="7"/>
  <c r="N126" i="7" s="1"/>
  <c r="M126" i="7" s="1"/>
  <c r="AR124" i="7"/>
  <c r="AT124" i="7" s="1"/>
  <c r="AQ124" i="7"/>
  <c r="AS124" i="7" s="1"/>
  <c r="D74" i="7"/>
  <c r="AQ119" i="7"/>
  <c r="AS119" i="7" s="1"/>
  <c r="AR119" i="7"/>
  <c r="AT119" i="7" s="1"/>
  <c r="AW119" i="7" s="1"/>
  <c r="AD123" i="7"/>
  <c r="AV123" i="7"/>
  <c r="N123" i="7"/>
  <c r="M123" i="7" s="1"/>
  <c r="AD106" i="7"/>
  <c r="AV106" i="7"/>
  <c r="N121" i="7"/>
  <c r="M121" i="7" s="1"/>
  <c r="AD121" i="7"/>
  <c r="AV121" i="7"/>
  <c r="AR127" i="7"/>
  <c r="AT127" i="7" s="1"/>
  <c r="AQ127" i="7"/>
  <c r="AS127" i="7" s="1"/>
  <c r="AQ108" i="7"/>
  <c r="AS108" i="7" s="1"/>
  <c r="AR108" i="7"/>
  <c r="AT108" i="7" s="1"/>
  <c r="AD108" i="7" s="1"/>
  <c r="AQ107" i="7"/>
  <c r="AS107" i="7" s="1"/>
  <c r="AR107" i="7"/>
  <c r="AT107" i="7" s="1"/>
  <c r="AD107" i="7" s="1"/>
  <c r="AW129" i="7"/>
  <c r="N129" i="7" s="1"/>
  <c r="M129" i="7" s="1"/>
  <c r="AV129" i="7"/>
  <c r="AD129" i="7"/>
  <c r="AR116" i="7"/>
  <c r="AT116" i="7" s="1"/>
  <c r="AW116" i="7" s="1"/>
  <c r="AQ116" i="7"/>
  <c r="AS116" i="7" s="1"/>
  <c r="AR112" i="7"/>
  <c r="AT112" i="7" s="1"/>
  <c r="AW112" i="7" s="1"/>
  <c r="AQ112" i="7"/>
  <c r="AS112" i="7" s="1"/>
  <c r="AQ122" i="7"/>
  <c r="AS122" i="7" s="1"/>
  <c r="AR122" i="7"/>
  <c r="AT122" i="7" s="1"/>
  <c r="AW122" i="7" s="1"/>
  <c r="AV111" i="7"/>
  <c r="N111" i="7"/>
  <c r="M111" i="7" s="1"/>
  <c r="AD111" i="7"/>
  <c r="AV125" i="7"/>
  <c r="AW125" i="7"/>
  <c r="N125" i="7" s="1"/>
  <c r="M125" i="7" s="1"/>
  <c r="AD125" i="7"/>
  <c r="G84" i="7" l="1"/>
  <c r="CM50" i="7"/>
  <c r="BX50" i="7"/>
  <c r="CZ5" i="7"/>
  <c r="BX5" i="7"/>
  <c r="E21" i="7"/>
  <c r="BB105" i="7"/>
  <c r="BI88" i="7" s="1"/>
  <c r="D101" i="7" s="1"/>
  <c r="BB106" i="7"/>
  <c r="BC106" i="7" s="1"/>
  <c r="BB107" i="7"/>
  <c r="BC107" i="7" s="1"/>
  <c r="BB108" i="7"/>
  <c r="BC108" i="7" s="1"/>
  <c r="BB109" i="7"/>
  <c r="BC109" i="7" s="1"/>
  <c r="BB110" i="7"/>
  <c r="BC110" i="7" s="1"/>
  <c r="BB111" i="7"/>
  <c r="BC111" i="7" s="1"/>
  <c r="BB112" i="7"/>
  <c r="BC112" i="7" s="1"/>
  <c r="BB113" i="7"/>
  <c r="BC113" i="7" s="1"/>
  <c r="BB114" i="7"/>
  <c r="BC114" i="7" s="1"/>
  <c r="BB115" i="7"/>
  <c r="BC115" i="7" s="1"/>
  <c r="BB116" i="7"/>
  <c r="BC116" i="7" s="1"/>
  <c r="BB117" i="7"/>
  <c r="BC117" i="7" s="1"/>
  <c r="BB118" i="7"/>
  <c r="BC118" i="7" s="1"/>
  <c r="BB119" i="7"/>
  <c r="BC119" i="7" s="1"/>
  <c r="BB120" i="7"/>
  <c r="BC120" i="7" s="1"/>
  <c r="BB121" i="7"/>
  <c r="BC121" i="7" s="1"/>
  <c r="BB122" i="7"/>
  <c r="BC122" i="7" s="1"/>
  <c r="BB123" i="7"/>
  <c r="BC123" i="7" s="1"/>
  <c r="BB124" i="7"/>
  <c r="BC124" i="7" s="1"/>
  <c r="BB125" i="7"/>
  <c r="BC125" i="7" s="1"/>
  <c r="BB126" i="7"/>
  <c r="BC126" i="7" s="1"/>
  <c r="BB127" i="7"/>
  <c r="BC127" i="7" s="1"/>
  <c r="BB128" i="7"/>
  <c r="BC128" i="7" s="1"/>
  <c r="BB129" i="7"/>
  <c r="BC129" i="7" s="1"/>
  <c r="BB130" i="7"/>
  <c r="BC130" i="7" s="1"/>
  <c r="BB131" i="7"/>
  <c r="BC131" i="7" s="1"/>
  <c r="BB132" i="7"/>
  <c r="BC132" i="7" s="1"/>
  <c r="BB133" i="7"/>
  <c r="BC133" i="7" s="1"/>
  <c r="BB134" i="7"/>
  <c r="BC134" i="7" s="1"/>
  <c r="BB135" i="7"/>
  <c r="BC135" i="7" s="1"/>
  <c r="BB136" i="7"/>
  <c r="BC136" i="7" s="1"/>
  <c r="BB137" i="7"/>
  <c r="BC137" i="7" s="1"/>
  <c r="BB138" i="7"/>
  <c r="BC138" i="7" s="1"/>
  <c r="BB139" i="7"/>
  <c r="BC139" i="7" s="1"/>
  <c r="BB140" i="7"/>
  <c r="BC140" i="7" s="1"/>
  <c r="BB141" i="7"/>
  <c r="BC141" i="7" s="1"/>
  <c r="BB142" i="7"/>
  <c r="BC142" i="7" s="1"/>
  <c r="BB143" i="7"/>
  <c r="BC143" i="7" s="1"/>
  <c r="BB144" i="7"/>
  <c r="BC144" i="7" s="1"/>
  <c r="BB145" i="7"/>
  <c r="BC145" i="7" s="1"/>
  <c r="BB146" i="7"/>
  <c r="BC146" i="7" s="1"/>
  <c r="BB147" i="7"/>
  <c r="BC147" i="7" s="1"/>
  <c r="I107" i="7"/>
  <c r="G107" i="7"/>
  <c r="L117" i="7"/>
  <c r="I117" i="7"/>
  <c r="G117" i="7"/>
  <c r="L121" i="7"/>
  <c r="I121" i="7"/>
  <c r="G121" i="7"/>
  <c r="L126" i="7"/>
  <c r="I126" i="7"/>
  <c r="G126" i="7"/>
  <c r="L125" i="7"/>
  <c r="I125" i="7"/>
  <c r="G125" i="7"/>
  <c r="L129" i="7"/>
  <c r="I129" i="7"/>
  <c r="G129" i="7"/>
  <c r="L123" i="7"/>
  <c r="G123" i="7"/>
  <c r="I123" i="7"/>
  <c r="AW108" i="7"/>
  <c r="N108" i="7" s="1"/>
  <c r="M108" i="7" s="1"/>
  <c r="L111" i="7"/>
  <c r="I111" i="7"/>
  <c r="G111" i="7"/>
  <c r="AW107" i="7"/>
  <c r="N107" i="7" s="1"/>
  <c r="M107" i="7" s="1"/>
  <c r="L107" i="7"/>
  <c r="AU108" i="7"/>
  <c r="AU119" i="7"/>
  <c r="AU115" i="7"/>
  <c r="AU128" i="7"/>
  <c r="AU106" i="7"/>
  <c r="AU122" i="7"/>
  <c r="AU127" i="7"/>
  <c r="AU124" i="7"/>
  <c r="AU111" i="7"/>
  <c r="AU117" i="7"/>
  <c r="AV113" i="7"/>
  <c r="AU112" i="7"/>
  <c r="AU107" i="7"/>
  <c r="AU109" i="7"/>
  <c r="AU126" i="7"/>
  <c r="AV114" i="7"/>
  <c r="AD110" i="7"/>
  <c r="AU116" i="7"/>
  <c r="AU118" i="7"/>
  <c r="AU120" i="7"/>
  <c r="AU121" i="7"/>
  <c r="AU123" i="7"/>
  <c r="AR128" i="7"/>
  <c r="AT128" i="7" s="1"/>
  <c r="N116" i="7"/>
  <c r="M116" i="7" s="1"/>
  <c r="AD116" i="7"/>
  <c r="AV116" i="7"/>
  <c r="AV107" i="7"/>
  <c r="N119" i="7"/>
  <c r="M119" i="7" s="1"/>
  <c r="AD119" i="7"/>
  <c r="AV119" i="7"/>
  <c r="AV124" i="7"/>
  <c r="AW124" i="7"/>
  <c r="N124" i="7" s="1"/>
  <c r="M124" i="7" s="1"/>
  <c r="AD124" i="7"/>
  <c r="AV118" i="7"/>
  <c r="N118" i="7"/>
  <c r="M118" i="7" s="1"/>
  <c r="AD118" i="7"/>
  <c r="AV120" i="7"/>
  <c r="AD120" i="7"/>
  <c r="N120" i="7"/>
  <c r="M120" i="7" s="1"/>
  <c r="N122" i="7"/>
  <c r="M122" i="7" s="1"/>
  <c r="AV122" i="7"/>
  <c r="AD122" i="7"/>
  <c r="AD115" i="7"/>
  <c r="N115" i="7"/>
  <c r="M115" i="7" s="1"/>
  <c r="AV115" i="7"/>
  <c r="AD112" i="7"/>
  <c r="N112" i="7"/>
  <c r="M112" i="7" s="1"/>
  <c r="AV112" i="7"/>
  <c r="AV108" i="7"/>
  <c r="AW127" i="7"/>
  <c r="N127" i="7" s="1"/>
  <c r="M127" i="7" s="1"/>
  <c r="AD127" i="7"/>
  <c r="AV127" i="7"/>
  <c r="N109" i="7"/>
  <c r="M109" i="7" s="1"/>
  <c r="AD109" i="7"/>
  <c r="AV109" i="7"/>
  <c r="BH5" i="7" l="1"/>
  <c r="DC50" i="7"/>
  <c r="BH50" i="7"/>
  <c r="DC5" i="7"/>
  <c r="CM3" i="7"/>
  <c r="BK3" i="7"/>
  <c r="BC105" i="7"/>
  <c r="BD147" i="7" s="1"/>
  <c r="BE147" i="7" s="1"/>
  <c r="DA74" i="7" s="1"/>
  <c r="DA75" i="7" s="1"/>
  <c r="DA78" i="7" s="1"/>
  <c r="DC88" i="7"/>
  <c r="D102" i="7" s="1"/>
  <c r="L120" i="7"/>
  <c r="G120" i="7"/>
  <c r="I120" i="7"/>
  <c r="L127" i="7"/>
  <c r="G127" i="7"/>
  <c r="I127" i="7"/>
  <c r="L118" i="7"/>
  <c r="G118" i="7"/>
  <c r="I118" i="7"/>
  <c r="L122" i="7"/>
  <c r="G122" i="7"/>
  <c r="I122" i="7"/>
  <c r="L119" i="7"/>
  <c r="G119" i="7"/>
  <c r="I119" i="7"/>
  <c r="L116" i="7"/>
  <c r="I116" i="7"/>
  <c r="G116" i="7"/>
  <c r="L124" i="7"/>
  <c r="I124" i="7"/>
  <c r="G124" i="7"/>
  <c r="L110" i="7"/>
  <c r="I110" i="7"/>
  <c r="G110" i="7"/>
  <c r="L109" i="7"/>
  <c r="I109" i="7"/>
  <c r="G109" i="7"/>
  <c r="L108" i="7"/>
  <c r="I108" i="7"/>
  <c r="G108" i="7"/>
  <c r="L112" i="7"/>
  <c r="I112" i="7"/>
  <c r="G112" i="7"/>
  <c r="L115" i="7"/>
  <c r="I115" i="7"/>
  <c r="G115" i="7"/>
  <c r="N110" i="7"/>
  <c r="M110" i="7" s="1"/>
  <c r="AD113" i="7"/>
  <c r="N114" i="7"/>
  <c r="M114" i="7" s="1"/>
  <c r="N113" i="7"/>
  <c r="M113" i="7" s="1"/>
  <c r="AD114" i="7"/>
  <c r="AW128" i="7"/>
  <c r="N128" i="7" s="1"/>
  <c r="M128" i="7" s="1"/>
  <c r="AV110" i="7"/>
  <c r="D99" i="7"/>
  <c r="BH3" i="7" l="1"/>
  <c r="BG50" i="7" s="1"/>
  <c r="DC3" i="7"/>
  <c r="DD50" i="7" s="1"/>
  <c r="BD145" i="7"/>
  <c r="BE145" i="7" s="1"/>
  <c r="CY74" i="7" s="1"/>
  <c r="CY75" i="7" s="1"/>
  <c r="CY78" i="7" s="1"/>
  <c r="BD134" i="7"/>
  <c r="BE134" i="7" s="1"/>
  <c r="CN74" i="7" s="1"/>
  <c r="CA20" i="7" s="1"/>
  <c r="BD129" i="7"/>
  <c r="BE129" i="7" s="1"/>
  <c r="CI74" i="7" s="1"/>
  <c r="CN56" i="7" s="1"/>
  <c r="BD108" i="7"/>
  <c r="BE108" i="7" s="1"/>
  <c r="BN74" i="7" s="1"/>
  <c r="BQ42" i="7" s="1"/>
  <c r="BQ46" i="7" s="1"/>
  <c r="BQ47" i="7" s="1"/>
  <c r="BD113" i="7"/>
  <c r="BE113" i="7" s="1"/>
  <c r="BS74" i="7" s="1"/>
  <c r="CA37" i="7" s="1"/>
  <c r="BD107" i="7"/>
  <c r="BE107" i="7" s="1"/>
  <c r="BM74" i="7" s="1"/>
  <c r="BK43" i="7" s="1"/>
  <c r="BD124" i="7"/>
  <c r="BE124" i="7" s="1"/>
  <c r="CD74" i="7" s="1"/>
  <c r="CJ61" i="7" s="1"/>
  <c r="CJ69" i="7" s="1"/>
  <c r="BD123" i="7"/>
  <c r="BE123" i="7" s="1"/>
  <c r="CC74" i="7" s="1"/>
  <c r="BR27" i="7" s="1"/>
  <c r="BD140" i="7"/>
  <c r="BE140" i="7" s="1"/>
  <c r="CT74" i="7" s="1"/>
  <c r="CT75" i="7" s="1"/>
  <c r="CT78" i="7" s="1"/>
  <c r="BD118" i="7"/>
  <c r="BE118" i="7" s="1"/>
  <c r="BX74" i="7" s="1"/>
  <c r="BK32" i="7" s="1"/>
  <c r="BD139" i="7"/>
  <c r="BE139" i="7" s="1"/>
  <c r="CS74" i="7" s="1"/>
  <c r="DA15" i="7" s="1"/>
  <c r="BD120" i="7"/>
  <c r="BE120" i="7" s="1"/>
  <c r="BZ74" i="7" s="1"/>
  <c r="CN30" i="7" s="1"/>
  <c r="BD136" i="7"/>
  <c r="BE136" i="7" s="1"/>
  <c r="CP74" i="7" s="1"/>
  <c r="CP75" i="7" s="1"/>
  <c r="CP78" i="7" s="1"/>
  <c r="BD109" i="7"/>
  <c r="BE109" i="7" s="1"/>
  <c r="BO74" i="7" s="1"/>
  <c r="BS41" i="7" s="1"/>
  <c r="BD125" i="7"/>
  <c r="BE125" i="7" s="1"/>
  <c r="CE74" i="7" s="1"/>
  <c r="BV25" i="7" s="1"/>
  <c r="BV46" i="7" s="1"/>
  <c r="BV47" i="7" s="1"/>
  <c r="BD141" i="7"/>
  <c r="BE141" i="7" s="1"/>
  <c r="CU74" i="7" s="1"/>
  <c r="CU75" i="7" s="1"/>
  <c r="CU78" i="7" s="1"/>
  <c r="BD114" i="7"/>
  <c r="BE114" i="7" s="1"/>
  <c r="BT74" i="7" s="1"/>
  <c r="BT75" i="7" s="1"/>
  <c r="BT78" i="7" s="1"/>
  <c r="BD130" i="7"/>
  <c r="BE130" i="7" s="1"/>
  <c r="CJ74" i="7" s="1"/>
  <c r="BX41" i="7" s="1"/>
  <c r="BD146" i="7"/>
  <c r="BE146" i="7" s="1"/>
  <c r="CZ74" i="7" s="1"/>
  <c r="CZ75" i="7" s="1"/>
  <c r="CZ78" i="7" s="1"/>
  <c r="BD119" i="7"/>
  <c r="BE119" i="7" s="1"/>
  <c r="BY74" i="7" s="1"/>
  <c r="CM31" i="7" s="1"/>
  <c r="BD135" i="7"/>
  <c r="BE135" i="7" s="1"/>
  <c r="CO74" i="7" s="1"/>
  <c r="DA19" i="7" s="1"/>
  <c r="BD112" i="7"/>
  <c r="BE112" i="7" s="1"/>
  <c r="BR74" i="7" s="1"/>
  <c r="BY38" i="7" s="1"/>
  <c r="BD128" i="7"/>
  <c r="BE128" i="7" s="1"/>
  <c r="CH74" i="7" s="1"/>
  <c r="CB57" i="7" s="1"/>
  <c r="BD144" i="7"/>
  <c r="BE144" i="7" s="1"/>
  <c r="CX74" i="7" s="1"/>
  <c r="CX75" i="7" s="1"/>
  <c r="CX78" i="7" s="1"/>
  <c r="BD117" i="7"/>
  <c r="BE117" i="7" s="1"/>
  <c r="BW74" i="7" s="1"/>
  <c r="BK33" i="7" s="1"/>
  <c r="BD133" i="7"/>
  <c r="BE133" i="7" s="1"/>
  <c r="CM74" i="7" s="1"/>
  <c r="BY21" i="7" s="1"/>
  <c r="BD106" i="7"/>
  <c r="BE106" i="7" s="1"/>
  <c r="BL74" i="7" s="1"/>
  <c r="BM44" i="7" s="1"/>
  <c r="BD122" i="7"/>
  <c r="BE122" i="7" s="1"/>
  <c r="CB74" i="7" s="1"/>
  <c r="CN28" i="7" s="1"/>
  <c r="BD138" i="7"/>
  <c r="BE138" i="7" s="1"/>
  <c r="CR74" i="7" s="1"/>
  <c r="CI16" i="7" s="1"/>
  <c r="BD111" i="7"/>
  <c r="BE111" i="7" s="1"/>
  <c r="BQ74" i="7" s="1"/>
  <c r="BK39" i="7" s="1"/>
  <c r="BD127" i="7"/>
  <c r="BE127" i="7" s="1"/>
  <c r="CG74" i="7" s="1"/>
  <c r="BX44" i="7" s="1"/>
  <c r="BD143" i="7"/>
  <c r="BE143" i="7" s="1"/>
  <c r="CW74" i="7" s="1"/>
  <c r="DA11" i="7" s="1"/>
  <c r="BD116" i="7"/>
  <c r="BE116" i="7" s="1"/>
  <c r="BV74" i="7" s="1"/>
  <c r="CE34" i="7" s="1"/>
  <c r="BD132" i="7"/>
  <c r="BE132" i="7" s="1"/>
  <c r="CL74" i="7" s="1"/>
  <c r="BX22" i="7" s="1"/>
  <c r="BD105" i="7"/>
  <c r="BE105" i="7" s="1"/>
  <c r="BK74" i="7" s="1"/>
  <c r="BK75" i="7" s="1"/>
  <c r="BK78" i="7" s="1"/>
  <c r="BD121" i="7"/>
  <c r="BE121" i="7" s="1"/>
  <c r="CA74" i="7" s="1"/>
  <c r="BN29" i="7" s="1"/>
  <c r="BN46" i="7" s="1"/>
  <c r="BN47" i="7" s="1"/>
  <c r="BD137" i="7"/>
  <c r="BE137" i="7" s="1"/>
  <c r="CQ74" i="7" s="1"/>
  <c r="CQ75" i="7" s="1"/>
  <c r="CQ78" i="7" s="1"/>
  <c r="BD110" i="7"/>
  <c r="BE110" i="7" s="1"/>
  <c r="BP74" i="7" s="1"/>
  <c r="BK40" i="7" s="1"/>
  <c r="BD126" i="7"/>
  <c r="BE126" i="7" s="1"/>
  <c r="CF74" i="7" s="1"/>
  <c r="CN59" i="7" s="1"/>
  <c r="BD142" i="7"/>
  <c r="BE142" i="7" s="1"/>
  <c r="CV74" i="7" s="1"/>
  <c r="DA12" i="7" s="1"/>
  <c r="BD115" i="7"/>
  <c r="BE115" i="7" s="1"/>
  <c r="BU74" i="7" s="1"/>
  <c r="CE35" i="7" s="1"/>
  <c r="BD131" i="7"/>
  <c r="BE131" i="7" s="1"/>
  <c r="CK74" i="7" s="1"/>
  <c r="CH54" i="7" s="1"/>
  <c r="CH69" i="7" s="1"/>
  <c r="D100" i="7"/>
  <c r="L113" i="7"/>
  <c r="I113" i="7"/>
  <c r="G113" i="7"/>
  <c r="L114" i="7"/>
  <c r="I114" i="7"/>
  <c r="G114" i="7"/>
  <c r="CB46" i="7"/>
  <c r="CB47" i="7" s="1"/>
  <c r="BZ46" i="7"/>
  <c r="BZ47" i="7" s="1"/>
  <c r="CD46" i="7"/>
  <c r="CD47" i="7" s="1"/>
  <c r="CF46" i="7"/>
  <c r="CF47" i="7" s="1"/>
  <c r="AV128" i="7"/>
  <c r="AD128" i="7"/>
  <c r="CG46" i="7"/>
  <c r="CG47" i="7" s="1"/>
  <c r="B83" i="7" l="1"/>
  <c r="D84" i="7" s="1"/>
  <c r="CW9" i="7"/>
  <c r="CW46" i="7" s="1"/>
  <c r="CW47" i="7" s="1"/>
  <c r="DA9" i="7"/>
  <c r="BU40" i="7"/>
  <c r="BU46" i="7" s="1"/>
  <c r="BU47" i="7" s="1"/>
  <c r="CX40" i="7"/>
  <c r="CX46" i="7" s="1"/>
  <c r="CX47" i="7" s="1"/>
  <c r="BL75" i="7"/>
  <c r="BL78" i="7" s="1"/>
  <c r="CH75" i="7"/>
  <c r="CH78" i="7" s="1"/>
  <c r="CN52" i="7"/>
  <c r="CB75" i="7"/>
  <c r="CB78" i="7" s="1"/>
  <c r="BO75" i="7"/>
  <c r="BO78" i="7" s="1"/>
  <c r="CA62" i="7"/>
  <c r="CA69" i="7" s="1"/>
  <c r="BO43" i="7"/>
  <c r="BO46" i="7" s="1"/>
  <c r="BO47" i="7" s="1"/>
  <c r="CN75" i="7"/>
  <c r="CN78" i="7" s="1"/>
  <c r="CM54" i="7"/>
  <c r="CM69" i="7" s="1"/>
  <c r="CK32" i="7"/>
  <c r="CM14" i="7"/>
  <c r="CM46" i="7" s="1"/>
  <c r="CM47" i="7" s="1"/>
  <c r="BX64" i="7"/>
  <c r="BK31" i="7"/>
  <c r="CO13" i="7"/>
  <c r="CO46" i="7" s="1"/>
  <c r="CO47" i="7" s="1"/>
  <c r="BK42" i="7"/>
  <c r="DA10" i="7"/>
  <c r="BN75" i="7"/>
  <c r="BN78" i="7" s="1"/>
  <c r="BZ66" i="7"/>
  <c r="BP75" i="7"/>
  <c r="BP78" i="7" s="1"/>
  <c r="CK75" i="7"/>
  <c r="CK78" i="7" s="1"/>
  <c r="CL52" i="7"/>
  <c r="BW39" i="7"/>
  <c r="BW46" i="7" s="1"/>
  <c r="BW47" i="7" s="1"/>
  <c r="DA21" i="7"/>
  <c r="CI55" i="7"/>
  <c r="CN53" i="7"/>
  <c r="CM75" i="7"/>
  <c r="CM78" i="7" s="1"/>
  <c r="BK41" i="7"/>
  <c r="BK38" i="7"/>
  <c r="CV41" i="7"/>
  <c r="CV46" i="7" s="1"/>
  <c r="CV47" i="7" s="1"/>
  <c r="BM75" i="7"/>
  <c r="BM78" i="7" s="1"/>
  <c r="BQ75" i="7"/>
  <c r="BQ78" i="7" s="1"/>
  <c r="BR75" i="7"/>
  <c r="BR78" i="7" s="1"/>
  <c r="CJ75" i="7"/>
  <c r="CJ78" i="7" s="1"/>
  <c r="CI53" i="7"/>
  <c r="BX40" i="7"/>
  <c r="DA20" i="7"/>
  <c r="CD64" i="7"/>
  <c r="CK15" i="7"/>
  <c r="CK46" i="7" s="1"/>
  <c r="CK47" i="7" s="1"/>
  <c r="BX42" i="7"/>
  <c r="CT42" i="7"/>
  <c r="CT46" i="7" s="1"/>
  <c r="CT47" i="7" s="1"/>
  <c r="CS75" i="7"/>
  <c r="CS78" i="7" s="1"/>
  <c r="CF75" i="7"/>
  <c r="CF78" i="7" s="1"/>
  <c r="BX75" i="7"/>
  <c r="BX78" i="7" s="1"/>
  <c r="BX61" i="7"/>
  <c r="CK55" i="7"/>
  <c r="CK69" i="7" s="1"/>
  <c r="CL75" i="7"/>
  <c r="CL78" i="7" s="1"/>
  <c r="BK44" i="7"/>
  <c r="CN26" i="7"/>
  <c r="CZ22" i="7"/>
  <c r="CZ46" i="7" s="1"/>
  <c r="CZ47" i="7" s="1"/>
  <c r="CI75" i="7"/>
  <c r="CI78" i="7" s="1"/>
  <c r="CN58" i="7"/>
  <c r="BT26" i="7"/>
  <c r="BT46" i="7" s="1"/>
  <c r="BT47" i="7" s="1"/>
  <c r="CY17" i="7"/>
  <c r="BM34" i="7"/>
  <c r="BM46" i="7" s="1"/>
  <c r="BM47" i="7" s="1"/>
  <c r="BS75" i="7"/>
  <c r="BS78" i="7" s="1"/>
  <c r="BK37" i="7"/>
  <c r="CR75" i="7"/>
  <c r="CR78" i="7" s="1"/>
  <c r="CC36" i="7"/>
  <c r="CE18" i="7"/>
  <c r="CE46" i="7" s="1"/>
  <c r="CE47" i="7" s="1"/>
  <c r="BZ75" i="7"/>
  <c r="BZ78" i="7" s="1"/>
  <c r="BL30" i="7"/>
  <c r="BL46" i="7" s="1"/>
  <c r="BL47" i="7" s="1"/>
  <c r="BP28" i="7"/>
  <c r="BP46" i="7" s="1"/>
  <c r="BP47" i="7" s="1"/>
  <c r="CD75" i="7"/>
  <c r="CD78" i="7" s="1"/>
  <c r="CG75" i="7"/>
  <c r="CG78" i="7" s="1"/>
  <c r="BY75" i="7"/>
  <c r="BY78" i="7" s="1"/>
  <c r="CB65" i="7"/>
  <c r="CB69" i="7" s="1"/>
  <c r="CE62" i="7"/>
  <c r="BX60" i="7"/>
  <c r="CD56" i="7"/>
  <c r="CD69" i="7" s="1"/>
  <c r="CN29" i="7"/>
  <c r="CN27" i="7"/>
  <c r="CP44" i="7"/>
  <c r="CP46" i="7" s="1"/>
  <c r="CP47" i="7" s="1"/>
  <c r="DA13" i="7"/>
  <c r="CS11" i="7"/>
  <c r="CS46" i="7" s="1"/>
  <c r="CS47" i="7" s="1"/>
  <c r="BX66" i="7"/>
  <c r="CE63" i="7"/>
  <c r="CU10" i="7"/>
  <c r="CU46" i="7" s="1"/>
  <c r="CU47" i="7" s="1"/>
  <c r="CE75" i="7"/>
  <c r="CE78" i="7" s="1"/>
  <c r="CC75" i="7"/>
  <c r="CC78" i="7" s="1"/>
  <c r="BX65" i="7"/>
  <c r="BY63" i="7"/>
  <c r="BY69" i="7" s="1"/>
  <c r="CN25" i="7"/>
  <c r="CV75" i="7"/>
  <c r="CV78" i="7" s="1"/>
  <c r="BU75" i="7"/>
  <c r="BU78" i="7" s="1"/>
  <c r="BV75" i="7"/>
  <c r="BV78" i="7" s="1"/>
  <c r="BW75" i="7"/>
  <c r="BW78" i="7" s="1"/>
  <c r="BK36" i="7"/>
  <c r="CO75" i="7"/>
  <c r="CO78" i="7" s="1"/>
  <c r="CI17" i="7"/>
  <c r="DA16" i="7"/>
  <c r="CQ12" i="7"/>
  <c r="CQ46" i="7" s="1"/>
  <c r="CQ47" i="7" s="1"/>
  <c r="CW75" i="7"/>
  <c r="CW78" i="7" s="1"/>
  <c r="BK35" i="7"/>
  <c r="DA14" i="7"/>
  <c r="CI33" i="7"/>
  <c r="CC19" i="7"/>
  <c r="DA18" i="7"/>
  <c r="CA75" i="7"/>
  <c r="CA78" i="7" s="1"/>
  <c r="CL60" i="7"/>
  <c r="BZ58" i="7"/>
  <c r="BX24" i="7"/>
  <c r="BX43" i="7"/>
  <c r="DA8" i="7"/>
  <c r="BX59" i="7"/>
  <c r="CN57" i="7"/>
  <c r="CN24" i="7"/>
  <c r="CR43" i="7"/>
  <c r="CR46" i="7" s="1"/>
  <c r="CR47" i="7" s="1"/>
  <c r="CY8" i="7"/>
  <c r="L128" i="7"/>
  <c r="I128" i="7"/>
  <c r="G128" i="7"/>
  <c r="CA46" i="7"/>
  <c r="CA47" i="7" s="1"/>
  <c r="CH46" i="7"/>
  <c r="CH47" i="7" s="1"/>
  <c r="BS46" i="7"/>
  <c r="BS47" i="7" s="1"/>
  <c r="BY46" i="7"/>
  <c r="BY47" i="7" s="1"/>
  <c r="BR46" i="7"/>
  <c r="BR47" i="7" s="1"/>
  <c r="B84" i="7" l="1"/>
  <c r="B76" i="7" s="1"/>
  <c r="B78" i="7" s="1"/>
  <c r="E84" i="7"/>
  <c r="CI69" i="7"/>
  <c r="CL69" i="7"/>
  <c r="BZ69" i="7"/>
  <c r="CN69" i="7"/>
  <c r="CE69" i="7"/>
  <c r="CN46" i="7"/>
  <c r="CN47" i="7" s="1"/>
  <c r="CY46" i="7"/>
  <c r="CY47" i="7" s="1"/>
  <c r="BX69" i="7"/>
  <c r="BK46" i="7"/>
  <c r="BK47" i="7" s="1"/>
  <c r="CC46" i="7"/>
  <c r="CC47" i="7" s="1"/>
  <c r="DA46" i="7"/>
  <c r="DA47" i="7" s="1"/>
  <c r="CI46" i="7"/>
  <c r="CI47" i="7" s="1"/>
  <c r="BX46" i="7"/>
  <c r="BX47" i="7" s="1"/>
  <c r="AY174" i="4"/>
  <c r="AY170" i="4"/>
  <c r="E76" i="7" l="1"/>
  <c r="E78" i="7" s="1"/>
  <c r="AX101" i="7"/>
  <c r="AY101" i="7" s="1"/>
  <c r="AX102" i="7"/>
  <c r="AY102" i="7" s="1"/>
  <c r="AY169" i="4"/>
  <c r="AY173" i="4"/>
  <c r="AY177" i="4"/>
  <c r="AY168" i="4"/>
  <c r="AY172" i="4"/>
  <c r="AY176" i="4"/>
  <c r="AY167" i="4"/>
  <c r="AY171" i="4"/>
  <c r="AY175" i="4"/>
  <c r="AY166" i="4"/>
  <c r="BV1" i="4" l="1"/>
  <c r="E92" i="4" s="1"/>
  <c r="Q210" i="4"/>
  <c r="R210" i="4" s="1"/>
  <c r="S210" i="4" s="1"/>
  <c r="T210" i="4" s="1"/>
  <c r="U210" i="4" s="1"/>
  <c r="Q209" i="4"/>
  <c r="R209" i="4" s="1"/>
  <c r="S209" i="4" s="1"/>
  <c r="T209" i="4" s="1"/>
  <c r="U209" i="4" s="1"/>
  <c r="Q208" i="4"/>
  <c r="R208" i="4" s="1"/>
  <c r="S208" i="4" s="1"/>
  <c r="T208" i="4" s="1"/>
  <c r="U208" i="4" s="1"/>
  <c r="Q207" i="4"/>
  <c r="R207" i="4" s="1"/>
  <c r="S207" i="4" s="1"/>
  <c r="T207" i="4" s="1"/>
  <c r="U207" i="4" s="1"/>
  <c r="Q206" i="4"/>
  <c r="R206" i="4" s="1"/>
  <c r="S206" i="4" s="1"/>
  <c r="T206" i="4" s="1"/>
  <c r="U206" i="4" s="1"/>
  <c r="Q205" i="4"/>
  <c r="R205" i="4" s="1"/>
  <c r="S205" i="4" s="1"/>
  <c r="T205" i="4" s="1"/>
  <c r="U205" i="4" s="1"/>
  <c r="Q204" i="4"/>
  <c r="R204" i="4" s="1"/>
  <c r="S204" i="4" s="1"/>
  <c r="T204" i="4" s="1"/>
  <c r="U204" i="4" s="1"/>
  <c r="Q203" i="4"/>
  <c r="R203" i="4" s="1"/>
  <c r="S203" i="4" s="1"/>
  <c r="T203" i="4" s="1"/>
  <c r="U203" i="4" s="1"/>
  <c r="Q202" i="4"/>
  <c r="R202" i="4" s="1"/>
  <c r="S202" i="4" s="1"/>
  <c r="T202" i="4" s="1"/>
  <c r="U202" i="4" s="1"/>
  <c r="Q201" i="4"/>
  <c r="R201" i="4" s="1"/>
  <c r="S201" i="4" s="1"/>
  <c r="T201" i="4" s="1"/>
  <c r="U201" i="4" s="1"/>
  <c r="Q200" i="4"/>
  <c r="R200" i="4" s="1"/>
  <c r="S200" i="4" s="1"/>
  <c r="T200" i="4" s="1"/>
  <c r="U200" i="4" s="1"/>
  <c r="Q199" i="4"/>
  <c r="R199" i="4" s="1"/>
  <c r="S199" i="4" s="1"/>
  <c r="T199" i="4" s="1"/>
  <c r="U199" i="4" s="1"/>
  <c r="Q198" i="4"/>
  <c r="R198" i="4" s="1"/>
  <c r="S198" i="4" s="1"/>
  <c r="T198" i="4" s="1"/>
  <c r="U198" i="4" s="1"/>
  <c r="Q197" i="4"/>
  <c r="R197" i="4" s="1"/>
  <c r="S197" i="4" s="1"/>
  <c r="T197" i="4" s="1"/>
  <c r="U197" i="4" s="1"/>
  <c r="Q196" i="4"/>
  <c r="R196" i="4" s="1"/>
  <c r="S196" i="4" s="1"/>
  <c r="T196" i="4" s="1"/>
  <c r="U196" i="4" s="1"/>
  <c r="Q195" i="4"/>
  <c r="R195" i="4" s="1"/>
  <c r="S195" i="4" s="1"/>
  <c r="T195" i="4" s="1"/>
  <c r="U195" i="4" s="1"/>
  <c r="Q194" i="4"/>
  <c r="R194" i="4" s="1"/>
  <c r="S194" i="4" s="1"/>
  <c r="T194" i="4" s="1"/>
  <c r="U194" i="4" s="1"/>
  <c r="Q193" i="4"/>
  <c r="R193" i="4" s="1"/>
  <c r="S193" i="4" s="1"/>
  <c r="T193" i="4" s="1"/>
  <c r="U193" i="4" s="1"/>
  <c r="Q192" i="4"/>
  <c r="R192" i="4" s="1"/>
  <c r="S192" i="4" s="1"/>
  <c r="T192" i="4" s="1"/>
  <c r="U192" i="4" s="1"/>
  <c r="Q191" i="4"/>
  <c r="R191" i="4" s="1"/>
  <c r="S191" i="4" s="1"/>
  <c r="T191" i="4" s="1"/>
  <c r="U191" i="4" s="1"/>
  <c r="Q190" i="4"/>
  <c r="R190" i="4" s="1"/>
  <c r="S190" i="4" s="1"/>
  <c r="T190" i="4" s="1"/>
  <c r="U190" i="4" s="1"/>
  <c r="Q189" i="4"/>
  <c r="R189" i="4" s="1"/>
  <c r="S189" i="4" s="1"/>
  <c r="T189" i="4" s="1"/>
  <c r="U189" i="4" s="1"/>
  <c r="Q188" i="4"/>
  <c r="R188" i="4" s="1"/>
  <c r="S188" i="4" s="1"/>
  <c r="T188" i="4" s="1"/>
  <c r="U188" i="4" s="1"/>
  <c r="N187" i="4"/>
  <c r="M187" i="4" s="1"/>
  <c r="Q177" i="4"/>
  <c r="R177" i="4" s="1"/>
  <c r="S177" i="4" s="1"/>
  <c r="T177" i="4" s="1"/>
  <c r="U177" i="4" s="1"/>
  <c r="Q176" i="4"/>
  <c r="R176" i="4" s="1"/>
  <c r="S176" i="4" s="1"/>
  <c r="T176" i="4" s="1"/>
  <c r="U176" i="4" s="1"/>
  <c r="Q175" i="4"/>
  <c r="R175" i="4" s="1"/>
  <c r="S175" i="4" s="1"/>
  <c r="T175" i="4" s="1"/>
  <c r="U175" i="4" s="1"/>
  <c r="Q174" i="4"/>
  <c r="R174" i="4" s="1"/>
  <c r="S174" i="4" s="1"/>
  <c r="T174" i="4" s="1"/>
  <c r="U174" i="4" s="1"/>
  <c r="Q173" i="4"/>
  <c r="R173" i="4" s="1"/>
  <c r="S173" i="4" s="1"/>
  <c r="T173" i="4" s="1"/>
  <c r="U173" i="4" s="1"/>
  <c r="Q172" i="4"/>
  <c r="R172" i="4" s="1"/>
  <c r="S172" i="4" s="1"/>
  <c r="T172" i="4" s="1"/>
  <c r="U172" i="4" s="1"/>
  <c r="Q171" i="4"/>
  <c r="R171" i="4" s="1"/>
  <c r="S171" i="4" s="1"/>
  <c r="T171" i="4" s="1"/>
  <c r="U171" i="4" s="1"/>
  <c r="Q170" i="4"/>
  <c r="R170" i="4" s="1"/>
  <c r="S170" i="4" s="1"/>
  <c r="T170" i="4" s="1"/>
  <c r="U170" i="4" s="1"/>
  <c r="Q169" i="4"/>
  <c r="R169" i="4" s="1"/>
  <c r="S169" i="4" s="1"/>
  <c r="T169" i="4" s="1"/>
  <c r="U169" i="4" s="1"/>
  <c r="Q168" i="4"/>
  <c r="R168" i="4" s="1"/>
  <c r="S168" i="4" s="1"/>
  <c r="T168" i="4" s="1"/>
  <c r="U168" i="4" s="1"/>
  <c r="Q167" i="4"/>
  <c r="R167" i="4" s="1"/>
  <c r="S167" i="4" s="1"/>
  <c r="T167" i="4" s="1"/>
  <c r="U167" i="4" s="1"/>
  <c r="Q156" i="4"/>
  <c r="R156" i="4" s="1"/>
  <c r="S156" i="4" s="1"/>
  <c r="T156" i="4" s="1"/>
  <c r="U156" i="4" s="1"/>
  <c r="Q155" i="4"/>
  <c r="R155" i="4" s="1"/>
  <c r="S155" i="4" s="1"/>
  <c r="T155" i="4" s="1"/>
  <c r="U155" i="4" s="1"/>
  <c r="Q154" i="4"/>
  <c r="R154" i="4" s="1"/>
  <c r="S154" i="4" s="1"/>
  <c r="T154" i="4" s="1"/>
  <c r="U154" i="4" s="1"/>
  <c r="Q153" i="4"/>
  <c r="R153" i="4" s="1"/>
  <c r="S153" i="4" s="1"/>
  <c r="T153" i="4" s="1"/>
  <c r="U153" i="4" s="1"/>
  <c r="Q152" i="4"/>
  <c r="R152" i="4" s="1"/>
  <c r="S152" i="4" s="1"/>
  <c r="T152" i="4" s="1"/>
  <c r="U152" i="4" s="1"/>
  <c r="Q151" i="4"/>
  <c r="R151" i="4" s="1"/>
  <c r="S151" i="4" s="1"/>
  <c r="T151" i="4" s="1"/>
  <c r="U151" i="4" s="1"/>
  <c r="Q150" i="4"/>
  <c r="R150" i="4" s="1"/>
  <c r="S150" i="4" s="1"/>
  <c r="T150" i="4" s="1"/>
  <c r="U150" i="4" s="1"/>
  <c r="Q149" i="4"/>
  <c r="R149" i="4" s="1"/>
  <c r="S149" i="4" s="1"/>
  <c r="T149" i="4" s="1"/>
  <c r="U149" i="4" s="1"/>
  <c r="Q148" i="4"/>
  <c r="R148" i="4" s="1"/>
  <c r="S148" i="4" s="1"/>
  <c r="T148" i="4" s="1"/>
  <c r="U148" i="4" s="1"/>
  <c r="Q147" i="4"/>
  <c r="R147" i="4" s="1"/>
  <c r="S147" i="4" s="1"/>
  <c r="T147" i="4" s="1"/>
  <c r="U147" i="4" s="1"/>
  <c r="Q146" i="4"/>
  <c r="R146" i="4" s="1"/>
  <c r="S146" i="4" s="1"/>
  <c r="T146" i="4" s="1"/>
  <c r="U146" i="4" s="1"/>
  <c r="Q145" i="4"/>
  <c r="R145" i="4" s="1"/>
  <c r="S145" i="4" s="1"/>
  <c r="T145" i="4" s="1"/>
  <c r="U145" i="4" s="1"/>
  <c r="Q144" i="4"/>
  <c r="R144" i="4" s="1"/>
  <c r="S144" i="4" s="1"/>
  <c r="T144" i="4" s="1"/>
  <c r="U144" i="4" s="1"/>
  <c r="Q143" i="4"/>
  <c r="R143" i="4" s="1"/>
  <c r="S143" i="4" s="1"/>
  <c r="T143" i="4" s="1"/>
  <c r="U143" i="4" s="1"/>
  <c r="Q142" i="4"/>
  <c r="R142" i="4" s="1"/>
  <c r="S142" i="4" s="1"/>
  <c r="T142" i="4" s="1"/>
  <c r="U142" i="4" s="1"/>
  <c r="Q141" i="4"/>
  <c r="R141" i="4" s="1"/>
  <c r="S141" i="4" s="1"/>
  <c r="T141" i="4" s="1"/>
  <c r="U141" i="4" s="1"/>
  <c r="Q140" i="4"/>
  <c r="R140" i="4" s="1"/>
  <c r="S140" i="4" s="1"/>
  <c r="T140" i="4" s="1"/>
  <c r="U140" i="4" s="1"/>
  <c r="Q139" i="4"/>
  <c r="R139" i="4" s="1"/>
  <c r="S139" i="4" s="1"/>
  <c r="T139" i="4" s="1"/>
  <c r="U139" i="4" s="1"/>
  <c r="Q138" i="4"/>
  <c r="R138" i="4" s="1"/>
  <c r="S138" i="4" s="1"/>
  <c r="T138" i="4" s="1"/>
  <c r="U138" i="4" s="1"/>
  <c r="Q137" i="4"/>
  <c r="R137" i="4" s="1"/>
  <c r="S137" i="4" s="1"/>
  <c r="T137" i="4" s="1"/>
  <c r="U137" i="4" s="1"/>
  <c r="Q136" i="4"/>
  <c r="R136" i="4" s="1"/>
  <c r="S136" i="4" s="1"/>
  <c r="T136" i="4" s="1"/>
  <c r="U136" i="4" s="1"/>
  <c r="Q135" i="4"/>
  <c r="R135" i="4" s="1"/>
  <c r="S135" i="4" s="1"/>
  <c r="T135" i="4" s="1"/>
  <c r="U135" i="4" s="1"/>
  <c r="Q134" i="4"/>
  <c r="R134" i="4" s="1"/>
  <c r="S134" i="4" s="1"/>
  <c r="T134" i="4" s="1"/>
  <c r="U134" i="4" s="1"/>
  <c r="N133" i="4"/>
  <c r="M133" i="4" s="1"/>
  <c r="C133" i="4"/>
  <c r="V154" i="4" s="1"/>
  <c r="W154" i="4" s="1"/>
  <c r="H93" i="4" l="1"/>
  <c r="F93" i="4"/>
  <c r="AO136" i="4"/>
  <c r="AO144" i="4"/>
  <c r="V141" i="4"/>
  <c r="W141" i="4" s="1"/>
  <c r="X141" i="4" s="1"/>
  <c r="V145" i="4"/>
  <c r="W145" i="4" s="1"/>
  <c r="X145" i="4" s="1"/>
  <c r="V152" i="4"/>
  <c r="W152" i="4" s="1"/>
  <c r="X152" i="4" s="1"/>
  <c r="V137" i="4"/>
  <c r="W137" i="4" s="1"/>
  <c r="X137" i="4" s="1"/>
  <c r="AO140" i="4"/>
  <c r="AO148" i="4"/>
  <c r="V150" i="4"/>
  <c r="W150" i="4" s="1"/>
  <c r="X150" i="4" s="1"/>
  <c r="V149" i="4"/>
  <c r="W149" i="4" s="1"/>
  <c r="X149" i="4" s="1"/>
  <c r="X154" i="4"/>
  <c r="AO135" i="4"/>
  <c r="V136" i="4"/>
  <c r="W136" i="4" s="1"/>
  <c r="X136" i="4" s="1"/>
  <c r="AO139" i="4"/>
  <c r="V140" i="4"/>
  <c r="W140" i="4" s="1"/>
  <c r="X140" i="4" s="1"/>
  <c r="AO143" i="4"/>
  <c r="V144" i="4"/>
  <c r="W144" i="4" s="1"/>
  <c r="X144" i="4" s="1"/>
  <c r="AO147" i="4"/>
  <c r="V148" i="4"/>
  <c r="W148" i="4" s="1"/>
  <c r="X148" i="4" s="1"/>
  <c r="AO152" i="4"/>
  <c r="V155" i="4"/>
  <c r="W155" i="4" s="1"/>
  <c r="X155" i="4" s="1"/>
  <c r="AO154" i="4"/>
  <c r="V151" i="4"/>
  <c r="W151" i="4" s="1"/>
  <c r="X151" i="4" s="1"/>
  <c r="AO150" i="4"/>
  <c r="V156" i="4"/>
  <c r="W156" i="4" s="1"/>
  <c r="X156" i="4" s="1"/>
  <c r="AO155" i="4"/>
  <c r="AO156" i="4"/>
  <c r="V153" i="4"/>
  <c r="W153" i="4" s="1"/>
  <c r="X153" i="4" s="1"/>
  <c r="V133" i="4"/>
  <c r="W133" i="4" s="1"/>
  <c r="AO133" i="4"/>
  <c r="AO134" i="4"/>
  <c r="V135" i="4"/>
  <c r="W135" i="4" s="1"/>
  <c r="X135" i="4" s="1"/>
  <c r="AO138" i="4"/>
  <c r="V139" i="4"/>
  <c r="W139" i="4" s="1"/>
  <c r="X139" i="4" s="1"/>
  <c r="AO142" i="4"/>
  <c r="V143" i="4"/>
  <c r="W143" i="4" s="1"/>
  <c r="X143" i="4" s="1"/>
  <c r="AO146" i="4"/>
  <c r="V147" i="4"/>
  <c r="W147" i="4" s="1"/>
  <c r="X147" i="4" s="1"/>
  <c r="AO151" i="4"/>
  <c r="AO153" i="4"/>
  <c r="Q133" i="4"/>
  <c r="R133" i="4" s="1"/>
  <c r="S133" i="4" s="1"/>
  <c r="T133" i="4" s="1"/>
  <c r="U133" i="4" s="1"/>
  <c r="V134" i="4"/>
  <c r="W134" i="4" s="1"/>
  <c r="X134" i="4" s="1"/>
  <c r="AO137" i="4"/>
  <c r="V138" i="4"/>
  <c r="W138" i="4" s="1"/>
  <c r="X138" i="4" s="1"/>
  <c r="AO141" i="4"/>
  <c r="V142" i="4"/>
  <c r="W142" i="4" s="1"/>
  <c r="X142" i="4" s="1"/>
  <c r="AO145" i="4"/>
  <c r="V146" i="4"/>
  <c r="W146" i="4" s="1"/>
  <c r="X146" i="4" s="1"/>
  <c r="AO149" i="4"/>
  <c r="AP154" i="4" l="1"/>
  <c r="AT154" i="4"/>
  <c r="AU154" i="4" s="1"/>
  <c r="AV154" i="4" s="1"/>
  <c r="AQ154" i="4"/>
  <c r="AR154" i="4" s="1"/>
  <c r="AS154" i="4" s="1"/>
  <c r="AT139" i="4"/>
  <c r="AU139" i="4" s="1"/>
  <c r="AV139" i="4" s="1"/>
  <c r="AQ139" i="4"/>
  <c r="AR139" i="4" s="1"/>
  <c r="AS139" i="4" s="1"/>
  <c r="AP140" i="4"/>
  <c r="AT140" i="4"/>
  <c r="AU140" i="4" s="1"/>
  <c r="AV140" i="4" s="1"/>
  <c r="AQ140" i="4"/>
  <c r="AR140" i="4" s="1"/>
  <c r="AS140" i="4" s="1"/>
  <c r="AT145" i="4"/>
  <c r="AU145" i="4" s="1"/>
  <c r="AV145" i="4" s="1"/>
  <c r="AQ145" i="4"/>
  <c r="AR145" i="4" s="1"/>
  <c r="AS145" i="4" s="1"/>
  <c r="AT137" i="4"/>
  <c r="AU137" i="4" s="1"/>
  <c r="AV137" i="4" s="1"/>
  <c r="AQ137" i="4"/>
  <c r="AR137" i="4" s="1"/>
  <c r="AS137" i="4" s="1"/>
  <c r="AT146" i="4"/>
  <c r="AU146" i="4" s="1"/>
  <c r="AV146" i="4" s="1"/>
  <c r="AQ146" i="4"/>
  <c r="AR146" i="4" s="1"/>
  <c r="AS146" i="4" s="1"/>
  <c r="AT138" i="4"/>
  <c r="AU138" i="4" s="1"/>
  <c r="AV138" i="4" s="1"/>
  <c r="AQ138" i="4"/>
  <c r="AR138" i="4" s="1"/>
  <c r="AS138" i="4" s="1"/>
  <c r="AT133" i="4"/>
  <c r="AU133" i="4" s="1"/>
  <c r="AV133" i="4" s="1"/>
  <c r="AQ133" i="4"/>
  <c r="AR133" i="4" s="1"/>
  <c r="AS133" i="4" s="1"/>
  <c r="AP153" i="4"/>
  <c r="AT153" i="4"/>
  <c r="AU153" i="4" s="1"/>
  <c r="AV153" i="4" s="1"/>
  <c r="AQ153" i="4"/>
  <c r="AR153" i="4" s="1"/>
  <c r="AS153" i="4" s="1"/>
  <c r="AT150" i="4"/>
  <c r="AU150" i="4" s="1"/>
  <c r="AV150" i="4" s="1"/>
  <c r="AQ150" i="4"/>
  <c r="AR150" i="4" s="1"/>
  <c r="AS150" i="4" s="1"/>
  <c r="AT152" i="4"/>
  <c r="AU152" i="4" s="1"/>
  <c r="AV152" i="4" s="1"/>
  <c r="AQ152" i="4"/>
  <c r="AR152" i="4" s="1"/>
  <c r="AS152" i="4" s="1"/>
  <c r="AT143" i="4"/>
  <c r="AU143" i="4" s="1"/>
  <c r="AV143" i="4" s="1"/>
  <c r="AQ143" i="4"/>
  <c r="AR143" i="4" s="1"/>
  <c r="AS143" i="4" s="1"/>
  <c r="AT135" i="4"/>
  <c r="AU135" i="4" s="1"/>
  <c r="AV135" i="4" s="1"/>
  <c r="AQ135" i="4"/>
  <c r="AR135" i="4" s="1"/>
  <c r="AS135" i="4" s="1"/>
  <c r="AT144" i="4"/>
  <c r="AU144" i="4" s="1"/>
  <c r="AQ144" i="4"/>
  <c r="AR144" i="4" s="1"/>
  <c r="AS144" i="4" s="1"/>
  <c r="AP155" i="4"/>
  <c r="AQ155" i="4"/>
  <c r="AR155" i="4" s="1"/>
  <c r="AS155" i="4" s="1"/>
  <c r="AT155" i="4"/>
  <c r="AU155" i="4" s="1"/>
  <c r="AV155" i="4" s="1"/>
  <c r="AT147" i="4"/>
  <c r="AU147" i="4" s="1"/>
  <c r="AV147" i="4" s="1"/>
  <c r="AQ147" i="4"/>
  <c r="AR147" i="4" s="1"/>
  <c r="AS147" i="4" s="1"/>
  <c r="AT149" i="4"/>
  <c r="AU149" i="4" s="1"/>
  <c r="AV149" i="4" s="1"/>
  <c r="AQ149" i="4"/>
  <c r="AR149" i="4" s="1"/>
  <c r="AS149" i="4" s="1"/>
  <c r="AT141" i="4"/>
  <c r="AU141" i="4" s="1"/>
  <c r="AV141" i="4" s="1"/>
  <c r="AQ141" i="4"/>
  <c r="AR141" i="4" s="1"/>
  <c r="AS141" i="4" s="1"/>
  <c r="AT151" i="4"/>
  <c r="AU151" i="4" s="1"/>
  <c r="AV151" i="4" s="1"/>
  <c r="AQ151" i="4"/>
  <c r="AR151" i="4" s="1"/>
  <c r="AS151" i="4" s="1"/>
  <c r="AT142" i="4"/>
  <c r="AU142" i="4" s="1"/>
  <c r="AV142" i="4" s="1"/>
  <c r="AQ142" i="4"/>
  <c r="AR142" i="4" s="1"/>
  <c r="AS142" i="4" s="1"/>
  <c r="AQ134" i="4"/>
  <c r="AR134" i="4" s="1"/>
  <c r="AS134" i="4" s="1"/>
  <c r="AT134" i="4"/>
  <c r="AU134" i="4" s="1"/>
  <c r="AV134" i="4" s="1"/>
  <c r="AP156" i="4"/>
  <c r="AT156" i="4"/>
  <c r="AU156" i="4" s="1"/>
  <c r="AV156" i="4" s="1"/>
  <c r="AQ156" i="4"/>
  <c r="AR156" i="4" s="1"/>
  <c r="AS156" i="4" s="1"/>
  <c r="AP148" i="4"/>
  <c r="AT148" i="4"/>
  <c r="AU148" i="4" s="1"/>
  <c r="AV148" i="4" s="1"/>
  <c r="AQ148" i="4"/>
  <c r="AR148" i="4" s="1"/>
  <c r="AS148" i="4" s="1"/>
  <c r="AP136" i="4"/>
  <c r="AT136" i="4"/>
  <c r="AU136" i="4" s="1"/>
  <c r="AV136" i="4" s="1"/>
  <c r="AQ136" i="4"/>
  <c r="AR136" i="4" s="1"/>
  <c r="AS136" i="4" s="1"/>
  <c r="AP144" i="4"/>
  <c r="AP146" i="4"/>
  <c r="AP138" i="4"/>
  <c r="X133" i="4"/>
  <c r="Z133" i="4" s="1"/>
  <c r="AA133" i="4" s="1"/>
  <c r="AP149" i="4"/>
  <c r="AP147" i="4"/>
  <c r="AP145" i="4"/>
  <c r="AP137" i="4"/>
  <c r="AP133" i="4"/>
  <c r="AP152" i="4"/>
  <c r="AP143" i="4"/>
  <c r="AP135" i="4"/>
  <c r="AP141" i="4"/>
  <c r="AP150" i="4"/>
  <c r="AP139" i="4"/>
  <c r="AP151" i="4"/>
  <c r="AP142" i="4"/>
  <c r="AP134" i="4"/>
  <c r="AV144" i="4" l="1"/>
  <c r="AZ144" i="4" s="1"/>
  <c r="AZ136" i="4"/>
  <c r="AZ140" i="4"/>
  <c r="AZ139" i="4"/>
  <c r="AZ145" i="4"/>
  <c r="AZ148" i="4"/>
  <c r="AZ142" i="4"/>
  <c r="AZ137" i="4"/>
  <c r="AZ151" i="4"/>
  <c r="AZ149" i="4"/>
  <c r="AZ152" i="4"/>
  <c r="AZ156" i="4"/>
  <c r="AZ134" i="4"/>
  <c r="AZ150" i="4"/>
  <c r="AZ143" i="4"/>
  <c r="AZ133" i="4"/>
  <c r="AZ146" i="4"/>
  <c r="AZ154" i="4"/>
  <c r="AZ153" i="4"/>
  <c r="AC133" i="4"/>
  <c r="AL133" i="4" s="1"/>
  <c r="Y134" i="4"/>
  <c r="Z134" i="4" s="1"/>
  <c r="AZ155" i="4"/>
  <c r="AP158" i="4"/>
  <c r="AZ141" i="4"/>
  <c r="AZ135" i="4"/>
  <c r="AZ147" i="4"/>
  <c r="AZ138" i="4"/>
  <c r="C166" i="4" l="1"/>
  <c r="Q166" i="4" s="1"/>
  <c r="W166" i="4" s="1"/>
  <c r="X166" i="4" s="1"/>
  <c r="Z166" i="4" s="1"/>
  <c r="AE133" i="4"/>
  <c r="AG133" i="4" s="1"/>
  <c r="Z135" i="4"/>
  <c r="AA134" i="4"/>
  <c r="BA133" i="4"/>
  <c r="C15" i="4"/>
  <c r="AO172" i="4" l="1"/>
  <c r="AQ172" i="4" s="1"/>
  <c r="AR172" i="4" s="1"/>
  <c r="AS172" i="4" s="1"/>
  <c r="AO166" i="4"/>
  <c r="AQ166" i="4" s="1"/>
  <c r="AR166" i="4" s="1"/>
  <c r="AS166" i="4" s="1"/>
  <c r="AO173" i="4"/>
  <c r="AT173" i="4" s="1"/>
  <c r="AU173" i="4" s="1"/>
  <c r="AV173" i="4" s="1"/>
  <c r="V175" i="4"/>
  <c r="W175" i="4" s="1"/>
  <c r="X175" i="4" s="1"/>
  <c r="AO176" i="4"/>
  <c r="AT176" i="4" s="1"/>
  <c r="AU176" i="4" s="1"/>
  <c r="AV176" i="4" s="1"/>
  <c r="AO171" i="4"/>
  <c r="AQ171" i="4" s="1"/>
  <c r="AR171" i="4" s="1"/>
  <c r="AS171" i="4" s="1"/>
  <c r="V170" i="4"/>
  <c r="W170" i="4" s="1"/>
  <c r="X170" i="4" s="1"/>
  <c r="AO169" i="4"/>
  <c r="AT169" i="4" s="1"/>
  <c r="AU169" i="4" s="1"/>
  <c r="AV169" i="4" s="1"/>
  <c r="V177" i="4"/>
  <c r="W177" i="4" s="1"/>
  <c r="X177" i="4" s="1"/>
  <c r="V172" i="4"/>
  <c r="W172" i="4" s="1"/>
  <c r="X172" i="4" s="1"/>
  <c r="V167" i="4"/>
  <c r="W167" i="4" s="1"/>
  <c r="X167" i="4" s="1"/>
  <c r="V174" i="4"/>
  <c r="W174" i="4" s="1"/>
  <c r="X174" i="4" s="1"/>
  <c r="AO170" i="4"/>
  <c r="AT170" i="4" s="1"/>
  <c r="AU170" i="4" s="1"/>
  <c r="AV170" i="4" s="1"/>
  <c r="V173" i="4"/>
  <c r="W173" i="4" s="1"/>
  <c r="X173" i="4" s="1"/>
  <c r="AO177" i="4"/>
  <c r="AP177" i="4" s="1"/>
  <c r="V168" i="4"/>
  <c r="W168" i="4" s="1"/>
  <c r="X168" i="4" s="1"/>
  <c r="AO167" i="4"/>
  <c r="AQ167" i="4" s="1"/>
  <c r="AR167" i="4" s="1"/>
  <c r="AS167" i="4" s="1"/>
  <c r="AO175" i="4"/>
  <c r="AQ175" i="4" s="1"/>
  <c r="AR175" i="4" s="1"/>
  <c r="AS175" i="4" s="1"/>
  <c r="V176" i="4"/>
  <c r="W176" i="4" s="1"/>
  <c r="X176" i="4" s="1"/>
  <c r="AO174" i="4"/>
  <c r="AQ174" i="4" s="1"/>
  <c r="AR174" i="4" s="1"/>
  <c r="AS174" i="4" s="1"/>
  <c r="AO168" i="4"/>
  <c r="AP168" i="4" s="1"/>
  <c r="V171" i="4"/>
  <c r="W171" i="4" s="1"/>
  <c r="X171" i="4" s="1"/>
  <c r="V169" i="4"/>
  <c r="W169" i="4" s="1"/>
  <c r="X169" i="4" s="1"/>
  <c r="AP176" i="4"/>
  <c r="AQ176" i="4"/>
  <c r="AR176" i="4" s="1"/>
  <c r="AS176" i="4" s="1"/>
  <c r="AP174" i="4"/>
  <c r="AP173" i="4"/>
  <c r="AP172" i="4"/>
  <c r="AT167" i="4"/>
  <c r="AU167" i="4" s="1"/>
  <c r="AV167" i="4" s="1"/>
  <c r="AP175" i="4"/>
  <c r="AA166" i="4"/>
  <c r="AC166" i="4" s="1"/>
  <c r="AL166" i="4" s="1"/>
  <c r="Z136" i="4"/>
  <c r="AA135" i="4"/>
  <c r="AP170" i="4"/>
  <c r="Y135" i="4"/>
  <c r="AC134" i="4"/>
  <c r="AL134" i="4" s="1"/>
  <c r="AP171" i="4"/>
  <c r="AP166" i="4" l="1"/>
  <c r="AQ170" i="4"/>
  <c r="AR170" i="4" s="1"/>
  <c r="AS170" i="4" s="1"/>
  <c r="AZ170" i="4" s="1"/>
  <c r="AT175" i="4"/>
  <c r="AU175" i="4" s="1"/>
  <c r="AV175" i="4" s="1"/>
  <c r="AZ175" i="4" s="1"/>
  <c r="AQ177" i="4"/>
  <c r="AR177" i="4" s="1"/>
  <c r="AS177" i="4" s="1"/>
  <c r="AT166" i="4"/>
  <c r="AU166" i="4" s="1"/>
  <c r="AV166" i="4" s="1"/>
  <c r="AZ166" i="4" s="1"/>
  <c r="AT174" i="4"/>
  <c r="AU174" i="4" s="1"/>
  <c r="AV174" i="4" s="1"/>
  <c r="AZ174" i="4" s="1"/>
  <c r="AP167" i="4"/>
  <c r="AQ168" i="4"/>
  <c r="AR168" i="4" s="1"/>
  <c r="AS168" i="4" s="1"/>
  <c r="AT172" i="4"/>
  <c r="AU172" i="4" s="1"/>
  <c r="AV172" i="4" s="1"/>
  <c r="AT168" i="4"/>
  <c r="AU168" i="4" s="1"/>
  <c r="AV168" i="4" s="1"/>
  <c r="AP169" i="4"/>
  <c r="AT171" i="4"/>
  <c r="AU171" i="4" s="1"/>
  <c r="AV171" i="4" s="1"/>
  <c r="AZ171" i="4" s="1"/>
  <c r="AT177" i="4"/>
  <c r="AU177" i="4" s="1"/>
  <c r="AV177" i="4" s="1"/>
  <c r="AQ173" i="4"/>
  <c r="AR173" i="4" s="1"/>
  <c r="AS173" i="4" s="1"/>
  <c r="AQ169" i="4"/>
  <c r="AR169" i="4" s="1"/>
  <c r="AS169" i="4" s="1"/>
  <c r="AZ169" i="4" s="1"/>
  <c r="Y167" i="4"/>
  <c r="Z167" i="4" s="1"/>
  <c r="AA167" i="4" s="1"/>
  <c r="AZ167" i="4"/>
  <c r="BA134" i="4"/>
  <c r="Z137" i="4"/>
  <c r="AA136" i="4"/>
  <c r="BA166" i="4"/>
  <c r="Y136" i="4"/>
  <c r="AC135" i="4"/>
  <c r="AL135" i="4" s="1"/>
  <c r="AZ168" i="4" l="1"/>
  <c r="AP178" i="4"/>
  <c r="AP180" i="4" s="1"/>
  <c r="C187" i="4" s="1"/>
  <c r="V210" i="4" s="1"/>
  <c r="W210" i="4" s="1"/>
  <c r="X210" i="4" s="1"/>
  <c r="AZ173" i="4"/>
  <c r="AZ172" i="4"/>
  <c r="AZ176" i="4"/>
  <c r="AZ177" i="4"/>
  <c r="Z168" i="4"/>
  <c r="AA168" i="4" s="1"/>
  <c r="BA135" i="4"/>
  <c r="Z138" i="4"/>
  <c r="AA137" i="4"/>
  <c r="AC136" i="4"/>
  <c r="AL136" i="4" s="1"/>
  <c r="Y137" i="4"/>
  <c r="AC167" i="4"/>
  <c r="AL167" i="4" s="1"/>
  <c r="Y168" i="4"/>
  <c r="AE166" i="4" l="1"/>
  <c r="AG166" i="4" s="1"/>
  <c r="AO206" i="4"/>
  <c r="AQ206" i="4" s="1"/>
  <c r="AR206" i="4" s="1"/>
  <c r="AS206" i="4" s="1"/>
  <c r="V209" i="4"/>
  <c r="W209" i="4" s="1"/>
  <c r="X209" i="4" s="1"/>
  <c r="V189" i="4"/>
  <c r="W189" i="4" s="1"/>
  <c r="X189" i="4" s="1"/>
  <c r="AO201" i="4"/>
  <c r="AT201" i="4" s="1"/>
  <c r="AU201" i="4" s="1"/>
  <c r="AV201" i="4" s="1"/>
  <c r="V207" i="4"/>
  <c r="W207" i="4" s="1"/>
  <c r="X207" i="4" s="1"/>
  <c r="AO197" i="4"/>
  <c r="AT197" i="4" s="1"/>
  <c r="AU197" i="4" s="1"/>
  <c r="AV197" i="4" s="1"/>
  <c r="AO202" i="4"/>
  <c r="AQ202" i="4" s="1"/>
  <c r="AR202" i="4" s="1"/>
  <c r="AS202" i="4" s="1"/>
  <c r="V193" i="4"/>
  <c r="W193" i="4" s="1"/>
  <c r="X193" i="4" s="1"/>
  <c r="Q187" i="4"/>
  <c r="R187" i="4" s="1"/>
  <c r="S187" i="4" s="1"/>
  <c r="T187" i="4" s="1"/>
  <c r="U187" i="4" s="1"/>
  <c r="AO194" i="4"/>
  <c r="AQ194" i="4" s="1"/>
  <c r="AR194" i="4" s="1"/>
  <c r="AS194" i="4" s="1"/>
  <c r="AO190" i="4"/>
  <c r="AQ190" i="4" s="1"/>
  <c r="AR190" i="4" s="1"/>
  <c r="AS190" i="4" s="1"/>
  <c r="V192" i="4"/>
  <c r="W192" i="4" s="1"/>
  <c r="X192" i="4" s="1"/>
  <c r="AO191" i="4"/>
  <c r="AQ191" i="4" s="1"/>
  <c r="AR191" i="4" s="1"/>
  <c r="AS191" i="4" s="1"/>
  <c r="AO204" i="4"/>
  <c r="AQ204" i="4" s="1"/>
  <c r="AR204" i="4" s="1"/>
  <c r="AS204" i="4" s="1"/>
  <c r="V203" i="4"/>
  <c r="W203" i="4" s="1"/>
  <c r="X203" i="4" s="1"/>
  <c r="AO193" i="4"/>
  <c r="AT193" i="4" s="1"/>
  <c r="AU193" i="4" s="1"/>
  <c r="AV193" i="4" s="1"/>
  <c r="V204" i="4"/>
  <c r="W204" i="4" s="1"/>
  <c r="X204" i="4" s="1"/>
  <c r="AO208" i="4"/>
  <c r="AT208" i="4" s="1"/>
  <c r="AU208" i="4" s="1"/>
  <c r="AV208" i="4" s="1"/>
  <c r="AO210" i="4"/>
  <c r="AQ210" i="4" s="1"/>
  <c r="AR210" i="4" s="1"/>
  <c r="AS210" i="4" s="1"/>
  <c r="V206" i="4"/>
  <c r="W206" i="4" s="1"/>
  <c r="X206" i="4" s="1"/>
  <c r="V187" i="4"/>
  <c r="W187" i="4" s="1"/>
  <c r="V196" i="4"/>
  <c r="W196" i="4" s="1"/>
  <c r="X196" i="4" s="1"/>
  <c r="AO198" i="4"/>
  <c r="AT198" i="4" s="1"/>
  <c r="AU198" i="4" s="1"/>
  <c r="AV198" i="4" s="1"/>
  <c r="V199" i="4"/>
  <c r="W199" i="4" s="1"/>
  <c r="X199" i="4" s="1"/>
  <c r="AO196" i="4"/>
  <c r="AQ196" i="4" s="1"/>
  <c r="AR196" i="4" s="1"/>
  <c r="AS196" i="4" s="1"/>
  <c r="V205" i="4"/>
  <c r="W205" i="4" s="1"/>
  <c r="X205" i="4" s="1"/>
  <c r="V195" i="4"/>
  <c r="W195" i="4" s="1"/>
  <c r="X195" i="4" s="1"/>
  <c r="AO203" i="4"/>
  <c r="AT203" i="4" s="1"/>
  <c r="AU203" i="4" s="1"/>
  <c r="AV203" i="4" s="1"/>
  <c r="V191" i="4"/>
  <c r="W191" i="4" s="1"/>
  <c r="X191" i="4" s="1"/>
  <c r="AO200" i="4"/>
  <c r="AT200" i="4" s="1"/>
  <c r="AU200" i="4" s="1"/>
  <c r="AV200" i="4" s="1"/>
  <c r="AO207" i="4"/>
  <c r="AT207" i="4" s="1"/>
  <c r="AU207" i="4" s="1"/>
  <c r="AV207" i="4" s="1"/>
  <c r="V188" i="4"/>
  <c r="W188" i="4" s="1"/>
  <c r="X188" i="4" s="1"/>
  <c r="V198" i="4"/>
  <c r="W198" i="4" s="1"/>
  <c r="X198" i="4" s="1"/>
  <c r="V208" i="4"/>
  <c r="W208" i="4" s="1"/>
  <c r="X208" i="4" s="1"/>
  <c r="AO189" i="4"/>
  <c r="AQ189" i="4" s="1"/>
  <c r="AR189" i="4" s="1"/>
  <c r="AS189" i="4" s="1"/>
  <c r="AO199" i="4"/>
  <c r="AT199" i="4" s="1"/>
  <c r="AU199" i="4" s="1"/>
  <c r="AV199" i="4" s="1"/>
  <c r="V197" i="4"/>
  <c r="W197" i="4" s="1"/>
  <c r="X197" i="4" s="1"/>
  <c r="AO205" i="4"/>
  <c r="AT205" i="4" s="1"/>
  <c r="AU205" i="4" s="1"/>
  <c r="AV205" i="4" s="1"/>
  <c r="AO195" i="4"/>
  <c r="AT195" i="4" s="1"/>
  <c r="AU195" i="4" s="1"/>
  <c r="AV195" i="4" s="1"/>
  <c r="AO188" i="4"/>
  <c r="AQ188" i="4" s="1"/>
  <c r="AR188" i="4" s="1"/>
  <c r="AS188" i="4" s="1"/>
  <c r="AO192" i="4"/>
  <c r="AT192" i="4" s="1"/>
  <c r="AU192" i="4" s="1"/>
  <c r="AV192" i="4" s="1"/>
  <c r="V201" i="4"/>
  <c r="W201" i="4" s="1"/>
  <c r="X201" i="4" s="1"/>
  <c r="AO209" i="4"/>
  <c r="AQ209" i="4" s="1"/>
  <c r="AR209" i="4" s="1"/>
  <c r="AS209" i="4" s="1"/>
  <c r="V190" i="4"/>
  <c r="W190" i="4" s="1"/>
  <c r="X190" i="4" s="1"/>
  <c r="V200" i="4"/>
  <c r="W200" i="4" s="1"/>
  <c r="X200" i="4" s="1"/>
  <c r="AO187" i="4"/>
  <c r="AT187" i="4" s="1"/>
  <c r="AU187" i="4" s="1"/>
  <c r="AV187" i="4" s="1"/>
  <c r="V194" i="4"/>
  <c r="W194" i="4" s="1"/>
  <c r="X194" i="4" s="1"/>
  <c r="V202" i="4"/>
  <c r="W202" i="4" s="1"/>
  <c r="X202" i="4" s="1"/>
  <c r="AT206" i="4"/>
  <c r="AU206" i="4" s="1"/>
  <c r="AV206" i="4" s="1"/>
  <c r="AT204" i="4"/>
  <c r="AU204" i="4" s="1"/>
  <c r="AV204" i="4" s="1"/>
  <c r="Z169" i="4"/>
  <c r="AA169" i="4" s="1"/>
  <c r="BA136" i="4"/>
  <c r="AC168" i="4"/>
  <c r="AL168" i="4" s="1"/>
  <c r="Y169" i="4"/>
  <c r="AC137" i="4"/>
  <c r="AL137" i="4" s="1"/>
  <c r="Y138" i="4"/>
  <c r="BA167" i="4"/>
  <c r="Z139" i="4"/>
  <c r="AA138" i="4"/>
  <c r="X187" i="4" l="1"/>
  <c r="Z187" i="4" s="1"/>
  <c r="AA187" i="4" s="1"/>
  <c r="AQ208" i="4"/>
  <c r="AR208" i="4" s="1"/>
  <c r="AS208" i="4" s="1"/>
  <c r="AZ208" i="4" s="1"/>
  <c r="AQ197" i="4"/>
  <c r="AR197" i="4" s="1"/>
  <c r="AS197" i="4" s="1"/>
  <c r="AZ197" i="4" s="1"/>
  <c r="AT194" i="4"/>
  <c r="AU194" i="4" s="1"/>
  <c r="AV194" i="4" s="1"/>
  <c r="AZ194" i="4" s="1"/>
  <c r="AT190" i="4"/>
  <c r="AU190" i="4" s="1"/>
  <c r="AV190" i="4" s="1"/>
  <c r="AZ190" i="4" s="1"/>
  <c r="AT210" i="4"/>
  <c r="AU210" i="4" s="1"/>
  <c r="AV210" i="4" s="1"/>
  <c r="AZ210" i="4" s="1"/>
  <c r="AT196" i="4"/>
  <c r="AU196" i="4" s="1"/>
  <c r="AV196" i="4" s="1"/>
  <c r="AZ196" i="4" s="1"/>
  <c r="AQ201" i="4"/>
  <c r="AR201" i="4" s="1"/>
  <c r="AS201" i="4" s="1"/>
  <c r="AZ201" i="4" s="1"/>
  <c r="AQ193" i="4"/>
  <c r="AR193" i="4" s="1"/>
  <c r="AS193" i="4" s="1"/>
  <c r="AZ193" i="4" s="1"/>
  <c r="AT202" i="4"/>
  <c r="AU202" i="4" s="1"/>
  <c r="AV202" i="4" s="1"/>
  <c r="AZ202" i="4" s="1"/>
  <c r="AT191" i="4"/>
  <c r="AU191" i="4" s="1"/>
  <c r="AV191" i="4" s="1"/>
  <c r="AZ191" i="4" s="1"/>
  <c r="AQ198" i="4"/>
  <c r="AR198" i="4" s="1"/>
  <c r="AS198" i="4" s="1"/>
  <c r="AZ198" i="4" s="1"/>
  <c r="AT189" i="4"/>
  <c r="AU189" i="4" s="1"/>
  <c r="AV189" i="4" s="1"/>
  <c r="AZ189" i="4" s="1"/>
  <c r="AT188" i="4"/>
  <c r="AU188" i="4" s="1"/>
  <c r="AV188" i="4" s="1"/>
  <c r="AZ188" i="4" s="1"/>
  <c r="AQ199" i="4"/>
  <c r="AR199" i="4" s="1"/>
  <c r="AS199" i="4" s="1"/>
  <c r="AZ199" i="4" s="1"/>
  <c r="AT209" i="4"/>
  <c r="AU209" i="4" s="1"/>
  <c r="AV209" i="4" s="1"/>
  <c r="AZ209" i="4" s="1"/>
  <c r="AQ192" i="4"/>
  <c r="AR192" i="4" s="1"/>
  <c r="AS192" i="4" s="1"/>
  <c r="AZ192" i="4" s="1"/>
  <c r="AQ200" i="4"/>
  <c r="AR200" i="4" s="1"/>
  <c r="AS200" i="4" s="1"/>
  <c r="AZ200" i="4" s="1"/>
  <c r="AQ205" i="4"/>
  <c r="AR205" i="4" s="1"/>
  <c r="AS205" i="4" s="1"/>
  <c r="AZ205" i="4" s="1"/>
  <c r="AQ195" i="4"/>
  <c r="AR195" i="4" s="1"/>
  <c r="AS195" i="4" s="1"/>
  <c r="AZ195" i="4" s="1"/>
  <c r="AQ187" i="4"/>
  <c r="AR187" i="4" s="1"/>
  <c r="AS187" i="4" s="1"/>
  <c r="AZ187" i="4" s="1"/>
  <c r="AQ207" i="4"/>
  <c r="AR207" i="4" s="1"/>
  <c r="AS207" i="4" s="1"/>
  <c r="AZ207" i="4" s="1"/>
  <c r="AQ203" i="4"/>
  <c r="AR203" i="4" s="1"/>
  <c r="AS203" i="4" s="1"/>
  <c r="AZ203" i="4" s="1"/>
  <c r="Z170" i="4"/>
  <c r="AA170" i="4" s="1"/>
  <c r="AZ204" i="4"/>
  <c r="AZ206" i="4"/>
  <c r="Y139" i="4"/>
  <c r="AC138" i="4"/>
  <c r="AL138" i="4" s="1"/>
  <c r="BA137" i="4"/>
  <c r="Y170" i="4"/>
  <c r="AC169" i="4"/>
  <c r="AL169" i="4" s="1"/>
  <c r="Z140" i="4"/>
  <c r="AA139" i="4"/>
  <c r="Y188" i="4"/>
  <c r="Z188" i="4" s="1"/>
  <c r="AC187" i="4"/>
  <c r="BA168" i="4"/>
  <c r="Z171" i="4" l="1"/>
  <c r="AA171" i="4" s="1"/>
  <c r="AA188" i="4"/>
  <c r="Z189" i="4"/>
  <c r="Z141" i="4"/>
  <c r="AA140" i="4"/>
  <c r="BA169" i="4"/>
  <c r="Y171" i="4"/>
  <c r="AC170" i="4"/>
  <c r="AL170" i="4" s="1"/>
  <c r="BA187" i="4"/>
  <c r="Y140" i="4"/>
  <c r="AC139" i="4"/>
  <c r="AL139" i="4" s="1"/>
  <c r="BA138" i="4"/>
  <c r="Z172" i="4" l="1"/>
  <c r="AA172" i="4" s="1"/>
  <c r="Z190" i="4"/>
  <c r="AA189" i="4"/>
  <c r="Z142" i="4"/>
  <c r="AA141" i="4"/>
  <c r="AC171" i="4"/>
  <c r="AL171" i="4" s="1"/>
  <c r="Y172" i="4"/>
  <c r="AC140" i="4"/>
  <c r="AL140" i="4" s="1"/>
  <c r="Y141" i="4"/>
  <c r="BA139" i="4"/>
  <c r="BA170" i="4"/>
  <c r="Y189" i="4"/>
  <c r="AC188" i="4"/>
  <c r="Y173" i="4" l="1"/>
  <c r="AC172" i="4"/>
  <c r="AL172" i="4" s="1"/>
  <c r="Z173" i="4"/>
  <c r="AA173" i="4" s="1"/>
  <c r="BA140" i="4"/>
  <c r="AC141" i="4"/>
  <c r="AL141" i="4" s="1"/>
  <c r="Y142" i="4"/>
  <c r="AA190" i="4"/>
  <c r="Z191" i="4"/>
  <c r="AC189" i="4"/>
  <c r="Y190" i="4"/>
  <c r="BA188" i="4"/>
  <c r="BA171" i="4"/>
  <c r="Z143" i="4"/>
  <c r="AA142" i="4"/>
  <c r="Y174" i="4" l="1"/>
  <c r="AC173" i="4"/>
  <c r="AL173" i="4" s="1"/>
  <c r="BA172" i="4"/>
  <c r="Z174" i="4"/>
  <c r="AA174" i="4" s="1"/>
  <c r="Y143" i="4"/>
  <c r="AC142" i="4"/>
  <c r="AL142" i="4" s="1"/>
  <c r="Z144" i="4"/>
  <c r="AA143" i="4"/>
  <c r="Y191" i="4"/>
  <c r="AC190" i="4"/>
  <c r="BA189" i="4"/>
  <c r="Z192" i="4"/>
  <c r="AA191" i="4"/>
  <c r="BA141" i="4"/>
  <c r="BA173" i="4" l="1"/>
  <c r="Y175" i="4"/>
  <c r="AC174" i="4"/>
  <c r="AL174" i="4" s="1"/>
  <c r="Z175" i="4"/>
  <c r="Z176" i="4" s="1"/>
  <c r="AA192" i="4"/>
  <c r="Z193" i="4"/>
  <c r="AC191" i="4"/>
  <c r="Y192" i="4"/>
  <c r="Y144" i="4"/>
  <c r="AC143" i="4"/>
  <c r="AL143" i="4" s="1"/>
  <c r="BA190" i="4"/>
  <c r="BA142" i="4"/>
  <c r="Z145" i="4"/>
  <c r="AA144" i="4"/>
  <c r="BA174" i="4" l="1"/>
  <c r="AA175" i="4"/>
  <c r="Y193" i="4"/>
  <c r="AC192" i="4"/>
  <c r="AC144" i="4"/>
  <c r="AL144" i="4" s="1"/>
  <c r="Y145" i="4"/>
  <c r="BA143" i="4"/>
  <c r="Z194" i="4"/>
  <c r="AA193" i="4"/>
  <c r="Z177" i="4"/>
  <c r="AA177" i="4" s="1"/>
  <c r="AC177" i="4" s="1"/>
  <c r="AL177" i="4" s="1"/>
  <c r="AA176" i="4"/>
  <c r="Z146" i="4"/>
  <c r="AA145" i="4"/>
  <c r="BA191" i="4"/>
  <c r="AM177" i="4" l="1"/>
  <c r="BA177" i="4"/>
  <c r="Y177" i="4"/>
  <c r="AC176" i="4"/>
  <c r="AL176" i="4" s="1"/>
  <c r="Y176" i="4"/>
  <c r="AC175" i="4"/>
  <c r="AL175" i="4" s="1"/>
  <c r="Y194" i="4"/>
  <c r="AC193" i="4"/>
  <c r="BA192" i="4"/>
  <c r="AC145" i="4"/>
  <c r="AL145" i="4" s="1"/>
  <c r="Y146" i="4"/>
  <c r="BA144" i="4"/>
  <c r="Z147" i="4"/>
  <c r="AA146" i="4"/>
  <c r="Z195" i="4"/>
  <c r="AA194" i="4"/>
  <c r="AK172" i="4" l="1"/>
  <c r="AJ172" i="4" s="1"/>
  <c r="AK174" i="4"/>
  <c r="AJ174" i="4" s="1"/>
  <c r="AK176" i="4"/>
  <c r="AJ176" i="4" s="1"/>
  <c r="AK177" i="4"/>
  <c r="AJ177" i="4" s="1"/>
  <c r="AK167" i="4"/>
  <c r="AJ167" i="4" s="1"/>
  <c r="AK175" i="4"/>
  <c r="AJ175" i="4" s="1"/>
  <c r="AK173" i="4"/>
  <c r="AJ173" i="4" s="1"/>
  <c r="AK171" i="4"/>
  <c r="AJ171" i="4" s="1"/>
  <c r="AK168" i="4"/>
  <c r="AK169" i="4"/>
  <c r="AK166" i="4"/>
  <c r="AK170" i="4"/>
  <c r="AJ170" i="4" s="1"/>
  <c r="AM176" i="4"/>
  <c r="BA176" i="4"/>
  <c r="AM175" i="4"/>
  <c r="BA175" i="4"/>
  <c r="AM166" i="4"/>
  <c r="AM173" i="4"/>
  <c r="AM168" i="4"/>
  <c r="AM169" i="4"/>
  <c r="AM174" i="4"/>
  <c r="AM172" i="4"/>
  <c r="AM167" i="4"/>
  <c r="AM171" i="4"/>
  <c r="AM170" i="4"/>
  <c r="BA193" i="4"/>
  <c r="Y195" i="4"/>
  <c r="AC194" i="4"/>
  <c r="Y147" i="4"/>
  <c r="AC146" i="4"/>
  <c r="AL146" i="4" s="1"/>
  <c r="BA145" i="4"/>
  <c r="Z196" i="4"/>
  <c r="AA195" i="4"/>
  <c r="Z148" i="4"/>
  <c r="AA147" i="4"/>
  <c r="AJ166" i="4" l="1"/>
  <c r="AJ169" i="4"/>
  <c r="AJ168" i="4"/>
  <c r="BA194" i="4"/>
  <c r="Y196" i="4"/>
  <c r="AC195" i="4"/>
  <c r="Z149" i="4"/>
  <c r="AA148" i="4"/>
  <c r="Y148" i="4"/>
  <c r="AC147" i="4"/>
  <c r="AL147" i="4" s="1"/>
  <c r="Z197" i="4"/>
  <c r="AA196" i="4"/>
  <c r="BA146" i="4"/>
  <c r="AJ165" i="4" l="1"/>
  <c r="AH166" i="4" s="1"/>
  <c r="BA195" i="4"/>
  <c r="Y197" i="4"/>
  <c r="AC196" i="4"/>
  <c r="BA147" i="4"/>
  <c r="AC148" i="4"/>
  <c r="AL148" i="4" s="1"/>
  <c r="Y149" i="4"/>
  <c r="Z198" i="4"/>
  <c r="AA197" i="4"/>
  <c r="AA149" i="4"/>
  <c r="Z150" i="4"/>
  <c r="Y198" i="4" l="1"/>
  <c r="AC197" i="4"/>
  <c r="BA196" i="4"/>
  <c r="AA198" i="4"/>
  <c r="Z199" i="4"/>
  <c r="Z151" i="4"/>
  <c r="AA150" i="4"/>
  <c r="BA148" i="4"/>
  <c r="Y150" i="4"/>
  <c r="AC149" i="4"/>
  <c r="AL149" i="4" s="1"/>
  <c r="Y199" i="4" l="1"/>
  <c r="AC198" i="4"/>
  <c r="BA197" i="4"/>
  <c r="Z200" i="4"/>
  <c r="AA199" i="4"/>
  <c r="Z152" i="4"/>
  <c r="AA151" i="4"/>
  <c r="BA149" i="4"/>
  <c r="Y151" i="4"/>
  <c r="AC150" i="4"/>
  <c r="AL150" i="4" s="1"/>
  <c r="BA198" i="4" l="1"/>
  <c r="Y200" i="4"/>
  <c r="AC199" i="4"/>
  <c r="AA200" i="4"/>
  <c r="Z201" i="4"/>
  <c r="BA150" i="4"/>
  <c r="Y152" i="4"/>
  <c r="AC151" i="4"/>
  <c r="AL151" i="4" s="1"/>
  <c r="Z153" i="4"/>
  <c r="AA152" i="4"/>
  <c r="Y201" i="4" l="1"/>
  <c r="AC200" i="4"/>
  <c r="BA199" i="4"/>
  <c r="Z202" i="4"/>
  <c r="AA201" i="4"/>
  <c r="BA151" i="4"/>
  <c r="AC152" i="4"/>
  <c r="AL152" i="4" s="1"/>
  <c r="Y153" i="4"/>
  <c r="AA153" i="4"/>
  <c r="Z154" i="4"/>
  <c r="Y154" i="4" l="1"/>
  <c r="AC153" i="4"/>
  <c r="AL153" i="4" s="1"/>
  <c r="BA200" i="4"/>
  <c r="Y202" i="4"/>
  <c r="AC201" i="4"/>
  <c r="Z155" i="4"/>
  <c r="AA154" i="4"/>
  <c r="Z203" i="4"/>
  <c r="AA202" i="4"/>
  <c r="BA152" i="4"/>
  <c r="Y155" i="4" l="1"/>
  <c r="AC154" i="4"/>
  <c r="AL154" i="4" s="1"/>
  <c r="BA153" i="4"/>
  <c r="BA201" i="4"/>
  <c r="Y203" i="4"/>
  <c r="AC202" i="4"/>
  <c r="Z204" i="4"/>
  <c r="AA203" i="4"/>
  <c r="Z156" i="4"/>
  <c r="AA156" i="4" s="1"/>
  <c r="AC156" i="4" s="1"/>
  <c r="AL156" i="4" s="1"/>
  <c r="AA155" i="4"/>
  <c r="AM156" i="4" l="1"/>
  <c r="BA156" i="4"/>
  <c r="BA154" i="4"/>
  <c r="Y156" i="4"/>
  <c r="AC155" i="4"/>
  <c r="BA202" i="4"/>
  <c r="Y204" i="4"/>
  <c r="AC203" i="4"/>
  <c r="Z205" i="4"/>
  <c r="AA204" i="4"/>
  <c r="AM154" i="4" l="1"/>
  <c r="AL155" i="4"/>
  <c r="AM136" i="4"/>
  <c r="AA129" i="4"/>
  <c r="AM144" i="4"/>
  <c r="AM148" i="4"/>
  <c r="AM155" i="4"/>
  <c r="BA155" i="4"/>
  <c r="AM146" i="4"/>
  <c r="AM142" i="4"/>
  <c r="AM152" i="4"/>
  <c r="AM139" i="4"/>
  <c r="AM138" i="4"/>
  <c r="AM135" i="4"/>
  <c r="AM133" i="4"/>
  <c r="AM134" i="4"/>
  <c r="AM153" i="4"/>
  <c r="AM151" i="4"/>
  <c r="AM147" i="4"/>
  <c r="AM141" i="4"/>
  <c r="AM145" i="4"/>
  <c r="AM143" i="4"/>
  <c r="AM150" i="4"/>
  <c r="AM137" i="4"/>
  <c r="AM149" i="4"/>
  <c r="AM140" i="4"/>
  <c r="Y205" i="4"/>
  <c r="AC204" i="4"/>
  <c r="BA203" i="4"/>
  <c r="Z206" i="4"/>
  <c r="AA205" i="4"/>
  <c r="AK148" i="4" l="1"/>
  <c r="AJ148" i="4" s="1"/>
  <c r="AK137" i="4"/>
  <c r="AJ137" i="4" s="1"/>
  <c r="AK144" i="4"/>
  <c r="AJ144" i="4" s="1"/>
  <c r="AK150" i="4"/>
  <c r="AJ150" i="4" s="1"/>
  <c r="AK141" i="4"/>
  <c r="AJ141" i="4" s="1"/>
  <c r="AK134" i="4"/>
  <c r="AJ134" i="4" s="1"/>
  <c r="AK155" i="4"/>
  <c r="AJ155" i="4" s="1"/>
  <c r="AK147" i="4"/>
  <c r="AJ147" i="4" s="1"/>
  <c r="AK140" i="4"/>
  <c r="AJ140" i="4" s="1"/>
  <c r="AK146" i="4"/>
  <c r="AJ146" i="4" s="1"/>
  <c r="AK133" i="4"/>
  <c r="AJ133" i="4" s="1"/>
  <c r="AK145" i="4"/>
  <c r="AJ145" i="4" s="1"/>
  <c r="AK135" i="4"/>
  <c r="AJ135" i="4" s="1"/>
  <c r="AK152" i="4"/>
  <c r="AJ152" i="4" s="1"/>
  <c r="AK143" i="4"/>
  <c r="AJ143" i="4" s="1"/>
  <c r="AK136" i="4"/>
  <c r="AJ136" i="4" s="1"/>
  <c r="AK153" i="4"/>
  <c r="AJ153" i="4" s="1"/>
  <c r="AK156" i="4"/>
  <c r="AJ156" i="4" s="1"/>
  <c r="AK154" i="4"/>
  <c r="AJ154" i="4" s="1"/>
  <c r="AK149" i="4"/>
  <c r="AJ149" i="4" s="1"/>
  <c r="AK139" i="4"/>
  <c r="AJ139" i="4" s="1"/>
  <c r="AK138" i="4"/>
  <c r="AJ138" i="4" s="1"/>
  <c r="AK151" i="4"/>
  <c r="AJ151" i="4" s="1"/>
  <c r="AK142" i="4"/>
  <c r="AJ142" i="4" s="1"/>
  <c r="Y206" i="4"/>
  <c r="AC205" i="4"/>
  <c r="BA204" i="4"/>
  <c r="AA206" i="4"/>
  <c r="Z207" i="4"/>
  <c r="Y207" i="4" l="1"/>
  <c r="AC206" i="4"/>
  <c r="AJ132" i="4"/>
  <c r="AH133" i="4" s="1"/>
  <c r="AN166" i="4" s="1"/>
  <c r="BA205" i="4"/>
  <c r="Z208" i="4"/>
  <c r="AA207" i="4"/>
  <c r="Y208" i="4" l="1"/>
  <c r="AC207" i="4"/>
  <c r="BA206" i="4"/>
  <c r="Z209" i="4"/>
  <c r="AA208" i="4"/>
  <c r="Y209" i="4" l="1"/>
  <c r="AC208" i="4"/>
  <c r="BA207" i="4"/>
  <c r="Z210" i="4"/>
  <c r="AA210" i="4" s="1"/>
  <c r="AC210" i="4" s="1"/>
  <c r="AA209" i="4"/>
  <c r="AM210" i="4" l="1"/>
  <c r="BA210" i="4"/>
  <c r="BC210" i="4" s="1"/>
  <c r="Y210" i="4"/>
  <c r="AC209" i="4"/>
  <c r="BA208" i="4"/>
  <c r="AM209" i="4" l="1"/>
  <c r="BA209" i="4"/>
  <c r="BC209" i="4" s="1"/>
  <c r="AM194" i="4"/>
  <c r="BC194" i="4" s="1"/>
  <c r="AM204" i="4"/>
  <c r="BC204" i="4" s="1"/>
  <c r="AM196" i="4"/>
  <c r="BC196" i="4" s="1"/>
  <c r="AM193" i="4"/>
  <c r="BC193" i="4" s="1"/>
  <c r="AM207" i="4"/>
  <c r="BC207" i="4" s="1"/>
  <c r="AM197" i="4"/>
  <c r="BC197" i="4" s="1"/>
  <c r="AM200" i="4"/>
  <c r="BC200" i="4" s="1"/>
  <c r="AM199" i="4"/>
  <c r="BC199" i="4" s="1"/>
  <c r="AM187" i="4"/>
  <c r="AM191" i="4"/>
  <c r="BC191" i="4" s="1"/>
  <c r="AM190" i="4"/>
  <c r="BC190" i="4" s="1"/>
  <c r="AM206" i="4"/>
  <c r="BC206" i="4" s="1"/>
  <c r="AM203" i="4"/>
  <c r="BC203" i="4" s="1"/>
  <c r="AM201" i="4"/>
  <c r="BC201" i="4" s="1"/>
  <c r="AM202" i="4"/>
  <c r="BC202" i="4" s="1"/>
  <c r="AA183" i="4"/>
  <c r="AM195" i="4"/>
  <c r="BC195" i="4" s="1"/>
  <c r="AM189" i="4"/>
  <c r="BC189" i="4" s="1"/>
  <c r="AM192" i="4"/>
  <c r="BC192" i="4" s="1"/>
  <c r="BE210" i="4"/>
  <c r="BG210" i="4" s="1"/>
  <c r="BD210" i="4"/>
  <c r="BF210" i="4" s="1"/>
  <c r="BH210" i="4" s="1"/>
  <c r="AM205" i="4"/>
  <c r="BC205" i="4" s="1"/>
  <c r="AM188" i="4"/>
  <c r="BC188" i="4" s="1"/>
  <c r="AM198" i="4"/>
  <c r="BC198" i="4" s="1"/>
  <c r="AM208" i="4"/>
  <c r="BC208" i="4" s="1"/>
  <c r="BE208" i="4" l="1"/>
  <c r="BG208" i="4" s="1"/>
  <c r="BD208" i="4"/>
  <c r="BF208" i="4" s="1"/>
  <c r="BH208" i="4" s="1"/>
  <c r="BD189" i="4"/>
  <c r="BF189" i="4" s="1"/>
  <c r="BH189" i="4" s="1"/>
  <c r="BE189" i="4"/>
  <c r="BG189" i="4" s="1"/>
  <c r="BE191" i="4"/>
  <c r="BG191" i="4" s="1"/>
  <c r="BD191" i="4"/>
  <c r="BF191" i="4" s="1"/>
  <c r="BH191" i="4" s="1"/>
  <c r="BD197" i="4"/>
  <c r="BF197" i="4" s="1"/>
  <c r="BH197" i="4" s="1"/>
  <c r="BE197" i="4"/>
  <c r="BG197" i="4" s="1"/>
  <c r="BE204" i="4"/>
  <c r="BG204" i="4" s="1"/>
  <c r="BD204" i="4"/>
  <c r="BF204" i="4" s="1"/>
  <c r="BH204" i="4" s="1"/>
  <c r="BE203" i="4"/>
  <c r="BG203" i="4" s="1"/>
  <c r="BD203" i="4"/>
  <c r="BF203" i="4" s="1"/>
  <c r="BH203" i="4" s="1"/>
  <c r="BE194" i="4"/>
  <c r="BG194" i="4" s="1"/>
  <c r="BD194" i="4"/>
  <c r="BF194" i="4" s="1"/>
  <c r="BH194" i="4" s="1"/>
  <c r="BE201" i="4"/>
  <c r="BG201" i="4" s="1"/>
  <c r="BD201" i="4"/>
  <c r="BF201" i="4" s="1"/>
  <c r="BH201" i="4" s="1"/>
  <c r="BD198" i="4"/>
  <c r="BF198" i="4" s="1"/>
  <c r="BH198" i="4" s="1"/>
  <c r="BE198" i="4"/>
  <c r="BG198" i="4" s="1"/>
  <c r="BE195" i="4"/>
  <c r="BG195" i="4" s="1"/>
  <c r="BD195" i="4"/>
  <c r="BF195" i="4" s="1"/>
  <c r="BH195" i="4" s="1"/>
  <c r="BE207" i="4"/>
  <c r="BG207" i="4" s="1"/>
  <c r="BD207" i="4"/>
  <c r="BF207" i="4" s="1"/>
  <c r="BH207" i="4" s="1"/>
  <c r="BE188" i="4"/>
  <c r="BG188" i="4" s="1"/>
  <c r="BD188" i="4"/>
  <c r="BF188" i="4" s="1"/>
  <c r="BH188" i="4" s="1"/>
  <c r="BD206" i="4"/>
  <c r="BF206" i="4" s="1"/>
  <c r="BH206" i="4" s="1"/>
  <c r="BE206" i="4"/>
  <c r="BG206" i="4" s="1"/>
  <c r="BE199" i="4"/>
  <c r="BG199" i="4" s="1"/>
  <c r="BD199" i="4"/>
  <c r="BF199" i="4" s="1"/>
  <c r="BH199" i="4" s="1"/>
  <c r="BE193" i="4"/>
  <c r="BG193" i="4" s="1"/>
  <c r="BD193" i="4"/>
  <c r="BF193" i="4" s="1"/>
  <c r="BH193" i="4" s="1"/>
  <c r="BD209" i="4"/>
  <c r="BF209" i="4" s="1"/>
  <c r="BH209" i="4" s="1"/>
  <c r="BE209" i="4"/>
  <c r="BG209" i="4" s="1"/>
  <c r="BI210" i="4"/>
  <c r="AI210" i="4"/>
  <c r="BJ210" i="4"/>
  <c r="N210" i="4" s="1"/>
  <c r="M210" i="4" s="1"/>
  <c r="AN187" i="4"/>
  <c r="AW174" i="4"/>
  <c r="BB174" i="4" s="1"/>
  <c r="AW167" i="4"/>
  <c r="BB167" i="4" s="1"/>
  <c r="AW176" i="4"/>
  <c r="BB176" i="4" s="1"/>
  <c r="AW177" i="4"/>
  <c r="BB177" i="4" s="1"/>
  <c r="AW169" i="4"/>
  <c r="BB169" i="4" s="1"/>
  <c r="AW173" i="4"/>
  <c r="BB173" i="4" s="1"/>
  <c r="AW171" i="4"/>
  <c r="BB171" i="4" s="1"/>
  <c r="AW172" i="4"/>
  <c r="BB172" i="4" s="1"/>
  <c r="AW168" i="4"/>
  <c r="BB168" i="4" s="1"/>
  <c r="BC187" i="4"/>
  <c r="AW175" i="4"/>
  <c r="BB175" i="4" s="1"/>
  <c r="AW166" i="4"/>
  <c r="AW170" i="4"/>
  <c r="BB170" i="4" s="1"/>
  <c r="BE205" i="4"/>
  <c r="BG205" i="4" s="1"/>
  <c r="BD205" i="4"/>
  <c r="BF205" i="4" s="1"/>
  <c r="BH205" i="4" s="1"/>
  <c r="BD192" i="4"/>
  <c r="BF192" i="4" s="1"/>
  <c r="BH192" i="4" s="1"/>
  <c r="BE192" i="4"/>
  <c r="BG192" i="4" s="1"/>
  <c r="BD202" i="4"/>
  <c r="BF202" i="4" s="1"/>
  <c r="BH202" i="4" s="1"/>
  <c r="BE202" i="4"/>
  <c r="BG202" i="4" s="1"/>
  <c r="BD190" i="4"/>
  <c r="BF190" i="4" s="1"/>
  <c r="BH190" i="4" s="1"/>
  <c r="BE190" i="4"/>
  <c r="BG190" i="4" s="1"/>
  <c r="BD200" i="4"/>
  <c r="BF200" i="4" s="1"/>
  <c r="BH200" i="4" s="1"/>
  <c r="BE200" i="4"/>
  <c r="BG200" i="4" s="1"/>
  <c r="BD196" i="4"/>
  <c r="BF196" i="4" s="1"/>
  <c r="BH196" i="4" s="1"/>
  <c r="BE196" i="4"/>
  <c r="BG196" i="4" s="1"/>
  <c r="BA1" i="2"/>
  <c r="E83" i="2" s="1"/>
  <c r="BE175" i="4" l="1"/>
  <c r="BG175" i="4" s="1"/>
  <c r="BI175" i="4" s="1"/>
  <c r="BD175" i="4"/>
  <c r="BF175" i="4" s="1"/>
  <c r="BH175" i="4" s="1"/>
  <c r="BE171" i="4"/>
  <c r="BG171" i="4" s="1"/>
  <c r="BI171" i="4" s="1"/>
  <c r="BD171" i="4"/>
  <c r="BF171" i="4" s="1"/>
  <c r="BH171" i="4" s="1"/>
  <c r="BD176" i="4"/>
  <c r="BF176" i="4" s="1"/>
  <c r="BH176" i="4" s="1"/>
  <c r="BE176" i="4"/>
  <c r="BG176" i="4" s="1"/>
  <c r="BI176" i="4" s="1"/>
  <c r="AI199" i="4"/>
  <c r="BJ199" i="4"/>
  <c r="N199" i="4" s="1"/>
  <c r="M199" i="4" s="1"/>
  <c r="BI199" i="4"/>
  <c r="AI188" i="4"/>
  <c r="BI188" i="4"/>
  <c r="BJ188" i="4"/>
  <c r="N188" i="4" s="1"/>
  <c r="M188" i="4" s="1"/>
  <c r="BI195" i="4"/>
  <c r="AI195" i="4"/>
  <c r="BJ195" i="4"/>
  <c r="N195" i="4" s="1"/>
  <c r="M195" i="4" s="1"/>
  <c r="BI201" i="4"/>
  <c r="BJ201" i="4"/>
  <c r="N201" i="4" s="1"/>
  <c r="M201" i="4" s="1"/>
  <c r="AI201" i="4"/>
  <c r="AI203" i="4"/>
  <c r="BI203" i="4"/>
  <c r="BJ203" i="4"/>
  <c r="N203" i="4" s="1"/>
  <c r="M203" i="4" s="1"/>
  <c r="BB166" i="4"/>
  <c r="BA181" i="4"/>
  <c r="BE177" i="4"/>
  <c r="BG177" i="4" s="1"/>
  <c r="BI177" i="4" s="1"/>
  <c r="BD177" i="4"/>
  <c r="BF177" i="4" s="1"/>
  <c r="BH177" i="4" s="1"/>
  <c r="BI209" i="4"/>
  <c r="AI209" i="4"/>
  <c r="BJ209" i="4"/>
  <c r="N209" i="4" s="1"/>
  <c r="M209" i="4" s="1"/>
  <c r="BI197" i="4"/>
  <c r="AI197" i="4"/>
  <c r="BJ197" i="4"/>
  <c r="N197" i="4" s="1"/>
  <c r="M197" i="4" s="1"/>
  <c r="BE173" i="4"/>
  <c r="BG173" i="4" s="1"/>
  <c r="BI173" i="4" s="1"/>
  <c r="BD173" i="4"/>
  <c r="BF173" i="4" s="1"/>
  <c r="BH173" i="4" s="1"/>
  <c r="BD172" i="4"/>
  <c r="BF172" i="4" s="1"/>
  <c r="BH172" i="4" s="1"/>
  <c r="BE172" i="4"/>
  <c r="BG172" i="4" s="1"/>
  <c r="BI172" i="4" s="1"/>
  <c r="AW156" i="4"/>
  <c r="BB156" i="4" s="1"/>
  <c r="AW142" i="4"/>
  <c r="BB142" i="4" s="1"/>
  <c r="AW141" i="4"/>
  <c r="BB141" i="4" s="1"/>
  <c r="AW133" i="4"/>
  <c r="AW140" i="4"/>
  <c r="BB140" i="4" s="1"/>
  <c r="AW143" i="4"/>
  <c r="BB143" i="4" s="1"/>
  <c r="AW149" i="4"/>
  <c r="BB149" i="4" s="1"/>
  <c r="AW151" i="4"/>
  <c r="BB151" i="4" s="1"/>
  <c r="AW144" i="4"/>
  <c r="BB144" i="4" s="1"/>
  <c r="AW146" i="4"/>
  <c r="BB146" i="4" s="1"/>
  <c r="AW145" i="4"/>
  <c r="BB145" i="4" s="1"/>
  <c r="AW153" i="4"/>
  <c r="BB153" i="4" s="1"/>
  <c r="AW137" i="4"/>
  <c r="BB137" i="4" s="1"/>
  <c r="AW150" i="4"/>
  <c r="BB150" i="4" s="1"/>
  <c r="AW138" i="4"/>
  <c r="BB138" i="4" s="1"/>
  <c r="AW139" i="4"/>
  <c r="BB139" i="4" s="1"/>
  <c r="AW135" i="4"/>
  <c r="BB135" i="4" s="1"/>
  <c r="AW134" i="4"/>
  <c r="BB134" i="4" s="1"/>
  <c r="AW154" i="4"/>
  <c r="BB154" i="4" s="1"/>
  <c r="AW152" i="4"/>
  <c r="BB152" i="4" s="1"/>
  <c r="AW155" i="4"/>
  <c r="BB155" i="4" s="1"/>
  <c r="AW147" i="4"/>
  <c r="BB147" i="4" s="1"/>
  <c r="AW136" i="4"/>
  <c r="BB136" i="4" s="1"/>
  <c r="AW148" i="4"/>
  <c r="BB148" i="4" s="1"/>
  <c r="BJ189" i="4"/>
  <c r="N189" i="4" s="1"/>
  <c r="M189" i="4" s="1"/>
  <c r="BI189" i="4"/>
  <c r="AI189" i="4"/>
  <c r="AI200" i="4"/>
  <c r="BI200" i="4"/>
  <c r="BJ200" i="4"/>
  <c r="N200" i="4" s="1"/>
  <c r="M200" i="4" s="1"/>
  <c r="BI202" i="4"/>
  <c r="AI202" i="4"/>
  <c r="BJ202" i="4"/>
  <c r="N202" i="4" s="1"/>
  <c r="M202" i="4" s="1"/>
  <c r="BI205" i="4"/>
  <c r="BJ205" i="4"/>
  <c r="N205" i="4" s="1"/>
  <c r="M205" i="4" s="1"/>
  <c r="AI205" i="4"/>
  <c r="BE187" i="4"/>
  <c r="BG187" i="4" s="1"/>
  <c r="BD187" i="4"/>
  <c r="BF187" i="4" s="1"/>
  <c r="BH187" i="4" s="1"/>
  <c r="BD167" i="4"/>
  <c r="BF167" i="4" s="1"/>
  <c r="BH167" i="4" s="1"/>
  <c r="BE167" i="4"/>
  <c r="BG167" i="4" s="1"/>
  <c r="BI167" i="4" s="1"/>
  <c r="I210" i="4"/>
  <c r="G210" i="4"/>
  <c r="BI206" i="4"/>
  <c r="BJ206" i="4"/>
  <c r="N206" i="4" s="1"/>
  <c r="M206" i="4" s="1"/>
  <c r="AI206" i="4"/>
  <c r="AI198" i="4"/>
  <c r="BJ198" i="4"/>
  <c r="N198" i="4" s="1"/>
  <c r="M198" i="4" s="1"/>
  <c r="BI198" i="4"/>
  <c r="BI196" i="4"/>
  <c r="BJ196" i="4"/>
  <c r="N196" i="4" s="1"/>
  <c r="M196" i="4" s="1"/>
  <c r="AI196" i="4"/>
  <c r="BI190" i="4"/>
  <c r="BJ190" i="4"/>
  <c r="N190" i="4" s="1"/>
  <c r="M190" i="4" s="1"/>
  <c r="AI190" i="4"/>
  <c r="BI192" i="4"/>
  <c r="BJ192" i="4"/>
  <c r="N192" i="4" s="1"/>
  <c r="M192" i="4" s="1"/>
  <c r="AI192" i="4"/>
  <c r="BE170" i="4"/>
  <c r="BG170" i="4" s="1"/>
  <c r="BI170" i="4" s="1"/>
  <c r="BD170" i="4"/>
  <c r="BF170" i="4" s="1"/>
  <c r="BH170" i="4" s="1"/>
  <c r="BD168" i="4"/>
  <c r="BF168" i="4" s="1"/>
  <c r="BH168" i="4" s="1"/>
  <c r="BE168" i="4"/>
  <c r="BG168" i="4" s="1"/>
  <c r="BI168" i="4" s="1"/>
  <c r="BD169" i="4"/>
  <c r="BF169" i="4" s="1"/>
  <c r="BH169" i="4" s="1"/>
  <c r="BE169" i="4"/>
  <c r="BG169" i="4" s="1"/>
  <c r="BI169" i="4" s="1"/>
  <c r="BD174" i="4"/>
  <c r="BF174" i="4" s="1"/>
  <c r="BH174" i="4" s="1"/>
  <c r="BE174" i="4"/>
  <c r="BG174" i="4" s="1"/>
  <c r="BI174" i="4" s="1"/>
  <c r="BJ193" i="4"/>
  <c r="N193" i="4" s="1"/>
  <c r="M193" i="4" s="1"/>
  <c r="BI193" i="4"/>
  <c r="AI193" i="4"/>
  <c r="BJ207" i="4"/>
  <c r="N207" i="4" s="1"/>
  <c r="M207" i="4" s="1"/>
  <c r="BI207" i="4"/>
  <c r="AI207" i="4"/>
  <c r="AI194" i="4"/>
  <c r="BI194" i="4"/>
  <c r="BJ194" i="4"/>
  <c r="N194" i="4" s="1"/>
  <c r="M194" i="4" s="1"/>
  <c r="AI204" i="4"/>
  <c r="BJ204" i="4"/>
  <c r="N204" i="4" s="1"/>
  <c r="M204" i="4" s="1"/>
  <c r="BI204" i="4"/>
  <c r="AI191" i="4"/>
  <c r="BI191" i="4"/>
  <c r="BJ191" i="4"/>
  <c r="N191" i="4" s="1"/>
  <c r="M191" i="4" s="1"/>
  <c r="BI208" i="4"/>
  <c r="BJ208" i="4"/>
  <c r="N208" i="4" s="1"/>
  <c r="M208" i="4" s="1"/>
  <c r="AI208" i="4"/>
  <c r="H84" i="2"/>
  <c r="F84" i="2"/>
  <c r="Q121" i="3"/>
  <c r="R121" i="3" s="1"/>
  <c r="S121" i="3" s="1"/>
  <c r="T121" i="3" s="1"/>
  <c r="U121" i="3" s="1"/>
  <c r="Q120" i="3"/>
  <c r="R120" i="3" s="1"/>
  <c r="S120" i="3" s="1"/>
  <c r="T120" i="3" s="1"/>
  <c r="U120" i="3" s="1"/>
  <c r="Q119" i="3"/>
  <c r="R119" i="3" s="1"/>
  <c r="S119" i="3" s="1"/>
  <c r="T119" i="3" s="1"/>
  <c r="U119" i="3" s="1"/>
  <c r="Q118" i="3"/>
  <c r="R118" i="3" s="1"/>
  <c r="S118" i="3" s="1"/>
  <c r="T118" i="3" s="1"/>
  <c r="U118" i="3" s="1"/>
  <c r="Q117" i="3"/>
  <c r="R117" i="3" s="1"/>
  <c r="S117" i="3" s="1"/>
  <c r="T117" i="3" s="1"/>
  <c r="U117" i="3" s="1"/>
  <c r="Q116" i="3"/>
  <c r="R116" i="3" s="1"/>
  <c r="S116" i="3" s="1"/>
  <c r="T116" i="3" s="1"/>
  <c r="U116" i="3" s="1"/>
  <c r="Q115" i="3"/>
  <c r="R115" i="3" s="1"/>
  <c r="S115" i="3" s="1"/>
  <c r="T115" i="3" s="1"/>
  <c r="U115" i="3" s="1"/>
  <c r="Q114" i="3"/>
  <c r="R114" i="3" s="1"/>
  <c r="S114" i="3" s="1"/>
  <c r="T114" i="3" s="1"/>
  <c r="U114" i="3" s="1"/>
  <c r="Q113" i="3"/>
  <c r="R113" i="3" s="1"/>
  <c r="S113" i="3" s="1"/>
  <c r="T113" i="3" s="1"/>
  <c r="U113" i="3" s="1"/>
  <c r="Q112" i="3"/>
  <c r="R112" i="3" s="1"/>
  <c r="S112" i="3" s="1"/>
  <c r="T112" i="3" s="1"/>
  <c r="U112" i="3" s="1"/>
  <c r="Q111" i="3"/>
  <c r="R111" i="3" s="1"/>
  <c r="S111" i="3" s="1"/>
  <c r="T111" i="3" s="1"/>
  <c r="U111" i="3" s="1"/>
  <c r="I108" i="2"/>
  <c r="J108" i="2" s="1"/>
  <c r="K108" i="2" s="1"/>
  <c r="L108" i="2" s="1"/>
  <c r="M108" i="2" s="1"/>
  <c r="I107" i="2"/>
  <c r="J107" i="2" s="1"/>
  <c r="K107" i="2" s="1"/>
  <c r="L107" i="2" s="1"/>
  <c r="M107" i="2" s="1"/>
  <c r="I106" i="2"/>
  <c r="J106" i="2" s="1"/>
  <c r="K106" i="2" s="1"/>
  <c r="L106" i="2" s="1"/>
  <c r="M106" i="2" s="1"/>
  <c r="I105" i="2"/>
  <c r="J105" i="2" s="1"/>
  <c r="K105" i="2" s="1"/>
  <c r="L105" i="2" s="1"/>
  <c r="M105" i="2" s="1"/>
  <c r="I104" i="2"/>
  <c r="J104" i="2" s="1"/>
  <c r="K104" i="2" s="1"/>
  <c r="L104" i="2" s="1"/>
  <c r="M104" i="2" s="1"/>
  <c r="I103" i="2"/>
  <c r="J103" i="2" s="1"/>
  <c r="K103" i="2" s="1"/>
  <c r="L103" i="2" s="1"/>
  <c r="M103" i="2" s="1"/>
  <c r="I102" i="2"/>
  <c r="J102" i="2" s="1"/>
  <c r="K102" i="2" s="1"/>
  <c r="L102" i="2" s="1"/>
  <c r="M102" i="2" s="1"/>
  <c r="I101" i="2"/>
  <c r="J101" i="2" s="1"/>
  <c r="K101" i="2" s="1"/>
  <c r="L101" i="2" s="1"/>
  <c r="M101" i="2" s="1"/>
  <c r="I100" i="2"/>
  <c r="J100" i="2" s="1"/>
  <c r="K100" i="2" s="1"/>
  <c r="L100" i="2" s="1"/>
  <c r="M100" i="2" s="1"/>
  <c r="I99" i="2"/>
  <c r="J99" i="2" s="1"/>
  <c r="K99" i="2" s="1"/>
  <c r="L99" i="2" s="1"/>
  <c r="M99" i="2" s="1"/>
  <c r="J98" i="2"/>
  <c r="K98" i="2" s="1"/>
  <c r="L98" i="2" s="1"/>
  <c r="M98" i="2" s="1"/>
  <c r="BU1" i="3"/>
  <c r="E96" i="3" s="1"/>
  <c r="C97" i="2"/>
  <c r="C110" i="3"/>
  <c r="N131" i="3"/>
  <c r="M131" i="3" s="1"/>
  <c r="Q132" i="3"/>
  <c r="R132" i="3" s="1"/>
  <c r="S132" i="3" s="1"/>
  <c r="T132" i="3" s="1"/>
  <c r="U132" i="3" s="1"/>
  <c r="Q133" i="3"/>
  <c r="R133" i="3" s="1"/>
  <c r="S133" i="3" s="1"/>
  <c r="T133" i="3" s="1"/>
  <c r="U133" i="3" s="1"/>
  <c r="Q134" i="3"/>
  <c r="R134" i="3" s="1"/>
  <c r="S134" i="3" s="1"/>
  <c r="T134" i="3" s="1"/>
  <c r="U134" i="3" s="1"/>
  <c r="Q135" i="3"/>
  <c r="R135" i="3" s="1"/>
  <c r="S135" i="3" s="1"/>
  <c r="T135" i="3" s="1"/>
  <c r="U135" i="3" s="1"/>
  <c r="Q136" i="3"/>
  <c r="R136" i="3" s="1"/>
  <c r="S136" i="3" s="1"/>
  <c r="T136" i="3" s="1"/>
  <c r="U136" i="3" s="1"/>
  <c r="Q137" i="3"/>
  <c r="R137" i="3" s="1"/>
  <c r="S137" i="3" s="1"/>
  <c r="T137" i="3" s="1"/>
  <c r="U137" i="3" s="1"/>
  <c r="Q138" i="3"/>
  <c r="R138" i="3" s="1"/>
  <c r="S138" i="3" s="1"/>
  <c r="T138" i="3" s="1"/>
  <c r="U138" i="3" s="1"/>
  <c r="Q139" i="3"/>
  <c r="R139" i="3" s="1"/>
  <c r="S139" i="3" s="1"/>
  <c r="T139" i="3" s="1"/>
  <c r="U139" i="3" s="1"/>
  <c r="Q140" i="3"/>
  <c r="R140" i="3" s="1"/>
  <c r="S140" i="3" s="1"/>
  <c r="T140" i="3" s="1"/>
  <c r="U140" i="3" s="1"/>
  <c r="Q141" i="3"/>
  <c r="R141" i="3" s="1"/>
  <c r="S141" i="3" s="1"/>
  <c r="T141" i="3" s="1"/>
  <c r="U141" i="3" s="1"/>
  <c r="Q142" i="3"/>
  <c r="R142" i="3" s="1"/>
  <c r="S142" i="3" s="1"/>
  <c r="T142" i="3" s="1"/>
  <c r="U142" i="3" s="1"/>
  <c r="Q143" i="3"/>
  <c r="R143" i="3" s="1"/>
  <c r="S143" i="3" s="1"/>
  <c r="T143" i="3" s="1"/>
  <c r="U143" i="3" s="1"/>
  <c r="Q144" i="3"/>
  <c r="R144" i="3" s="1"/>
  <c r="S144" i="3" s="1"/>
  <c r="T144" i="3" s="1"/>
  <c r="U144" i="3" s="1"/>
  <c r="Q145" i="3"/>
  <c r="R145" i="3" s="1"/>
  <c r="S145" i="3" s="1"/>
  <c r="T145" i="3" s="1"/>
  <c r="U145" i="3" s="1"/>
  <c r="Q146" i="3"/>
  <c r="R146" i="3" s="1"/>
  <c r="S146" i="3" s="1"/>
  <c r="T146" i="3" s="1"/>
  <c r="U146" i="3" s="1"/>
  <c r="Q147" i="3"/>
  <c r="R147" i="3" s="1"/>
  <c r="S147" i="3" s="1"/>
  <c r="T147" i="3" s="1"/>
  <c r="U147" i="3" s="1"/>
  <c r="Q148" i="3"/>
  <c r="R148" i="3" s="1"/>
  <c r="S148" i="3" s="1"/>
  <c r="T148" i="3" s="1"/>
  <c r="U148" i="3" s="1"/>
  <c r="Q149" i="3"/>
  <c r="R149" i="3" s="1"/>
  <c r="S149" i="3" s="1"/>
  <c r="T149" i="3" s="1"/>
  <c r="U149" i="3" s="1"/>
  <c r="Q150" i="3"/>
  <c r="R150" i="3" s="1"/>
  <c r="S150" i="3" s="1"/>
  <c r="T150" i="3" s="1"/>
  <c r="U150" i="3" s="1"/>
  <c r="Q151" i="3"/>
  <c r="R151" i="3" s="1"/>
  <c r="S151" i="3" s="1"/>
  <c r="T151" i="3" s="1"/>
  <c r="U151" i="3" s="1"/>
  <c r="Q152" i="3"/>
  <c r="R152" i="3" s="1"/>
  <c r="S152" i="3" s="1"/>
  <c r="T152" i="3" s="1"/>
  <c r="U152" i="3" s="1"/>
  <c r="Q153" i="3"/>
  <c r="R153" i="3" s="1"/>
  <c r="S153" i="3" s="1"/>
  <c r="T153" i="3" s="1"/>
  <c r="U153" i="3" s="1"/>
  <c r="Q154" i="3"/>
  <c r="R154" i="3" s="1"/>
  <c r="S154" i="3" s="1"/>
  <c r="T154" i="3" s="1"/>
  <c r="U154" i="3" s="1"/>
  <c r="I206" i="4" l="1"/>
  <c r="G206" i="4"/>
  <c r="AI187" i="4"/>
  <c r="BI187" i="4"/>
  <c r="BE155" i="4"/>
  <c r="BG155" i="4" s="1"/>
  <c r="BD155" i="4"/>
  <c r="BF155" i="4" s="1"/>
  <c r="BH155" i="4" s="1"/>
  <c r="BE135" i="4"/>
  <c r="BG135" i="4" s="1"/>
  <c r="BD135" i="4"/>
  <c r="BF135" i="4" s="1"/>
  <c r="BH135" i="4" s="1"/>
  <c r="BE137" i="4"/>
  <c r="BG137" i="4" s="1"/>
  <c r="BD137" i="4"/>
  <c r="BF137" i="4" s="1"/>
  <c r="BH137" i="4" s="1"/>
  <c r="BD144" i="4"/>
  <c r="BF144" i="4" s="1"/>
  <c r="BH144" i="4" s="1"/>
  <c r="BE144" i="4"/>
  <c r="BG144" i="4" s="1"/>
  <c r="BD140" i="4"/>
  <c r="BF140" i="4" s="1"/>
  <c r="BH140" i="4" s="1"/>
  <c r="BE140" i="4"/>
  <c r="BG140" i="4" s="1"/>
  <c r="BE156" i="4"/>
  <c r="BG156" i="4" s="1"/>
  <c r="BD156" i="4"/>
  <c r="BF156" i="4" s="1"/>
  <c r="BH156" i="4" s="1"/>
  <c r="I202" i="4"/>
  <c r="G202" i="4"/>
  <c r="BD148" i="4"/>
  <c r="BF148" i="4" s="1"/>
  <c r="BH148" i="4" s="1"/>
  <c r="BE148" i="4"/>
  <c r="BG148" i="4" s="1"/>
  <c r="BD152" i="4"/>
  <c r="BF152" i="4" s="1"/>
  <c r="BH152" i="4" s="1"/>
  <c r="BE152" i="4"/>
  <c r="BG152" i="4" s="1"/>
  <c r="BE153" i="4"/>
  <c r="BG153" i="4" s="1"/>
  <c r="BD153" i="4"/>
  <c r="BF153" i="4" s="1"/>
  <c r="BH153" i="4" s="1"/>
  <c r="BE151" i="4"/>
  <c r="BG151" i="4" s="1"/>
  <c r="BD151" i="4"/>
  <c r="BF151" i="4" s="1"/>
  <c r="BH151" i="4" s="1"/>
  <c r="C16" i="4"/>
  <c r="BB133" i="4"/>
  <c r="I209" i="4"/>
  <c r="G209" i="4"/>
  <c r="I203" i="4"/>
  <c r="G203" i="4"/>
  <c r="G199" i="4"/>
  <c r="I199" i="4"/>
  <c r="I192" i="4"/>
  <c r="G192" i="4"/>
  <c r="I194" i="4"/>
  <c r="G194" i="4"/>
  <c r="I193" i="4"/>
  <c r="G193" i="4"/>
  <c r="I200" i="4"/>
  <c r="G200" i="4"/>
  <c r="G208" i="4"/>
  <c r="I208" i="4"/>
  <c r="I204" i="4"/>
  <c r="G204" i="4"/>
  <c r="I207" i="4"/>
  <c r="G207" i="4"/>
  <c r="I196" i="4"/>
  <c r="G196" i="4"/>
  <c r="I189" i="4"/>
  <c r="G189" i="4"/>
  <c r="BE136" i="4"/>
  <c r="BG136" i="4" s="1"/>
  <c r="BD136" i="4"/>
  <c r="BF136" i="4" s="1"/>
  <c r="BH136" i="4" s="1"/>
  <c r="BE154" i="4"/>
  <c r="BG154" i="4" s="1"/>
  <c r="BD154" i="4"/>
  <c r="BF154" i="4" s="1"/>
  <c r="BH154" i="4" s="1"/>
  <c r="BD138" i="4"/>
  <c r="BF138" i="4" s="1"/>
  <c r="BH138" i="4" s="1"/>
  <c r="BE138" i="4"/>
  <c r="BG138" i="4" s="1"/>
  <c r="BE145" i="4"/>
  <c r="BG145" i="4" s="1"/>
  <c r="BD145" i="4"/>
  <c r="BF145" i="4" s="1"/>
  <c r="BH145" i="4" s="1"/>
  <c r="BD149" i="4"/>
  <c r="BF149" i="4" s="1"/>
  <c r="BH149" i="4" s="1"/>
  <c r="BE149" i="4"/>
  <c r="BG149" i="4" s="1"/>
  <c r="BE141" i="4"/>
  <c r="BG141" i="4" s="1"/>
  <c r="BD141" i="4"/>
  <c r="BF141" i="4" s="1"/>
  <c r="BH141" i="4" s="1"/>
  <c r="I197" i="4"/>
  <c r="G197" i="4"/>
  <c r="BD166" i="4"/>
  <c r="BF166" i="4" s="1"/>
  <c r="BH166" i="4" s="1"/>
  <c r="BE166" i="4"/>
  <c r="BG166" i="4" s="1"/>
  <c r="BI166" i="4" s="1"/>
  <c r="I201" i="4"/>
  <c r="G201" i="4"/>
  <c r="I195" i="4"/>
  <c r="G195" i="4"/>
  <c r="I188" i="4"/>
  <c r="G188" i="4"/>
  <c r="I205" i="4"/>
  <c r="G205" i="4"/>
  <c r="BD139" i="4"/>
  <c r="BF139" i="4" s="1"/>
  <c r="BH139" i="4" s="1"/>
  <c r="BE139" i="4"/>
  <c r="BG139" i="4" s="1"/>
  <c r="G191" i="4"/>
  <c r="I191" i="4"/>
  <c r="I190" i="4"/>
  <c r="G190" i="4"/>
  <c r="I198" i="4"/>
  <c r="G198" i="4"/>
  <c r="BE147" i="4"/>
  <c r="BG147" i="4" s="1"/>
  <c r="BD147" i="4"/>
  <c r="BF147" i="4" s="1"/>
  <c r="BH147" i="4" s="1"/>
  <c r="BD134" i="4"/>
  <c r="BF134" i="4" s="1"/>
  <c r="BH134" i="4" s="1"/>
  <c r="BE134" i="4"/>
  <c r="BG134" i="4" s="1"/>
  <c r="BD150" i="4"/>
  <c r="BF150" i="4" s="1"/>
  <c r="BH150" i="4" s="1"/>
  <c r="BE150" i="4"/>
  <c r="BG150" i="4" s="1"/>
  <c r="BD146" i="4"/>
  <c r="BF146" i="4" s="1"/>
  <c r="BH146" i="4" s="1"/>
  <c r="BE146" i="4"/>
  <c r="BG146" i="4" s="1"/>
  <c r="BE143" i="4"/>
  <c r="BG143" i="4" s="1"/>
  <c r="BD143" i="4"/>
  <c r="BF143" i="4" s="1"/>
  <c r="BH143" i="4" s="1"/>
  <c r="BE142" i="4"/>
  <c r="BG142" i="4" s="1"/>
  <c r="BD142" i="4"/>
  <c r="BF142" i="4" s="1"/>
  <c r="BH142" i="4" s="1"/>
  <c r="F97" i="3"/>
  <c r="H97" i="3"/>
  <c r="AN111" i="3"/>
  <c r="AP111" i="3" s="1"/>
  <c r="AQ111" i="3" s="1"/>
  <c r="AR111" i="3" s="1"/>
  <c r="Q110" i="3"/>
  <c r="W110" i="3" s="1"/>
  <c r="X110" i="3" s="1"/>
  <c r="Z110" i="3" s="1"/>
  <c r="N108" i="2"/>
  <c r="O108" i="2" s="1"/>
  <c r="P108" i="2" s="1"/>
  <c r="I97" i="2"/>
  <c r="O97" i="2" s="1"/>
  <c r="P97" i="2" s="1"/>
  <c r="R97" i="2" s="1"/>
  <c r="AX121" i="3"/>
  <c r="AX117" i="3"/>
  <c r="AX113" i="3"/>
  <c r="AX118" i="3"/>
  <c r="AX114" i="3"/>
  <c r="AX110" i="3"/>
  <c r="AX119" i="3"/>
  <c r="AX115" i="3"/>
  <c r="AX111" i="3"/>
  <c r="AX120" i="3"/>
  <c r="AX116" i="3"/>
  <c r="AX112" i="3"/>
  <c r="V112" i="3"/>
  <c r="W112" i="3" s="1"/>
  <c r="X112" i="3" s="1"/>
  <c r="Y97" i="2"/>
  <c r="N103" i="2"/>
  <c r="O103" i="2" s="1"/>
  <c r="P103" i="2" s="1"/>
  <c r="AN116" i="3"/>
  <c r="AN110" i="3"/>
  <c r="AN120" i="3"/>
  <c r="AN113" i="3"/>
  <c r="AN118" i="3"/>
  <c r="AN121" i="3"/>
  <c r="V120" i="3"/>
  <c r="W120" i="3" s="1"/>
  <c r="X120" i="3" s="1"/>
  <c r="V117" i="3"/>
  <c r="W117" i="3" s="1"/>
  <c r="X117" i="3" s="1"/>
  <c r="V118" i="3"/>
  <c r="W118" i="3" s="1"/>
  <c r="X118" i="3" s="1"/>
  <c r="AN115" i="3"/>
  <c r="V116" i="3"/>
  <c r="W116" i="3" s="1"/>
  <c r="X116" i="3" s="1"/>
  <c r="AN117" i="3"/>
  <c r="AN114" i="3"/>
  <c r="V119" i="3"/>
  <c r="W119" i="3" s="1"/>
  <c r="X119" i="3" s="1"/>
  <c r="AN112" i="3"/>
  <c r="V115" i="3"/>
  <c r="W115" i="3" s="1"/>
  <c r="X115" i="3" s="1"/>
  <c r="V121" i="3"/>
  <c r="W121" i="3" s="1"/>
  <c r="X121" i="3" s="1"/>
  <c r="AN119" i="3"/>
  <c r="V113" i="3"/>
  <c r="W113" i="3" s="1"/>
  <c r="X113" i="3" s="1"/>
  <c r="V111" i="3"/>
  <c r="W111" i="3" s="1"/>
  <c r="X111" i="3" s="1"/>
  <c r="V114" i="3"/>
  <c r="W114" i="3" s="1"/>
  <c r="X114" i="3" s="1"/>
  <c r="Y101" i="2"/>
  <c r="Y106" i="2"/>
  <c r="Y102" i="2"/>
  <c r="N99" i="2"/>
  <c r="O99" i="2" s="1"/>
  <c r="P99" i="2" s="1"/>
  <c r="N100" i="2"/>
  <c r="O100" i="2" s="1"/>
  <c r="P100" i="2" s="1"/>
  <c r="Y100" i="2"/>
  <c r="Y108" i="2"/>
  <c r="Y99" i="2"/>
  <c r="Y107" i="2"/>
  <c r="Y104" i="2"/>
  <c r="N104" i="2"/>
  <c r="O104" i="2" s="1"/>
  <c r="P104" i="2" s="1"/>
  <c r="Y105" i="2"/>
  <c r="N98" i="2"/>
  <c r="O98" i="2" s="1"/>
  <c r="P98" i="2" s="1"/>
  <c r="N102" i="2"/>
  <c r="O102" i="2" s="1"/>
  <c r="P102" i="2" s="1"/>
  <c r="N105" i="2"/>
  <c r="O105" i="2" s="1"/>
  <c r="P105" i="2" s="1"/>
  <c r="N106" i="2"/>
  <c r="O106" i="2" s="1"/>
  <c r="P106" i="2" s="1"/>
  <c r="Y103" i="2"/>
  <c r="Y98" i="2"/>
  <c r="N107" i="2"/>
  <c r="O107" i="2" s="1"/>
  <c r="P107" i="2" s="1"/>
  <c r="N101" i="2"/>
  <c r="O101" i="2" s="1"/>
  <c r="P101" i="2" s="1"/>
  <c r="AI134" i="4" l="1"/>
  <c r="BJ134" i="4"/>
  <c r="N134" i="4" s="1"/>
  <c r="M134" i="4" s="1"/>
  <c r="BI134" i="4"/>
  <c r="BE133" i="4"/>
  <c r="BG133" i="4" s="1"/>
  <c r="BD133" i="4"/>
  <c r="BF133" i="4" s="1"/>
  <c r="BH133" i="4" s="1"/>
  <c r="BI148" i="4"/>
  <c r="AI148" i="4"/>
  <c r="BJ148" i="4"/>
  <c r="N148" i="4" s="1"/>
  <c r="M148" i="4" s="1"/>
  <c r="BJ144" i="4"/>
  <c r="N144" i="4" s="1"/>
  <c r="M144" i="4" s="1"/>
  <c r="AI144" i="4"/>
  <c r="BI144" i="4"/>
  <c r="BI146" i="4"/>
  <c r="AI146" i="4"/>
  <c r="BJ146" i="4"/>
  <c r="N146" i="4" s="1"/>
  <c r="M146" i="4" s="1"/>
  <c r="BJ141" i="4"/>
  <c r="N141" i="4" s="1"/>
  <c r="M141" i="4" s="1"/>
  <c r="BI141" i="4"/>
  <c r="AI141" i="4"/>
  <c r="C28" i="4"/>
  <c r="D9" i="4"/>
  <c r="C12" i="4"/>
  <c r="C9" i="4"/>
  <c r="D28" i="4"/>
  <c r="D92" i="4" s="1"/>
  <c r="BJ153" i="4"/>
  <c r="N153" i="4" s="1"/>
  <c r="M153" i="4" s="1"/>
  <c r="AI153" i="4"/>
  <c r="BI153" i="4"/>
  <c r="BI156" i="4"/>
  <c r="BJ156" i="4"/>
  <c r="N156" i="4" s="1"/>
  <c r="M156" i="4" s="1"/>
  <c r="AI156" i="4"/>
  <c r="BI135" i="4"/>
  <c r="AI135" i="4"/>
  <c r="BJ135" i="4"/>
  <c r="N135" i="4" s="1"/>
  <c r="M135" i="4" s="1"/>
  <c r="BI145" i="4"/>
  <c r="BJ145" i="4"/>
  <c r="N145" i="4" s="1"/>
  <c r="M145" i="4" s="1"/>
  <c r="AI145" i="4"/>
  <c r="BI154" i="4"/>
  <c r="BJ154" i="4"/>
  <c r="N154" i="4" s="1"/>
  <c r="M154" i="4" s="1"/>
  <c r="AI154" i="4"/>
  <c r="AI150" i="4"/>
  <c r="BJ150" i="4"/>
  <c r="N150" i="4" s="1"/>
  <c r="M150" i="4" s="1"/>
  <c r="BI150" i="4"/>
  <c r="BJ149" i="4"/>
  <c r="N149" i="4" s="1"/>
  <c r="M149" i="4" s="1"/>
  <c r="BI149" i="4"/>
  <c r="AI149" i="4"/>
  <c r="BJ138" i="4"/>
  <c r="N138" i="4" s="1"/>
  <c r="M138" i="4" s="1"/>
  <c r="AI138" i="4"/>
  <c r="BI138" i="4"/>
  <c r="BJ152" i="4"/>
  <c r="N152" i="4" s="1"/>
  <c r="M152" i="4" s="1"/>
  <c r="BI152" i="4"/>
  <c r="AI152" i="4"/>
  <c r="BI140" i="4"/>
  <c r="AI140" i="4"/>
  <c r="BJ140" i="4"/>
  <c r="N140" i="4" s="1"/>
  <c r="M140" i="4" s="1"/>
  <c r="AI142" i="4"/>
  <c r="BJ142" i="4"/>
  <c r="N142" i="4" s="1"/>
  <c r="M142" i="4" s="1"/>
  <c r="BI142" i="4"/>
  <c r="AI139" i="4"/>
  <c r="BJ139" i="4"/>
  <c r="N139" i="4" s="1"/>
  <c r="M139" i="4" s="1"/>
  <c r="BI139" i="4"/>
  <c r="BI143" i="4"/>
  <c r="BJ143" i="4"/>
  <c r="N143" i="4" s="1"/>
  <c r="M143" i="4" s="1"/>
  <c r="AI143" i="4"/>
  <c r="BJ147" i="4"/>
  <c r="N147" i="4" s="1"/>
  <c r="M147" i="4" s="1"/>
  <c r="BI147" i="4"/>
  <c r="AI147" i="4"/>
  <c r="BI136" i="4"/>
  <c r="AI136" i="4"/>
  <c r="BJ136" i="4"/>
  <c r="N136" i="4" s="1"/>
  <c r="M136" i="4" s="1"/>
  <c r="BJ151" i="4"/>
  <c r="N151" i="4" s="1"/>
  <c r="M151" i="4" s="1"/>
  <c r="BI151" i="4"/>
  <c r="AI151" i="4"/>
  <c r="BI137" i="4"/>
  <c r="AI137" i="4"/>
  <c r="BJ137" i="4"/>
  <c r="N137" i="4" s="1"/>
  <c r="M137" i="4" s="1"/>
  <c r="BJ155" i="4"/>
  <c r="N155" i="4" s="1"/>
  <c r="M155" i="4" s="1"/>
  <c r="BI155" i="4"/>
  <c r="AI155" i="4"/>
  <c r="AO111" i="3"/>
  <c r="AS111" i="3"/>
  <c r="AT111" i="3" s="1"/>
  <c r="AU111" i="3" s="1"/>
  <c r="AC105" i="2"/>
  <c r="AD105" i="2" s="1"/>
  <c r="AE105" i="2" s="1"/>
  <c r="Z105" i="2"/>
  <c r="AA105" i="2" s="1"/>
  <c r="AB105" i="2" s="1"/>
  <c r="AC99" i="2"/>
  <c r="AD99" i="2" s="1"/>
  <c r="AE99" i="2" s="1"/>
  <c r="Z99" i="2"/>
  <c r="AA99" i="2" s="1"/>
  <c r="AB99" i="2" s="1"/>
  <c r="AC101" i="2"/>
  <c r="AD101" i="2" s="1"/>
  <c r="AE101" i="2" s="1"/>
  <c r="Z101" i="2"/>
  <c r="AA101" i="2" s="1"/>
  <c r="AB101" i="2" s="1"/>
  <c r="AC108" i="2"/>
  <c r="AD108" i="2" s="1"/>
  <c r="AE108" i="2" s="1"/>
  <c r="Z108" i="2"/>
  <c r="AA108" i="2" s="1"/>
  <c r="AB108" i="2" s="1"/>
  <c r="AC102" i="2"/>
  <c r="AD102" i="2" s="1"/>
  <c r="AE102" i="2" s="1"/>
  <c r="Z102" i="2"/>
  <c r="AA102" i="2" s="1"/>
  <c r="AB102" i="2" s="1"/>
  <c r="AC98" i="2"/>
  <c r="AD98" i="2" s="1"/>
  <c r="AE98" i="2" s="1"/>
  <c r="Z98" i="2"/>
  <c r="AA98" i="2" s="1"/>
  <c r="AB98" i="2" s="1"/>
  <c r="AC103" i="2"/>
  <c r="AD103" i="2" s="1"/>
  <c r="AE103" i="2" s="1"/>
  <c r="Z103" i="2"/>
  <c r="AA103" i="2" s="1"/>
  <c r="AB103" i="2" s="1"/>
  <c r="AC104" i="2"/>
  <c r="AD104" i="2" s="1"/>
  <c r="AE104" i="2" s="1"/>
  <c r="Z104" i="2"/>
  <c r="AA104" i="2" s="1"/>
  <c r="AB104" i="2" s="1"/>
  <c r="AC100" i="2"/>
  <c r="AD100" i="2" s="1"/>
  <c r="AE100" i="2" s="1"/>
  <c r="Z100" i="2"/>
  <c r="AA100" i="2" s="1"/>
  <c r="AB100" i="2" s="1"/>
  <c r="AC97" i="2"/>
  <c r="AD97" i="2" s="1"/>
  <c r="AE97" i="2" s="1"/>
  <c r="Z97" i="2"/>
  <c r="AA97" i="2" s="1"/>
  <c r="AB97" i="2" s="1"/>
  <c r="AC107" i="2"/>
  <c r="AD107" i="2" s="1"/>
  <c r="AE107" i="2" s="1"/>
  <c r="Z107" i="2"/>
  <c r="AC106" i="2"/>
  <c r="AD106" i="2" s="1"/>
  <c r="AE106" i="2" s="1"/>
  <c r="Z106" i="2"/>
  <c r="AA106" i="2" s="1"/>
  <c r="AB106" i="2" s="1"/>
  <c r="AS113" i="3"/>
  <c r="AT113" i="3" s="1"/>
  <c r="AU113" i="3" s="1"/>
  <c r="AP113" i="3"/>
  <c r="AQ113" i="3" s="1"/>
  <c r="AR113" i="3" s="1"/>
  <c r="AS114" i="3"/>
  <c r="AT114" i="3" s="1"/>
  <c r="AU114" i="3" s="1"/>
  <c r="AP114" i="3"/>
  <c r="AQ114" i="3" s="1"/>
  <c r="AR114" i="3" s="1"/>
  <c r="AS115" i="3"/>
  <c r="AT115" i="3" s="1"/>
  <c r="AU115" i="3" s="1"/>
  <c r="AP115" i="3"/>
  <c r="AQ115" i="3" s="1"/>
  <c r="AR115" i="3" s="1"/>
  <c r="AO120" i="3"/>
  <c r="AP120" i="3"/>
  <c r="AQ120" i="3" s="1"/>
  <c r="AR120" i="3" s="1"/>
  <c r="AS120" i="3"/>
  <c r="AT120" i="3" s="1"/>
  <c r="AU120" i="3" s="1"/>
  <c r="AO117" i="3"/>
  <c r="AS117" i="3"/>
  <c r="AT117" i="3" s="1"/>
  <c r="AU117" i="3" s="1"/>
  <c r="AP117" i="3"/>
  <c r="AQ117" i="3" s="1"/>
  <c r="AR117" i="3" s="1"/>
  <c r="AO121" i="3"/>
  <c r="AS121" i="3"/>
  <c r="AT121" i="3" s="1"/>
  <c r="AU121" i="3" s="1"/>
  <c r="AP121" i="3"/>
  <c r="AQ121" i="3" s="1"/>
  <c r="AR121" i="3" s="1"/>
  <c r="AS110" i="3"/>
  <c r="AT110" i="3" s="1"/>
  <c r="AU110" i="3" s="1"/>
  <c r="AP110" i="3"/>
  <c r="AQ110" i="3" s="1"/>
  <c r="AR110" i="3" s="1"/>
  <c r="AO119" i="3"/>
  <c r="AS119" i="3"/>
  <c r="AT119" i="3" s="1"/>
  <c r="AU119" i="3" s="1"/>
  <c r="AP119" i="3"/>
  <c r="AQ119" i="3" s="1"/>
  <c r="AR119" i="3" s="1"/>
  <c r="AP112" i="3"/>
  <c r="AQ112" i="3" s="1"/>
  <c r="AR112" i="3" s="1"/>
  <c r="AS112" i="3"/>
  <c r="AT112" i="3" s="1"/>
  <c r="AU112" i="3" s="1"/>
  <c r="AO118" i="3"/>
  <c r="AS118" i="3"/>
  <c r="AT118" i="3" s="1"/>
  <c r="AU118" i="3" s="1"/>
  <c r="AP118" i="3"/>
  <c r="AQ118" i="3" s="1"/>
  <c r="AR118" i="3" s="1"/>
  <c r="AS116" i="3"/>
  <c r="AT116" i="3" s="1"/>
  <c r="AU116" i="3" s="1"/>
  <c r="AP116" i="3"/>
  <c r="AQ116" i="3" s="1"/>
  <c r="AR116" i="3" s="1"/>
  <c r="AO113" i="3"/>
  <c r="AO110" i="3"/>
  <c r="AA107" i="2"/>
  <c r="AB107" i="2" s="1"/>
  <c r="AO116" i="3"/>
  <c r="AY111" i="3"/>
  <c r="AO114" i="3"/>
  <c r="AO115" i="3"/>
  <c r="AO112" i="3"/>
  <c r="AA110" i="3"/>
  <c r="S97" i="2"/>
  <c r="G155" i="4" l="1"/>
  <c r="I155" i="4"/>
  <c r="I137" i="4"/>
  <c r="G137" i="4"/>
  <c r="I147" i="4"/>
  <c r="G147" i="4"/>
  <c r="I139" i="4"/>
  <c r="G139" i="4"/>
  <c r="I156" i="4"/>
  <c r="G156" i="4"/>
  <c r="G153" i="4"/>
  <c r="I153" i="4"/>
  <c r="BI133" i="4"/>
  <c r="AI133" i="4"/>
  <c r="I149" i="4"/>
  <c r="G149" i="4"/>
  <c r="CI52" i="4"/>
  <c r="BO132" i="4"/>
  <c r="BP132" i="4" s="1"/>
  <c r="BO136" i="4"/>
  <c r="BP136" i="4" s="1"/>
  <c r="BO140" i="4"/>
  <c r="BP140" i="4" s="1"/>
  <c r="BO144" i="4"/>
  <c r="BP144" i="4" s="1"/>
  <c r="BO148" i="4"/>
  <c r="BP148" i="4" s="1"/>
  <c r="BO152" i="4"/>
  <c r="BP152" i="4" s="1"/>
  <c r="BO156" i="4"/>
  <c r="BP156" i="4" s="1"/>
  <c r="BO160" i="4"/>
  <c r="BP160" i="4" s="1"/>
  <c r="BO164" i="4"/>
  <c r="BP164" i="4" s="1"/>
  <c r="BO168" i="4"/>
  <c r="BP168" i="4" s="1"/>
  <c r="BO172" i="4"/>
  <c r="BP172" i="4" s="1"/>
  <c r="D12" i="4"/>
  <c r="BO158" i="4"/>
  <c r="BP158" i="4" s="1"/>
  <c r="BO166" i="4"/>
  <c r="BP166" i="4" s="1"/>
  <c r="BO139" i="4"/>
  <c r="BP139" i="4" s="1"/>
  <c r="BO163" i="4"/>
  <c r="BP163" i="4" s="1"/>
  <c r="DK6" i="4"/>
  <c r="BO133" i="4"/>
  <c r="BP133" i="4" s="1"/>
  <c r="BO137" i="4"/>
  <c r="BP137" i="4" s="1"/>
  <c r="BO141" i="4"/>
  <c r="BP141" i="4" s="1"/>
  <c r="BO145" i="4"/>
  <c r="BP145" i="4" s="1"/>
  <c r="BO149" i="4"/>
  <c r="BP149" i="4" s="1"/>
  <c r="BO153" i="4"/>
  <c r="BP153" i="4" s="1"/>
  <c r="BO157" i="4"/>
  <c r="BP157" i="4" s="1"/>
  <c r="BO161" i="4"/>
  <c r="BP161" i="4" s="1"/>
  <c r="BO165" i="4"/>
  <c r="BP165" i="4" s="1"/>
  <c r="BO169" i="4"/>
  <c r="BP169" i="4" s="1"/>
  <c r="BO173" i="4"/>
  <c r="CI6" i="4"/>
  <c r="DM6" i="4" s="1"/>
  <c r="BO134" i="4"/>
  <c r="BP134" i="4" s="1"/>
  <c r="BO142" i="4"/>
  <c r="BP142" i="4" s="1"/>
  <c r="BO146" i="4"/>
  <c r="BP146" i="4" s="1"/>
  <c r="BO150" i="4"/>
  <c r="BP150" i="4" s="1"/>
  <c r="BO162" i="4"/>
  <c r="BP162" i="4" s="1"/>
  <c r="BO170" i="4"/>
  <c r="BP170" i="4" s="1"/>
  <c r="CX52" i="4"/>
  <c r="BT52" i="4" s="1"/>
  <c r="BO135" i="4"/>
  <c r="BP135" i="4" s="1"/>
  <c r="BO147" i="4"/>
  <c r="BP147" i="4" s="1"/>
  <c r="BO155" i="4"/>
  <c r="BP155" i="4" s="1"/>
  <c r="BO171" i="4"/>
  <c r="BP171" i="4" s="1"/>
  <c r="BO138" i="4"/>
  <c r="BP138" i="4" s="1"/>
  <c r="BO154" i="4"/>
  <c r="BP154" i="4" s="1"/>
  <c r="BO131" i="4"/>
  <c r="BO143" i="4"/>
  <c r="BP143" i="4" s="1"/>
  <c r="BO151" i="4"/>
  <c r="BP151" i="4" s="1"/>
  <c r="BO167" i="4"/>
  <c r="BP167" i="4" s="1"/>
  <c r="BO159" i="4"/>
  <c r="BP159" i="4" s="1"/>
  <c r="G148" i="4"/>
  <c r="I148" i="4"/>
  <c r="I150" i="4"/>
  <c r="G150" i="4"/>
  <c r="G93" i="4"/>
  <c r="I140" i="4"/>
  <c r="G140" i="4"/>
  <c r="I151" i="4"/>
  <c r="G151" i="4"/>
  <c r="I136" i="4"/>
  <c r="G136" i="4"/>
  <c r="I145" i="4"/>
  <c r="G145" i="4"/>
  <c r="I135" i="4"/>
  <c r="G135" i="4"/>
  <c r="G144" i="4"/>
  <c r="I144" i="4"/>
  <c r="G143" i="4"/>
  <c r="I143" i="4"/>
  <c r="G142" i="4"/>
  <c r="I142" i="4"/>
  <c r="I152" i="4"/>
  <c r="G152" i="4"/>
  <c r="G138" i="4"/>
  <c r="I138" i="4"/>
  <c r="I154" i="4"/>
  <c r="G154" i="4"/>
  <c r="I141" i="4"/>
  <c r="G141" i="4"/>
  <c r="I146" i="4"/>
  <c r="G146" i="4"/>
  <c r="G134" i="4"/>
  <c r="I134" i="4"/>
  <c r="AY110" i="3"/>
  <c r="C21" i="3" s="1"/>
  <c r="AG97" i="2"/>
  <c r="AG101" i="2"/>
  <c r="AG107" i="2"/>
  <c r="AG108" i="2"/>
  <c r="AY113" i="3"/>
  <c r="AY116" i="3"/>
  <c r="AG104" i="2"/>
  <c r="AG105" i="2"/>
  <c r="AG106" i="2"/>
  <c r="AO122" i="3"/>
  <c r="AY114" i="3"/>
  <c r="AY120" i="3"/>
  <c r="AY119" i="3"/>
  <c r="AY117" i="3"/>
  <c r="AC110" i="3"/>
  <c r="Y111" i="3"/>
  <c r="Z111" i="3" s="1"/>
  <c r="AY112" i="3"/>
  <c r="AY115" i="3"/>
  <c r="AG100" i="2"/>
  <c r="AG102" i="2"/>
  <c r="V97" i="2"/>
  <c r="Q98" i="2"/>
  <c r="R98" i="2" s="1"/>
  <c r="AG99" i="2"/>
  <c r="AG98" i="2"/>
  <c r="AG103" i="2"/>
  <c r="BP131" i="4" l="1"/>
  <c r="BT88" i="4"/>
  <c r="BT6" i="4"/>
  <c r="DN88" i="4"/>
  <c r="BP173" i="4"/>
  <c r="BQ147" i="4" s="1"/>
  <c r="BR147" i="4" s="1"/>
  <c r="CL74" i="4" s="1"/>
  <c r="CX3" i="4"/>
  <c r="BV3" i="4"/>
  <c r="DM52" i="4"/>
  <c r="C131" i="3"/>
  <c r="AN139" i="3" s="1"/>
  <c r="AP139" i="3" s="1"/>
  <c r="AQ139" i="3" s="1"/>
  <c r="AR139" i="3" s="1"/>
  <c r="AE110" i="3"/>
  <c r="AG110" i="3" s="1"/>
  <c r="AZ110" i="3"/>
  <c r="AL110" i="3"/>
  <c r="AY121" i="3"/>
  <c r="AY118" i="3"/>
  <c r="AA111" i="3"/>
  <c r="Z112" i="3"/>
  <c r="AH97" i="2"/>
  <c r="S98" i="2"/>
  <c r="R99" i="2"/>
  <c r="DM3" i="4" l="1"/>
  <c r="DN52" i="4" s="1"/>
  <c r="D127" i="4"/>
  <c r="D125" i="4"/>
  <c r="BT3" i="4"/>
  <c r="BS52" i="4" s="1"/>
  <c r="B92" i="4" s="1"/>
  <c r="D126" i="4"/>
  <c r="D124" i="4"/>
  <c r="CI66" i="4"/>
  <c r="CO66" i="4"/>
  <c r="CY30" i="4"/>
  <c r="BY30" i="4"/>
  <c r="BY47" i="4" s="1"/>
  <c r="BY49" i="4" s="1"/>
  <c r="CL75" i="4"/>
  <c r="CL78" i="4" s="1"/>
  <c r="BQ154" i="4"/>
  <c r="BR154" i="4" s="1"/>
  <c r="CS74" i="4" s="1"/>
  <c r="BQ140" i="4"/>
  <c r="BR140" i="4" s="1"/>
  <c r="CE74" i="4" s="1"/>
  <c r="BQ169" i="4"/>
  <c r="BR169" i="4" s="1"/>
  <c r="DH74" i="4" s="1"/>
  <c r="BQ146" i="4"/>
  <c r="BR146" i="4" s="1"/>
  <c r="CK74" i="4" s="1"/>
  <c r="BQ172" i="4"/>
  <c r="BR172" i="4" s="1"/>
  <c r="DK74" i="4" s="1"/>
  <c r="BQ170" i="4"/>
  <c r="BR170" i="4" s="1"/>
  <c r="DI74" i="4" s="1"/>
  <c r="BQ155" i="4"/>
  <c r="BR155" i="4" s="1"/>
  <c r="CT74" i="4" s="1"/>
  <c r="BQ153" i="4"/>
  <c r="BR153" i="4" s="1"/>
  <c r="CR74" i="4" s="1"/>
  <c r="BQ151" i="4"/>
  <c r="BR151" i="4" s="1"/>
  <c r="CP74" i="4" s="1"/>
  <c r="BQ156" i="4"/>
  <c r="BR156" i="4" s="1"/>
  <c r="CU74" i="4" s="1"/>
  <c r="BQ163" i="4"/>
  <c r="BR163" i="4" s="1"/>
  <c r="DB74" i="4" s="1"/>
  <c r="BQ164" i="4"/>
  <c r="BR164" i="4" s="1"/>
  <c r="DC74" i="4" s="1"/>
  <c r="BQ143" i="4"/>
  <c r="BR143" i="4" s="1"/>
  <c r="CH74" i="4" s="1"/>
  <c r="BQ166" i="4"/>
  <c r="BR166" i="4" s="1"/>
  <c r="DE74" i="4" s="1"/>
  <c r="BQ132" i="4"/>
  <c r="BR132" i="4" s="1"/>
  <c r="BW74" i="4" s="1"/>
  <c r="BQ167" i="4"/>
  <c r="BR167" i="4" s="1"/>
  <c r="DF74" i="4" s="1"/>
  <c r="BQ157" i="4"/>
  <c r="BR157" i="4" s="1"/>
  <c r="CV74" i="4" s="1"/>
  <c r="BQ161" i="4"/>
  <c r="BR161" i="4" s="1"/>
  <c r="CZ74" i="4" s="1"/>
  <c r="BQ160" i="4"/>
  <c r="BR160" i="4" s="1"/>
  <c r="CY74" i="4" s="1"/>
  <c r="BQ150" i="4"/>
  <c r="BR150" i="4" s="1"/>
  <c r="CO74" i="4" s="1"/>
  <c r="BQ142" i="4"/>
  <c r="BR142" i="4" s="1"/>
  <c r="CG74" i="4" s="1"/>
  <c r="BQ137" i="4"/>
  <c r="BR137" i="4" s="1"/>
  <c r="CB74" i="4" s="1"/>
  <c r="BQ131" i="4"/>
  <c r="BR131" i="4" s="1"/>
  <c r="BV74" i="4" s="1"/>
  <c r="BV75" i="4" s="1"/>
  <c r="BV78" i="4" s="1"/>
  <c r="BQ165" i="4"/>
  <c r="BR165" i="4" s="1"/>
  <c r="DD74" i="4" s="1"/>
  <c r="BQ135" i="4"/>
  <c r="BR135" i="4" s="1"/>
  <c r="BZ74" i="4" s="1"/>
  <c r="BQ158" i="4"/>
  <c r="BR158" i="4" s="1"/>
  <c r="CW74" i="4" s="1"/>
  <c r="BQ141" i="4"/>
  <c r="BR141" i="4" s="1"/>
  <c r="CF74" i="4" s="1"/>
  <c r="BQ136" i="4"/>
  <c r="BR136" i="4" s="1"/>
  <c r="CA74" i="4" s="1"/>
  <c r="BQ138" i="4"/>
  <c r="BR138" i="4" s="1"/>
  <c r="CC74" i="4" s="1"/>
  <c r="BQ159" i="4"/>
  <c r="BR159" i="4" s="1"/>
  <c r="CX74" i="4" s="1"/>
  <c r="BQ149" i="4"/>
  <c r="BR149" i="4" s="1"/>
  <c r="CN74" i="4" s="1"/>
  <c r="BQ171" i="4"/>
  <c r="BR171" i="4" s="1"/>
  <c r="DJ74" i="4" s="1"/>
  <c r="BQ133" i="4"/>
  <c r="BR133" i="4" s="1"/>
  <c r="BX74" i="4" s="1"/>
  <c r="BQ134" i="4"/>
  <c r="BR134" i="4" s="1"/>
  <c r="BY74" i="4" s="1"/>
  <c r="BQ168" i="4"/>
  <c r="BR168" i="4" s="1"/>
  <c r="DG74" i="4" s="1"/>
  <c r="BQ145" i="4"/>
  <c r="BR145" i="4" s="1"/>
  <c r="CJ74" i="4" s="1"/>
  <c r="BQ148" i="4"/>
  <c r="BR148" i="4" s="1"/>
  <c r="CM74" i="4" s="1"/>
  <c r="BQ162" i="4"/>
  <c r="BR162" i="4" s="1"/>
  <c r="DA74" i="4" s="1"/>
  <c r="BQ144" i="4"/>
  <c r="BR144" i="4" s="1"/>
  <c r="CI74" i="4" s="1"/>
  <c r="BQ173" i="4"/>
  <c r="BR173" i="4" s="1"/>
  <c r="DL74" i="4" s="1"/>
  <c r="DL75" i="4" s="1"/>
  <c r="DL78" i="4" s="1"/>
  <c r="BQ152" i="4"/>
  <c r="BR152" i="4" s="1"/>
  <c r="CQ74" i="4" s="1"/>
  <c r="BQ139" i="4"/>
  <c r="BR139" i="4" s="1"/>
  <c r="CD74" i="4" s="1"/>
  <c r="AN138" i="3"/>
  <c r="AS138" i="3" s="1"/>
  <c r="AT138" i="3" s="1"/>
  <c r="AU138" i="3" s="1"/>
  <c r="AN140" i="3"/>
  <c r="AS140" i="3" s="1"/>
  <c r="AT140" i="3" s="1"/>
  <c r="AU140" i="3" s="1"/>
  <c r="AN151" i="3"/>
  <c r="AS151" i="3" s="1"/>
  <c r="AT151" i="3" s="1"/>
  <c r="AU151" i="3" s="1"/>
  <c r="V152" i="3"/>
  <c r="W152" i="3" s="1"/>
  <c r="X152" i="3" s="1"/>
  <c r="AN147" i="3"/>
  <c r="AS147" i="3" s="1"/>
  <c r="AT147" i="3" s="1"/>
  <c r="AU147" i="3" s="1"/>
  <c r="V146" i="3"/>
  <c r="W146" i="3" s="1"/>
  <c r="X146" i="3" s="1"/>
  <c r="V154" i="3"/>
  <c r="W154" i="3" s="1"/>
  <c r="X154" i="3" s="1"/>
  <c r="V132" i="3"/>
  <c r="W132" i="3" s="1"/>
  <c r="X132" i="3" s="1"/>
  <c r="V151" i="3"/>
  <c r="W151" i="3" s="1"/>
  <c r="X151" i="3" s="1"/>
  <c r="AN146" i="3"/>
  <c r="AS146" i="3" s="1"/>
  <c r="AT146" i="3" s="1"/>
  <c r="AU146" i="3" s="1"/>
  <c r="AN133" i="3"/>
  <c r="AP133" i="3" s="1"/>
  <c r="AQ133" i="3" s="1"/>
  <c r="AR133" i="3" s="1"/>
  <c r="AN134" i="3"/>
  <c r="AP134" i="3" s="1"/>
  <c r="AQ134" i="3" s="1"/>
  <c r="AR134" i="3" s="1"/>
  <c r="V139" i="3"/>
  <c r="W139" i="3" s="1"/>
  <c r="X139" i="3" s="1"/>
  <c r="AN131" i="3"/>
  <c r="AP131" i="3" s="1"/>
  <c r="AQ131" i="3" s="1"/>
  <c r="AR131" i="3" s="1"/>
  <c r="AN141" i="3"/>
  <c r="AP141" i="3" s="1"/>
  <c r="AQ141" i="3" s="1"/>
  <c r="AR141" i="3" s="1"/>
  <c r="V142" i="3"/>
  <c r="W142" i="3" s="1"/>
  <c r="X142" i="3" s="1"/>
  <c r="AN132" i="3"/>
  <c r="AS132" i="3" s="1"/>
  <c r="AT132" i="3" s="1"/>
  <c r="AU132" i="3" s="1"/>
  <c r="V134" i="3"/>
  <c r="W134" i="3" s="1"/>
  <c r="X134" i="3" s="1"/>
  <c r="Q131" i="3"/>
  <c r="R131" i="3" s="1"/>
  <c r="S131" i="3" s="1"/>
  <c r="T131" i="3" s="1"/>
  <c r="U131" i="3" s="1"/>
  <c r="V138" i="3"/>
  <c r="W138" i="3" s="1"/>
  <c r="X138" i="3" s="1"/>
  <c r="V149" i="3"/>
  <c r="W149" i="3" s="1"/>
  <c r="X149" i="3" s="1"/>
  <c r="AN145" i="3"/>
  <c r="AS145" i="3" s="1"/>
  <c r="AT145" i="3" s="1"/>
  <c r="AU145" i="3" s="1"/>
  <c r="AN150" i="3"/>
  <c r="AS150" i="3" s="1"/>
  <c r="AT150" i="3" s="1"/>
  <c r="AU150" i="3" s="1"/>
  <c r="AN135" i="3"/>
  <c r="AS135" i="3" s="1"/>
  <c r="AT135" i="3" s="1"/>
  <c r="AU135" i="3" s="1"/>
  <c r="V143" i="3"/>
  <c r="W143" i="3" s="1"/>
  <c r="X143" i="3" s="1"/>
  <c r="V150" i="3"/>
  <c r="W150" i="3" s="1"/>
  <c r="X150" i="3" s="1"/>
  <c r="AN143" i="3"/>
  <c r="AS143" i="3" s="1"/>
  <c r="AT143" i="3" s="1"/>
  <c r="AU143" i="3" s="1"/>
  <c r="AN153" i="3"/>
  <c r="AS153" i="3" s="1"/>
  <c r="AT153" i="3" s="1"/>
  <c r="AU153" i="3" s="1"/>
  <c r="V137" i="3"/>
  <c r="W137" i="3" s="1"/>
  <c r="X137" i="3" s="1"/>
  <c r="AN142" i="3"/>
  <c r="AP142" i="3" s="1"/>
  <c r="AQ142" i="3" s="1"/>
  <c r="AR142" i="3" s="1"/>
  <c r="V140" i="3"/>
  <c r="W140" i="3" s="1"/>
  <c r="X140" i="3" s="1"/>
  <c r="AS139" i="3"/>
  <c r="AT139" i="3" s="1"/>
  <c r="AU139" i="3" s="1"/>
  <c r="AY139" i="3" s="1"/>
  <c r="AN152" i="3"/>
  <c r="AS152" i="3" s="1"/>
  <c r="AT152" i="3" s="1"/>
  <c r="AU152" i="3" s="1"/>
  <c r="V141" i="3"/>
  <c r="W141" i="3" s="1"/>
  <c r="X141" i="3" s="1"/>
  <c r="V133" i="3"/>
  <c r="W133" i="3" s="1"/>
  <c r="X133" i="3" s="1"/>
  <c r="AN154" i="3"/>
  <c r="AS154" i="3" s="1"/>
  <c r="AT154" i="3" s="1"/>
  <c r="AU154" i="3" s="1"/>
  <c r="V153" i="3"/>
  <c r="W153" i="3" s="1"/>
  <c r="X153" i="3" s="1"/>
  <c r="V136" i="3"/>
  <c r="W136" i="3" s="1"/>
  <c r="X136" i="3" s="1"/>
  <c r="V147" i="3"/>
  <c r="W147" i="3" s="1"/>
  <c r="X147" i="3" s="1"/>
  <c r="V144" i="3"/>
  <c r="W144" i="3" s="1"/>
  <c r="X144" i="3" s="1"/>
  <c r="AN136" i="3"/>
  <c r="AS136" i="3" s="1"/>
  <c r="AT136" i="3" s="1"/>
  <c r="AU136" i="3" s="1"/>
  <c r="AN148" i="3"/>
  <c r="AS148" i="3" s="1"/>
  <c r="AT148" i="3" s="1"/>
  <c r="AU148" i="3" s="1"/>
  <c r="V148" i="3"/>
  <c r="W148" i="3" s="1"/>
  <c r="X148" i="3" s="1"/>
  <c r="V131" i="3"/>
  <c r="W131" i="3" s="1"/>
  <c r="AN144" i="3"/>
  <c r="AS144" i="3" s="1"/>
  <c r="AT144" i="3" s="1"/>
  <c r="AU144" i="3" s="1"/>
  <c r="V135" i="3"/>
  <c r="W135" i="3" s="1"/>
  <c r="X135" i="3" s="1"/>
  <c r="AN149" i="3"/>
  <c r="AS149" i="3" s="1"/>
  <c r="AT149" i="3" s="1"/>
  <c r="AU149" i="3" s="1"/>
  <c r="AN137" i="3"/>
  <c r="AP137" i="3" s="1"/>
  <c r="AQ137" i="3" s="1"/>
  <c r="AR137" i="3" s="1"/>
  <c r="V145" i="3"/>
  <c r="W145" i="3" s="1"/>
  <c r="X145" i="3" s="1"/>
  <c r="AC111" i="3"/>
  <c r="Y112" i="3"/>
  <c r="Z113" i="3"/>
  <c r="AA112" i="3"/>
  <c r="Q99" i="2"/>
  <c r="V98" i="2"/>
  <c r="R100" i="2"/>
  <c r="S99" i="2"/>
  <c r="BV44" i="4" l="1"/>
  <c r="BZ44" i="4"/>
  <c r="BZ47" i="4" s="1"/>
  <c r="BZ49" i="4" s="1"/>
  <c r="BX75" i="4"/>
  <c r="BX78" i="4" s="1"/>
  <c r="CS56" i="4"/>
  <c r="CS71" i="4" s="1"/>
  <c r="CV75" i="4"/>
  <c r="CV78" i="4" s="1"/>
  <c r="CX56" i="4"/>
  <c r="CX71" i="4" s="1"/>
  <c r="CI41" i="4"/>
  <c r="DI41" i="4"/>
  <c r="DI47" i="4" s="1"/>
  <c r="DI49" i="4" s="1"/>
  <c r="CY59" i="4"/>
  <c r="CM59" i="4"/>
  <c r="CI44" i="4"/>
  <c r="DC44" i="4"/>
  <c r="DC47" i="4" s="1"/>
  <c r="DC49" i="4" s="1"/>
  <c r="CS75" i="4"/>
  <c r="CS78" i="4" s="1"/>
  <c r="B93" i="4"/>
  <c r="D93" i="4"/>
  <c r="E93" i="4"/>
  <c r="CJ39" i="4"/>
  <c r="CC75" i="4"/>
  <c r="CC78" i="4" s="1"/>
  <c r="BV39" i="4"/>
  <c r="CT34" i="4"/>
  <c r="BV34" i="4"/>
  <c r="CH75" i="4"/>
  <c r="CH78" i="4" s="1"/>
  <c r="CJ75" i="4"/>
  <c r="CJ78" i="4" s="1"/>
  <c r="CK68" i="4"/>
  <c r="BV32" i="4"/>
  <c r="CX32" i="4"/>
  <c r="CI68" i="4"/>
  <c r="CV16" i="4"/>
  <c r="DL16" i="4"/>
  <c r="DD75" i="4"/>
  <c r="DD78" i="4" s="1"/>
  <c r="CY31" i="4"/>
  <c r="CI67" i="4"/>
  <c r="CK75" i="4"/>
  <c r="CK78" i="4" s="1"/>
  <c r="BW31" i="4"/>
  <c r="BW47" i="4" s="1"/>
  <c r="BW49" i="4" s="1"/>
  <c r="CM67" i="4"/>
  <c r="CP65" i="4"/>
  <c r="CM75" i="4"/>
  <c r="CM78" i="4" s="1"/>
  <c r="CY29" i="4"/>
  <c r="CJ65" i="4"/>
  <c r="CJ71" i="4" s="1"/>
  <c r="CA29" i="4"/>
  <c r="CA47" i="4" s="1"/>
  <c r="CA49" i="4" s="1"/>
  <c r="CP35" i="4"/>
  <c r="CG75" i="4"/>
  <c r="CG78" i="4" s="1"/>
  <c r="BX35" i="4"/>
  <c r="DL9" i="4"/>
  <c r="DJ9" i="4"/>
  <c r="DK75" i="4"/>
  <c r="DK78" i="4" s="1"/>
  <c r="DH10" i="4"/>
  <c r="DH47" i="4" s="1"/>
  <c r="DH49" i="4" s="1"/>
  <c r="DJ75" i="4"/>
  <c r="DJ78" i="4" s="1"/>
  <c r="DL10" i="4"/>
  <c r="CY27" i="4"/>
  <c r="CU63" i="4"/>
  <c r="CU71" i="4" s="1"/>
  <c r="CE27" i="4"/>
  <c r="CE47" i="4" s="1"/>
  <c r="CE49" i="4" s="1"/>
  <c r="CI63" i="4"/>
  <c r="CO75" i="4"/>
  <c r="CO78" i="4" s="1"/>
  <c r="CT17" i="4"/>
  <c r="DL17" i="4"/>
  <c r="DC75" i="4"/>
  <c r="DC78" i="4" s="1"/>
  <c r="DG75" i="4"/>
  <c r="DG78" i="4" s="1"/>
  <c r="DL13" i="4"/>
  <c r="DB13" i="4"/>
  <c r="DB47" i="4" s="1"/>
  <c r="DB49" i="4" s="1"/>
  <c r="CP36" i="4"/>
  <c r="BV36" i="4"/>
  <c r="CF75" i="4"/>
  <c r="CF78" i="4" s="1"/>
  <c r="BX45" i="4"/>
  <c r="BW75" i="4"/>
  <c r="BW78" i="4" s="1"/>
  <c r="BV45" i="4"/>
  <c r="CI61" i="4"/>
  <c r="CY25" i="4"/>
  <c r="CI25" i="4"/>
  <c r="CY61" i="4"/>
  <c r="CQ75" i="4"/>
  <c r="CQ78" i="4" s="1"/>
  <c r="BV42" i="4"/>
  <c r="CD42" i="4"/>
  <c r="CD47" i="4" s="1"/>
  <c r="CD49" i="4" s="1"/>
  <c r="BZ75" i="4"/>
  <c r="BZ78" i="4" s="1"/>
  <c r="CY26" i="4"/>
  <c r="CG26" i="4"/>
  <c r="CG47" i="4" s="1"/>
  <c r="CG49" i="4" s="1"/>
  <c r="CP75" i="4"/>
  <c r="CP78" i="4" s="1"/>
  <c r="CI62" i="4"/>
  <c r="CW62" i="4"/>
  <c r="BV41" i="4"/>
  <c r="CF41" i="4"/>
  <c r="CF47" i="4" s="1"/>
  <c r="CF49" i="4" s="1"/>
  <c r="CA75" i="4"/>
  <c r="CA78" i="4" s="1"/>
  <c r="DF75" i="4"/>
  <c r="DF78" i="4" s="1"/>
  <c r="DL14" i="4"/>
  <c r="CZ14" i="4"/>
  <c r="CZ47" i="4" s="1"/>
  <c r="CZ49" i="4" s="1"/>
  <c r="CK60" i="4"/>
  <c r="CY60" i="4"/>
  <c r="CR75" i="4"/>
  <c r="CR78" i="4" s="1"/>
  <c r="CI45" i="4"/>
  <c r="DA45" i="4"/>
  <c r="DA47" i="4" s="1"/>
  <c r="DA49" i="4" s="1"/>
  <c r="CI75" i="4"/>
  <c r="CI78" i="4" s="1"/>
  <c r="CV33" i="4"/>
  <c r="CV47" i="4" s="1"/>
  <c r="CV49" i="4" s="1"/>
  <c r="BV33" i="4"/>
  <c r="CC28" i="4"/>
  <c r="CC47" i="4" s="1"/>
  <c r="CC49" i="4" s="1"/>
  <c r="CY28" i="4"/>
  <c r="CP64" i="4"/>
  <c r="CP71" i="4" s="1"/>
  <c r="CL64" i="4"/>
  <c r="CL71" i="4" s="1"/>
  <c r="CN75" i="4"/>
  <c r="CN78" i="4" s="1"/>
  <c r="CY75" i="4"/>
  <c r="CY78" i="4" s="1"/>
  <c r="DL21" i="4"/>
  <c r="CL21" i="4"/>
  <c r="DJ18" i="4"/>
  <c r="CT18" i="4"/>
  <c r="DB75" i="4"/>
  <c r="DB78" i="4" s="1"/>
  <c r="CY58" i="4"/>
  <c r="CI43" i="4"/>
  <c r="DE43" i="4"/>
  <c r="DE47" i="4" s="1"/>
  <c r="DE49" i="4" s="1"/>
  <c r="CO58" i="4"/>
  <c r="CO71" i="4" s="1"/>
  <c r="CT75" i="4"/>
  <c r="CT78" i="4" s="1"/>
  <c r="DL12" i="4"/>
  <c r="DD12" i="4"/>
  <c r="DD47" i="4" s="1"/>
  <c r="DD49" i="4" s="1"/>
  <c r="DH75" i="4"/>
  <c r="DH78" i="4" s="1"/>
  <c r="CL38" i="4"/>
  <c r="BV38" i="4"/>
  <c r="CD75" i="4"/>
  <c r="CD78" i="4" s="1"/>
  <c r="DL19" i="4"/>
  <c r="CP19" i="4"/>
  <c r="CP47" i="4" s="1"/>
  <c r="CP49" i="4" s="1"/>
  <c r="DA75" i="4"/>
  <c r="DA78" i="4" s="1"/>
  <c r="BY75" i="4"/>
  <c r="BY78" i="4" s="1"/>
  <c r="CB43" i="4"/>
  <c r="CB47" i="4" s="1"/>
  <c r="CB49" i="4" s="1"/>
  <c r="BV43" i="4"/>
  <c r="CW54" i="4"/>
  <c r="CJ22" i="4"/>
  <c r="CJ47" i="4" s="1"/>
  <c r="CJ49" i="4" s="1"/>
  <c r="DL22" i="4"/>
  <c r="CX75" i="4"/>
  <c r="CX78" i="4" s="1"/>
  <c r="CY54" i="4"/>
  <c r="CY55" i="4"/>
  <c r="CI23" i="4"/>
  <c r="CI47" i="4" s="1"/>
  <c r="CI49" i="4" s="1"/>
  <c r="CW75" i="4"/>
  <c r="CW78" i="4" s="1"/>
  <c r="DK23" i="4"/>
  <c r="DK47" i="4" s="1"/>
  <c r="DK49" i="4" s="1"/>
  <c r="CT55" i="4"/>
  <c r="CB75" i="4"/>
  <c r="CB78" i="4" s="1"/>
  <c r="BV40" i="4"/>
  <c r="CH40" i="4"/>
  <c r="CH47" i="4" s="1"/>
  <c r="CH49" i="4" s="1"/>
  <c r="CN20" i="4"/>
  <c r="DL20" i="4"/>
  <c r="CZ75" i="4"/>
  <c r="CZ78" i="4" s="1"/>
  <c r="CX15" i="4"/>
  <c r="DE75" i="4"/>
  <c r="DE78" i="4" s="1"/>
  <c r="DL15" i="4"/>
  <c r="DG42" i="4"/>
  <c r="DG47" i="4" s="1"/>
  <c r="DG49" i="4" s="1"/>
  <c r="CI42" i="4"/>
  <c r="CT57" i="4"/>
  <c r="CV57" i="4"/>
  <c r="CV71" i="4" s="1"/>
  <c r="CU75" i="4"/>
  <c r="CU78" i="4" s="1"/>
  <c r="DL11" i="4"/>
  <c r="DI75" i="4"/>
  <c r="DI78" i="4" s="1"/>
  <c r="DF11" i="4"/>
  <c r="DF47" i="4" s="1"/>
  <c r="DF49" i="4" s="1"/>
  <c r="BV37" i="4"/>
  <c r="CE75" i="4"/>
  <c r="CE78" i="4" s="1"/>
  <c r="CN37" i="4"/>
  <c r="CN47" i="4" s="1"/>
  <c r="CN49" i="4" s="1"/>
  <c r="AS141" i="3"/>
  <c r="AT141" i="3" s="1"/>
  <c r="AU141" i="3" s="1"/>
  <c r="AY141" i="3" s="1"/>
  <c r="AP138" i="3"/>
  <c r="AQ138" i="3" s="1"/>
  <c r="AR138" i="3" s="1"/>
  <c r="AY138" i="3" s="1"/>
  <c r="AP132" i="3"/>
  <c r="AQ132" i="3" s="1"/>
  <c r="AR132" i="3" s="1"/>
  <c r="AY132" i="3" s="1"/>
  <c r="AP147" i="3"/>
  <c r="AQ147" i="3" s="1"/>
  <c r="AR147" i="3" s="1"/>
  <c r="AY147" i="3" s="1"/>
  <c r="AS133" i="3"/>
  <c r="AT133" i="3" s="1"/>
  <c r="AU133" i="3" s="1"/>
  <c r="AY133" i="3" s="1"/>
  <c r="AP143" i="3"/>
  <c r="AQ143" i="3" s="1"/>
  <c r="AR143" i="3" s="1"/>
  <c r="AY143" i="3" s="1"/>
  <c r="AP146" i="3"/>
  <c r="AQ146" i="3" s="1"/>
  <c r="AR146" i="3" s="1"/>
  <c r="AP150" i="3"/>
  <c r="AQ150" i="3" s="1"/>
  <c r="AR150" i="3" s="1"/>
  <c r="AP151" i="3"/>
  <c r="AQ151" i="3" s="1"/>
  <c r="AR151" i="3" s="1"/>
  <c r="AY151" i="3" s="1"/>
  <c r="X131" i="3"/>
  <c r="Z131" i="3" s="1"/>
  <c r="AA131" i="3" s="1"/>
  <c r="Y132" i="3" s="1"/>
  <c r="Z132" i="3" s="1"/>
  <c r="AA132" i="3" s="1"/>
  <c r="AP140" i="3"/>
  <c r="AQ140" i="3" s="1"/>
  <c r="AR140" i="3" s="1"/>
  <c r="AY140" i="3" s="1"/>
  <c r="AP148" i="3"/>
  <c r="AQ148" i="3" s="1"/>
  <c r="AR148" i="3" s="1"/>
  <c r="AY148" i="3" s="1"/>
  <c r="AP145" i="3"/>
  <c r="AQ145" i="3" s="1"/>
  <c r="AR145" i="3" s="1"/>
  <c r="AY145" i="3" s="1"/>
  <c r="AP152" i="3"/>
  <c r="AQ152" i="3" s="1"/>
  <c r="AR152" i="3" s="1"/>
  <c r="AY152" i="3" s="1"/>
  <c r="AS134" i="3"/>
  <c r="AT134" i="3" s="1"/>
  <c r="AU134" i="3" s="1"/>
  <c r="AY134" i="3" s="1"/>
  <c r="AS137" i="3"/>
  <c r="AT137" i="3" s="1"/>
  <c r="AU137" i="3" s="1"/>
  <c r="AY137" i="3" s="1"/>
  <c r="AP135" i="3"/>
  <c r="AQ135" i="3" s="1"/>
  <c r="AR135" i="3" s="1"/>
  <c r="AY135" i="3" s="1"/>
  <c r="AP153" i="3"/>
  <c r="AQ153" i="3" s="1"/>
  <c r="AR153" i="3" s="1"/>
  <c r="AY153" i="3" s="1"/>
  <c r="AS142" i="3"/>
  <c r="AT142" i="3" s="1"/>
  <c r="AU142" i="3" s="1"/>
  <c r="AY142" i="3" s="1"/>
  <c r="AS131" i="3"/>
  <c r="AT131" i="3" s="1"/>
  <c r="AU131" i="3" s="1"/>
  <c r="AY131" i="3" s="1"/>
  <c r="AP144" i="3"/>
  <c r="AQ144" i="3" s="1"/>
  <c r="AR144" i="3" s="1"/>
  <c r="AY144" i="3" s="1"/>
  <c r="AP149" i="3"/>
  <c r="AQ149" i="3" s="1"/>
  <c r="AR149" i="3" s="1"/>
  <c r="AY149" i="3" s="1"/>
  <c r="AP136" i="3"/>
  <c r="AQ136" i="3" s="1"/>
  <c r="AR136" i="3" s="1"/>
  <c r="AY136" i="3" s="1"/>
  <c r="AP154" i="3"/>
  <c r="AQ154" i="3" s="1"/>
  <c r="AR154" i="3" s="1"/>
  <c r="AZ111" i="3"/>
  <c r="AL111" i="3"/>
  <c r="AY146" i="3"/>
  <c r="Z114" i="3"/>
  <c r="AA113" i="3"/>
  <c r="AC112" i="3"/>
  <c r="Y113" i="3"/>
  <c r="AH98" i="2"/>
  <c r="S100" i="2"/>
  <c r="R101" i="2"/>
  <c r="Q100" i="2"/>
  <c r="V99" i="2"/>
  <c r="CY47" i="4" l="1"/>
  <c r="CY49" i="4" s="1"/>
  <c r="CK71" i="4"/>
  <c r="CW71" i="4"/>
  <c r="DL47" i="4"/>
  <c r="DL49" i="4" s="1"/>
  <c r="CI71" i="4"/>
  <c r="BX47" i="4"/>
  <c r="BX49" i="4" s="1"/>
  <c r="CT47" i="4"/>
  <c r="CT49" i="4" s="1"/>
  <c r="CX47" i="4"/>
  <c r="CX49" i="4" s="1"/>
  <c r="CT71" i="4"/>
  <c r="CY71" i="4"/>
  <c r="E87" i="4"/>
  <c r="E84" i="4" s="1"/>
  <c r="B87" i="4"/>
  <c r="B84" i="4" s="1"/>
  <c r="CM71" i="4"/>
  <c r="CL47" i="4"/>
  <c r="CL49" i="4" s="1"/>
  <c r="DJ47" i="4"/>
  <c r="DJ49" i="4" s="1"/>
  <c r="BV47" i="4"/>
  <c r="BV49" i="4" s="1"/>
  <c r="Z133" i="3"/>
  <c r="AA133" i="3" s="1"/>
  <c r="AC131" i="3"/>
  <c r="AZ131" i="3" s="1"/>
  <c r="AZ112" i="3"/>
  <c r="AL112" i="3"/>
  <c r="AY150" i="3"/>
  <c r="AY154" i="3"/>
  <c r="Y133" i="3"/>
  <c r="AC132" i="3"/>
  <c r="Z115" i="3"/>
  <c r="AA114" i="3"/>
  <c r="AC113" i="3"/>
  <c r="Y114" i="3"/>
  <c r="AH99" i="2"/>
  <c r="Q101" i="2"/>
  <c r="V100" i="2"/>
  <c r="S101" i="2"/>
  <c r="R102" i="2"/>
  <c r="Z134" i="3" l="1"/>
  <c r="AA134" i="3" s="1"/>
  <c r="AZ113" i="3"/>
  <c r="AL113" i="3"/>
  <c r="AZ132" i="3"/>
  <c r="Z135" i="3"/>
  <c r="Y134" i="3"/>
  <c r="AC133" i="3"/>
  <c r="Y115" i="3"/>
  <c r="AC114" i="3"/>
  <c r="Z116" i="3"/>
  <c r="AA115" i="3"/>
  <c r="V101" i="2"/>
  <c r="Q102" i="2"/>
  <c r="S102" i="2"/>
  <c r="R103" i="2"/>
  <c r="AH100" i="2"/>
  <c r="AZ114" i="3" l="1"/>
  <c r="AL114" i="3"/>
  <c r="AZ133" i="3"/>
  <c r="Z136" i="3"/>
  <c r="AA135" i="3"/>
  <c r="Y135" i="3"/>
  <c r="AC134" i="3"/>
  <c r="AA116" i="3"/>
  <c r="Z117" i="3"/>
  <c r="AC115" i="3"/>
  <c r="Y116" i="3"/>
  <c r="S103" i="2"/>
  <c r="R104" i="2"/>
  <c r="AH101" i="2"/>
  <c r="V102" i="2"/>
  <c r="Q103" i="2"/>
  <c r="AZ115" i="3" l="1"/>
  <c r="AL115" i="3"/>
  <c r="AZ134" i="3"/>
  <c r="AA136" i="3"/>
  <c r="Z137" i="3"/>
  <c r="AC135" i="3"/>
  <c r="Y136" i="3"/>
  <c r="AC116" i="3"/>
  <c r="Y117" i="3"/>
  <c r="Z118" i="3"/>
  <c r="AA117" i="3"/>
  <c r="AH102" i="2"/>
  <c r="S104" i="2"/>
  <c r="R105" i="2"/>
  <c r="Q104" i="2"/>
  <c r="V103" i="2"/>
  <c r="AZ116" i="3" l="1"/>
  <c r="AL116" i="3"/>
  <c r="AZ135" i="3"/>
  <c r="Y118" i="3"/>
  <c r="AC117" i="3"/>
  <c r="Y137" i="3"/>
  <c r="AC136" i="3"/>
  <c r="Z138" i="3"/>
  <c r="AA137" i="3"/>
  <c r="Z119" i="3"/>
  <c r="AA118" i="3"/>
  <c r="S105" i="2"/>
  <c r="R106" i="2"/>
  <c r="AH103" i="2"/>
  <c r="Q105" i="2"/>
  <c r="V104" i="2"/>
  <c r="AZ117" i="3" l="1"/>
  <c r="AL117" i="3"/>
  <c r="AZ136" i="3"/>
  <c r="Y119" i="3"/>
  <c r="AC118" i="3"/>
  <c r="AA138" i="3"/>
  <c r="Z139" i="3"/>
  <c r="AC137" i="3"/>
  <c r="Y138" i="3"/>
  <c r="AA119" i="3"/>
  <c r="Z120" i="3"/>
  <c r="R107" i="2"/>
  <c r="S106" i="2"/>
  <c r="AH104" i="2"/>
  <c r="Q106" i="2"/>
  <c r="V105" i="2"/>
  <c r="AZ118" i="3" l="1"/>
  <c r="AL118" i="3"/>
  <c r="AZ137" i="3"/>
  <c r="Y120" i="3"/>
  <c r="AC119" i="3"/>
  <c r="Y139" i="3"/>
  <c r="AC138" i="3"/>
  <c r="Z140" i="3"/>
  <c r="AA139" i="3"/>
  <c r="AA120" i="3"/>
  <c r="Z121" i="3"/>
  <c r="AA121" i="3" s="1"/>
  <c r="AC121" i="3" s="1"/>
  <c r="V106" i="2"/>
  <c r="Q107" i="2"/>
  <c r="AH105" i="2"/>
  <c r="R108" i="2"/>
  <c r="S108" i="2" s="1"/>
  <c r="V108" i="2" s="1"/>
  <c r="S107" i="2"/>
  <c r="AZ121" i="3" l="1"/>
  <c r="AL121" i="3"/>
  <c r="AZ119" i="3"/>
  <c r="AL119" i="3"/>
  <c r="Y121" i="3"/>
  <c r="AC120" i="3"/>
  <c r="AM121" i="3"/>
  <c r="AZ138" i="3"/>
  <c r="X108" i="2"/>
  <c r="AH108" i="2"/>
  <c r="Q108" i="2"/>
  <c r="V107" i="2"/>
  <c r="X104" i="2" s="1"/>
  <c r="AI104" i="2" s="1"/>
  <c r="AJ104" i="2" s="1"/>
  <c r="AL104" i="2" s="1"/>
  <c r="AN104" i="2" s="1"/>
  <c r="Z141" i="3"/>
  <c r="AA140" i="3"/>
  <c r="AC139" i="3"/>
  <c r="Y140" i="3"/>
  <c r="AH106" i="2"/>
  <c r="AZ120" i="3" l="1"/>
  <c r="AL120" i="3"/>
  <c r="AK121" i="3" s="1"/>
  <c r="AJ121" i="3" s="1"/>
  <c r="AM120" i="3"/>
  <c r="AM117" i="3"/>
  <c r="AM119" i="3"/>
  <c r="AM110" i="3"/>
  <c r="AM115" i="3"/>
  <c r="AM118" i="3"/>
  <c r="AM114" i="3"/>
  <c r="AM116" i="3"/>
  <c r="AM112" i="3"/>
  <c r="AM111" i="3"/>
  <c r="AM113" i="3"/>
  <c r="BB121" i="3"/>
  <c r="AZ139" i="3"/>
  <c r="X97" i="2"/>
  <c r="D25" i="2" s="1"/>
  <c r="X100" i="2"/>
  <c r="AI100" i="2" s="1"/>
  <c r="AJ100" i="2" s="1"/>
  <c r="AL100" i="2" s="1"/>
  <c r="AN100" i="2" s="1"/>
  <c r="X105" i="2"/>
  <c r="AI105" i="2" s="1"/>
  <c r="AJ105" i="2" s="1"/>
  <c r="AL105" i="2" s="1"/>
  <c r="AN105" i="2" s="1"/>
  <c r="X106" i="2"/>
  <c r="AI106" i="2" s="1"/>
  <c r="X101" i="2"/>
  <c r="AI101" i="2" s="1"/>
  <c r="AJ101" i="2" s="1"/>
  <c r="AL101" i="2" s="1"/>
  <c r="AN101" i="2" s="1"/>
  <c r="X99" i="2"/>
  <c r="AI99" i="2" s="1"/>
  <c r="AK99" i="2" s="1"/>
  <c r="AM99" i="2" s="1"/>
  <c r="AO99" i="2" s="1"/>
  <c r="X102" i="2"/>
  <c r="AI102" i="2" s="1"/>
  <c r="AK102" i="2" s="1"/>
  <c r="AM102" i="2" s="1"/>
  <c r="AO102" i="2" s="1"/>
  <c r="X103" i="2"/>
  <c r="AI103" i="2" s="1"/>
  <c r="AK103" i="2" s="1"/>
  <c r="AM103" i="2" s="1"/>
  <c r="AO103" i="2" s="1"/>
  <c r="X98" i="2"/>
  <c r="AI98" i="2" s="1"/>
  <c r="AJ98" i="2" s="1"/>
  <c r="AL98" i="2" s="1"/>
  <c r="AN98" i="2" s="1"/>
  <c r="X107" i="2"/>
  <c r="AH107" i="2"/>
  <c r="AI108" i="2"/>
  <c r="AK104" i="2"/>
  <c r="AM104" i="2" s="1"/>
  <c r="AO104" i="2" s="1"/>
  <c r="Y141" i="3"/>
  <c r="AC140" i="3"/>
  <c r="AA141" i="3"/>
  <c r="Z142" i="3"/>
  <c r="D20" i="2" l="1"/>
  <c r="E17" i="2"/>
  <c r="BB116" i="3"/>
  <c r="BB110" i="3"/>
  <c r="BB112" i="3"/>
  <c r="BB115" i="3"/>
  <c r="BB113" i="3"/>
  <c r="BB114" i="3"/>
  <c r="BB119" i="3"/>
  <c r="BB111" i="3"/>
  <c r="BB118" i="3"/>
  <c r="BB117" i="3"/>
  <c r="AK117" i="3"/>
  <c r="AJ117" i="3" s="1"/>
  <c r="AK115" i="3"/>
  <c r="AJ115" i="3" s="1"/>
  <c r="AK114" i="3"/>
  <c r="AJ114" i="3" s="1"/>
  <c r="AK110" i="3"/>
  <c r="AJ110" i="3" s="1"/>
  <c r="AK118" i="3"/>
  <c r="AJ118" i="3" s="1"/>
  <c r="AK111" i="3"/>
  <c r="AJ111" i="3" s="1"/>
  <c r="AK116" i="3"/>
  <c r="AJ116" i="3" s="1"/>
  <c r="AK119" i="3"/>
  <c r="AJ119" i="3" s="1"/>
  <c r="AK113" i="3"/>
  <c r="AJ113" i="3" s="1"/>
  <c r="AK112" i="3"/>
  <c r="AJ112" i="3" s="1"/>
  <c r="AK120" i="3"/>
  <c r="AJ120" i="3" s="1"/>
  <c r="C33" i="2"/>
  <c r="D17" i="2"/>
  <c r="BB120" i="3"/>
  <c r="AZ140" i="3"/>
  <c r="AJ102" i="2"/>
  <c r="AL102" i="2" s="1"/>
  <c r="AN102" i="2" s="1"/>
  <c r="AI97" i="2"/>
  <c r="AJ97" i="2" s="1"/>
  <c r="AK105" i="2"/>
  <c r="AM105" i="2" s="1"/>
  <c r="AO105" i="2" s="1"/>
  <c r="AJ99" i="2"/>
  <c r="AL99" i="2" s="1"/>
  <c r="AN99" i="2" s="1"/>
  <c r="AK100" i="2"/>
  <c r="AM100" i="2" s="1"/>
  <c r="AO100" i="2" s="1"/>
  <c r="AK98" i="2"/>
  <c r="AM98" i="2" s="1"/>
  <c r="AO98" i="2" s="1"/>
  <c r="AK101" i="2"/>
  <c r="AM101" i="2" s="1"/>
  <c r="AO101" i="2" s="1"/>
  <c r="AJ103" i="2"/>
  <c r="AL103" i="2" s="1"/>
  <c r="AN103" i="2" s="1"/>
  <c r="AK108" i="2"/>
  <c r="AM108" i="2" s="1"/>
  <c r="AO108" i="2" s="1"/>
  <c r="AJ108" i="2"/>
  <c r="AL108" i="2" s="1"/>
  <c r="AN108" i="2" s="1"/>
  <c r="AI107" i="2"/>
  <c r="Z143" i="3"/>
  <c r="AA142" i="3"/>
  <c r="Y142" i="3"/>
  <c r="AC141" i="3"/>
  <c r="D33" i="2"/>
  <c r="AK106" i="2"/>
  <c r="AM106" i="2" s="1"/>
  <c r="AO106" i="2" s="1"/>
  <c r="AJ106" i="2"/>
  <c r="AL106" i="2" s="1"/>
  <c r="AN106" i="2" s="1"/>
  <c r="CC50" i="2" l="1"/>
  <c r="BN50" i="2"/>
  <c r="CP5" i="2"/>
  <c r="E20" i="2"/>
  <c r="AU94" i="2"/>
  <c r="AV94" i="2" s="1"/>
  <c r="BN5" i="2"/>
  <c r="AU93" i="2"/>
  <c r="AV93" i="2" s="1"/>
  <c r="AU95" i="2"/>
  <c r="AV95" i="2" s="1"/>
  <c r="AU96" i="2"/>
  <c r="AV96" i="2" s="1"/>
  <c r="AU97" i="2"/>
  <c r="AV97" i="2" s="1"/>
  <c r="AU98" i="2"/>
  <c r="AV98" i="2" s="1"/>
  <c r="AU99" i="2"/>
  <c r="AV99" i="2" s="1"/>
  <c r="AU100" i="2"/>
  <c r="AV100" i="2" s="1"/>
  <c r="AU101" i="2"/>
  <c r="AV101" i="2" s="1"/>
  <c r="AU102" i="2"/>
  <c r="AV102" i="2" s="1"/>
  <c r="AU103" i="2"/>
  <c r="AV103" i="2" s="1"/>
  <c r="AU104" i="2"/>
  <c r="AV104" i="2" s="1"/>
  <c r="AU105" i="2"/>
  <c r="AV105" i="2" s="1"/>
  <c r="AU106" i="2"/>
  <c r="AV106" i="2" s="1"/>
  <c r="AU107" i="2"/>
  <c r="AV107" i="2" s="1"/>
  <c r="AU108" i="2"/>
  <c r="AV108" i="2" s="1"/>
  <c r="AU109" i="2"/>
  <c r="AV109" i="2" s="1"/>
  <c r="AU110" i="2"/>
  <c r="AV110" i="2" s="1"/>
  <c r="AU111" i="2"/>
  <c r="AV111" i="2" s="1"/>
  <c r="AU112" i="2"/>
  <c r="AV112" i="2" s="1"/>
  <c r="AU113" i="2"/>
  <c r="AV113" i="2" s="1"/>
  <c r="AU114" i="2"/>
  <c r="AV114" i="2" s="1"/>
  <c r="AU115" i="2"/>
  <c r="AV115" i="2" s="1"/>
  <c r="AU116" i="2"/>
  <c r="AV116" i="2" s="1"/>
  <c r="AU117" i="2"/>
  <c r="AV117" i="2" s="1"/>
  <c r="AU118" i="2"/>
  <c r="AV118" i="2" s="1"/>
  <c r="AU119" i="2"/>
  <c r="AV119" i="2" s="1"/>
  <c r="AU120" i="2"/>
  <c r="AV120" i="2" s="1"/>
  <c r="AU121" i="2"/>
  <c r="AV121" i="2" s="1"/>
  <c r="AU122" i="2"/>
  <c r="AV122" i="2" s="1"/>
  <c r="AU123" i="2"/>
  <c r="AV123" i="2" s="1"/>
  <c r="AU124" i="2"/>
  <c r="AV124" i="2" s="1"/>
  <c r="AU125" i="2"/>
  <c r="AV125" i="2" s="1"/>
  <c r="AU126" i="2"/>
  <c r="AV126" i="2" s="1"/>
  <c r="AU127" i="2"/>
  <c r="AV127" i="2" s="1"/>
  <c r="AU128" i="2"/>
  <c r="AV128" i="2" s="1"/>
  <c r="AU129" i="2"/>
  <c r="AV129" i="2" s="1"/>
  <c r="AU130" i="2"/>
  <c r="AV130" i="2" s="1"/>
  <c r="AU131" i="2"/>
  <c r="AV131" i="2" s="1"/>
  <c r="AU132" i="2"/>
  <c r="AV132" i="2" s="1"/>
  <c r="AU133" i="2"/>
  <c r="AV133" i="2" s="1"/>
  <c r="AU134" i="2"/>
  <c r="AV134" i="2" s="1"/>
  <c r="AU135" i="2"/>
  <c r="CS79" i="2" s="1"/>
  <c r="D90" i="2" s="1"/>
  <c r="AJ109" i="3"/>
  <c r="AH110" i="3" s="1"/>
  <c r="AZ141" i="3"/>
  <c r="AK97" i="2"/>
  <c r="AM97" i="2" s="1"/>
  <c r="AO97" i="2" s="1"/>
  <c r="AJ107" i="2"/>
  <c r="AL107" i="2" s="1"/>
  <c r="AN107" i="2" s="1"/>
  <c r="AK107" i="2"/>
  <c r="AM107" i="2" s="1"/>
  <c r="AO107" i="2" s="1"/>
  <c r="AL97" i="2"/>
  <c r="AN97" i="2" s="1"/>
  <c r="Z144" i="3"/>
  <c r="AA143" i="3"/>
  <c r="Y143" i="3"/>
  <c r="AC142" i="3"/>
  <c r="CR50" i="2" l="1"/>
  <c r="CR5" i="2"/>
  <c r="AY5" i="2"/>
  <c r="AY50" i="2"/>
  <c r="AY79" i="2"/>
  <c r="D89" i="2" s="1"/>
  <c r="AV135" i="2"/>
  <c r="AW127" i="2" s="1"/>
  <c r="AX127" i="2" s="1"/>
  <c r="CI72" i="2" s="1"/>
  <c r="CC3" i="2"/>
  <c r="BA3" i="2"/>
  <c r="D88" i="2"/>
  <c r="AZ142" i="3"/>
  <c r="Z145" i="3"/>
  <c r="AA144" i="3"/>
  <c r="AC143" i="3"/>
  <c r="Y144" i="3"/>
  <c r="CR3" i="2" l="1"/>
  <c r="CS50" i="2" s="1"/>
  <c r="D83" i="2" s="1"/>
  <c r="D28" i="2" s="1"/>
  <c r="AY3" i="2"/>
  <c r="AX50" i="2" s="1"/>
  <c r="B83" i="2" s="1"/>
  <c r="B84" i="2" s="1"/>
  <c r="D87" i="2"/>
  <c r="AW124" i="2"/>
  <c r="AX124" i="2" s="1"/>
  <c r="CF72" i="2" s="1"/>
  <c r="CF73" i="2" s="1"/>
  <c r="CF76" i="2" s="1"/>
  <c r="AW129" i="2"/>
  <c r="AX129" i="2" s="1"/>
  <c r="CK72" i="2" s="1"/>
  <c r="CE13" i="2" s="1"/>
  <c r="CE46" i="2" s="1"/>
  <c r="CE47" i="2" s="1"/>
  <c r="AW126" i="2"/>
  <c r="AX126" i="2" s="1"/>
  <c r="CH72" i="2" s="1"/>
  <c r="CH73" i="2" s="1"/>
  <c r="CH76" i="2" s="1"/>
  <c r="AW108" i="2"/>
  <c r="AX108" i="2" s="1"/>
  <c r="BP72" i="2" s="1"/>
  <c r="BB30" i="2" s="1"/>
  <c r="BB46" i="2" s="1"/>
  <c r="BB47" i="2" s="1"/>
  <c r="AW105" i="2"/>
  <c r="AX105" i="2" s="1"/>
  <c r="BM72" i="2" s="1"/>
  <c r="BY33" i="2" s="1"/>
  <c r="AW102" i="2"/>
  <c r="AX102" i="2" s="1"/>
  <c r="BJ72" i="2" s="1"/>
  <c r="BA36" i="2" s="1"/>
  <c r="AW107" i="2"/>
  <c r="AX107" i="2" s="1"/>
  <c r="BO72" i="2" s="1"/>
  <c r="BP66" i="2" s="1"/>
  <c r="AW97" i="2"/>
  <c r="AX97" i="2" s="1"/>
  <c r="BE72" i="2" s="1"/>
  <c r="BE73" i="2" s="1"/>
  <c r="BE76" i="2" s="1"/>
  <c r="AW116" i="2"/>
  <c r="AX116" i="2" s="1"/>
  <c r="BX72" i="2" s="1"/>
  <c r="CD57" i="2" s="1"/>
  <c r="AW113" i="2"/>
  <c r="AX113" i="2" s="1"/>
  <c r="BU72" i="2" s="1"/>
  <c r="BU73" i="2" s="1"/>
  <c r="BU76" i="2" s="1"/>
  <c r="AW118" i="2"/>
  <c r="AX118" i="2" s="1"/>
  <c r="BZ72" i="2" s="1"/>
  <c r="BY55" i="2" s="1"/>
  <c r="AW123" i="2"/>
  <c r="AX123" i="2" s="1"/>
  <c r="CE72" i="2" s="1"/>
  <c r="CE73" i="2" s="1"/>
  <c r="CE76" i="2" s="1"/>
  <c r="AW94" i="2"/>
  <c r="AX94" i="2" s="1"/>
  <c r="BB72" i="2" s="1"/>
  <c r="BB73" i="2" s="1"/>
  <c r="BB76" i="2" s="1"/>
  <c r="AW134" i="2"/>
  <c r="AX134" i="2" s="1"/>
  <c r="CP72" i="2" s="1"/>
  <c r="CP73" i="2" s="1"/>
  <c r="CP76" i="2" s="1"/>
  <c r="AW100" i="2"/>
  <c r="AX100" i="2" s="1"/>
  <c r="BH72" i="2" s="1"/>
  <c r="BH73" i="2" s="1"/>
  <c r="BH76" i="2" s="1"/>
  <c r="AW132" i="2"/>
  <c r="AX132" i="2" s="1"/>
  <c r="CN72" i="2" s="1"/>
  <c r="CN73" i="2" s="1"/>
  <c r="CN76" i="2" s="1"/>
  <c r="AW121" i="2"/>
  <c r="AX121" i="2" s="1"/>
  <c r="CC72" i="2" s="1"/>
  <c r="CB52" i="2" s="1"/>
  <c r="AW110" i="2"/>
  <c r="AX110" i="2" s="1"/>
  <c r="BR72" i="2" s="1"/>
  <c r="BU63" i="2" s="1"/>
  <c r="AW99" i="2"/>
  <c r="AX99" i="2" s="1"/>
  <c r="BG72" i="2" s="1"/>
  <c r="BG73" i="2" s="1"/>
  <c r="BG76" i="2" s="1"/>
  <c r="AW115" i="2"/>
  <c r="AX115" i="2" s="1"/>
  <c r="BW72" i="2" s="1"/>
  <c r="BP58" i="2" s="1"/>
  <c r="AW131" i="2"/>
  <c r="AX131" i="2" s="1"/>
  <c r="CM72" i="2" s="1"/>
  <c r="CI11" i="2" s="1"/>
  <c r="CI46" i="2" s="1"/>
  <c r="CI47" i="2" s="1"/>
  <c r="AW104" i="2"/>
  <c r="AX104" i="2" s="1"/>
  <c r="BL72" i="2" s="1"/>
  <c r="BU34" i="2" s="1"/>
  <c r="AW120" i="2"/>
  <c r="AX120" i="2" s="1"/>
  <c r="CB72" i="2" s="1"/>
  <c r="CB73" i="2" s="1"/>
  <c r="CB76" i="2" s="1"/>
  <c r="AW93" i="2"/>
  <c r="AX93" i="2" s="1"/>
  <c r="BA72" i="2" s="1"/>
  <c r="BA73" i="2" s="1"/>
  <c r="BA76" i="2" s="1"/>
  <c r="AW109" i="2"/>
  <c r="AX109" i="2" s="1"/>
  <c r="BQ72" i="2" s="1"/>
  <c r="BD29" i="2" s="1"/>
  <c r="BD46" i="2" s="1"/>
  <c r="BD47" i="2" s="1"/>
  <c r="AW125" i="2"/>
  <c r="AX125" i="2" s="1"/>
  <c r="CG72" i="2" s="1"/>
  <c r="CG73" i="2" s="1"/>
  <c r="CG76" i="2" s="1"/>
  <c r="AW98" i="2"/>
  <c r="AX98" i="2" s="1"/>
  <c r="BF72" i="2" s="1"/>
  <c r="BK40" i="2" s="1"/>
  <c r="BK46" i="2" s="1"/>
  <c r="BK47" i="2" s="1"/>
  <c r="AW114" i="2"/>
  <c r="AX114" i="2" s="1"/>
  <c r="BV72" i="2" s="1"/>
  <c r="CD24" i="2" s="1"/>
  <c r="AW130" i="2"/>
  <c r="AX130" i="2" s="1"/>
  <c r="CL72" i="2" s="1"/>
  <c r="CG12" i="2" s="1"/>
  <c r="CG46" i="2" s="1"/>
  <c r="CG47" i="2" s="1"/>
  <c r="AW103" i="2"/>
  <c r="AX103" i="2" s="1"/>
  <c r="BK72" i="2" s="1"/>
  <c r="BK73" i="2" s="1"/>
  <c r="BK76" i="2" s="1"/>
  <c r="AW119" i="2"/>
  <c r="AX119" i="2" s="1"/>
  <c r="CA72" i="2" s="1"/>
  <c r="CA73" i="2" s="1"/>
  <c r="CA76" i="2" s="1"/>
  <c r="AW135" i="2"/>
  <c r="AX135" i="2" s="1"/>
  <c r="CQ72" i="2" s="1"/>
  <c r="CQ73" i="2" s="1"/>
  <c r="CQ76" i="2" s="1"/>
  <c r="AW96" i="2"/>
  <c r="AX96" i="2" s="1"/>
  <c r="BD72" i="2" s="1"/>
  <c r="BA42" i="2" s="1"/>
  <c r="AW112" i="2"/>
  <c r="AX112" i="2" s="1"/>
  <c r="BT72" i="2" s="1"/>
  <c r="BN61" i="2" s="1"/>
  <c r="AW128" i="2"/>
  <c r="AX128" i="2" s="1"/>
  <c r="CJ72" i="2" s="1"/>
  <c r="CJ73" i="2" s="1"/>
  <c r="CJ76" i="2" s="1"/>
  <c r="AW101" i="2"/>
  <c r="AX101" i="2" s="1"/>
  <c r="BI72" i="2" s="1"/>
  <c r="BI73" i="2" s="1"/>
  <c r="BI76" i="2" s="1"/>
  <c r="AW117" i="2"/>
  <c r="AX117" i="2" s="1"/>
  <c r="BY72" i="2" s="1"/>
  <c r="CD56" i="2" s="1"/>
  <c r="AW133" i="2"/>
  <c r="AX133" i="2" s="1"/>
  <c r="CO72" i="2" s="1"/>
  <c r="CM9" i="2" s="1"/>
  <c r="CM46" i="2" s="1"/>
  <c r="CM47" i="2" s="1"/>
  <c r="AW106" i="2"/>
  <c r="AX106" i="2" s="1"/>
  <c r="BN72" i="2" s="1"/>
  <c r="BA32" i="2" s="1"/>
  <c r="AW122" i="2"/>
  <c r="AX122" i="2" s="1"/>
  <c r="CD72" i="2" s="1"/>
  <c r="CQ20" i="2" s="1"/>
  <c r="AW95" i="2"/>
  <c r="AX95" i="2" s="1"/>
  <c r="BC72" i="2" s="1"/>
  <c r="BE43" i="2" s="1"/>
  <c r="BE46" i="2" s="1"/>
  <c r="BE47" i="2" s="1"/>
  <c r="AW111" i="2"/>
  <c r="AX111" i="2" s="1"/>
  <c r="BS72" i="2" s="1"/>
  <c r="BU62" i="2" s="1"/>
  <c r="BU18" i="2"/>
  <c r="CQ18" i="2"/>
  <c r="CQ15" i="2"/>
  <c r="CI73" i="2"/>
  <c r="CI76" i="2" s="1"/>
  <c r="CA15" i="2"/>
  <c r="BA33" i="2"/>
  <c r="AZ143" i="3"/>
  <c r="AA145" i="3"/>
  <c r="Z146" i="3"/>
  <c r="Y145" i="3"/>
  <c r="AC144" i="3"/>
  <c r="CK73" i="2" l="1"/>
  <c r="CK76" i="2" s="1"/>
  <c r="BC44" i="2"/>
  <c r="CH43" i="2"/>
  <c r="CH46" i="2" s="1"/>
  <c r="CH47" i="2" s="1"/>
  <c r="CD59" i="2"/>
  <c r="BA41" i="2"/>
  <c r="CB60" i="2"/>
  <c r="BQ20" i="2"/>
  <c r="D84" i="2"/>
  <c r="B77" i="2" s="1"/>
  <c r="B76" i="2" s="1"/>
  <c r="E84" i="2"/>
  <c r="G84" i="2"/>
  <c r="CQ13" i="2"/>
  <c r="CQ8" i="2"/>
  <c r="BY16" i="2"/>
  <c r="BZ73" i="2"/>
  <c r="BZ76" i="2" s="1"/>
  <c r="BA31" i="2"/>
  <c r="BA39" i="2"/>
  <c r="CC54" i="2"/>
  <c r="CC69" i="2" s="1"/>
  <c r="CP22" i="2"/>
  <c r="CP46" i="2" s="1"/>
  <c r="CP47" i="2" s="1"/>
  <c r="CN40" i="2"/>
  <c r="CN46" i="2" s="1"/>
  <c r="CN47" i="2" s="1"/>
  <c r="BN41" i="2"/>
  <c r="CA32" i="2"/>
  <c r="BF73" i="2"/>
  <c r="BF76" i="2" s="1"/>
  <c r="BM39" i="2"/>
  <c r="BM46" i="2" s="1"/>
  <c r="BM47" i="2" s="1"/>
  <c r="CA55" i="2"/>
  <c r="CA69" i="2" s="1"/>
  <c r="BO73" i="2"/>
  <c r="BO76" i="2" s="1"/>
  <c r="BA38" i="2"/>
  <c r="BP73" i="2"/>
  <c r="BP76" i="2" s="1"/>
  <c r="BX54" i="2"/>
  <c r="BX69" i="2" s="1"/>
  <c r="BN22" i="2"/>
  <c r="CF44" i="2"/>
  <c r="CF46" i="2" s="1"/>
  <c r="CF47" i="2" s="1"/>
  <c r="CQ16" i="2"/>
  <c r="BO38" i="2"/>
  <c r="CL41" i="2"/>
  <c r="CL46" i="2" s="1"/>
  <c r="CL47" i="2" s="1"/>
  <c r="BQ37" i="2"/>
  <c r="CC31" i="2"/>
  <c r="BS19" i="2"/>
  <c r="BV73" i="2"/>
  <c r="BV76" i="2" s="1"/>
  <c r="CD30" i="2"/>
  <c r="BR65" i="2"/>
  <c r="CQ10" i="2"/>
  <c r="CD73" i="2"/>
  <c r="CD76" i="2" s="1"/>
  <c r="BA37" i="2"/>
  <c r="CQ19" i="2"/>
  <c r="BN24" i="2"/>
  <c r="BA40" i="2"/>
  <c r="BI41" i="2"/>
  <c r="BI46" i="2" s="1"/>
  <c r="BI47" i="2" s="1"/>
  <c r="BN65" i="2"/>
  <c r="BN44" i="2"/>
  <c r="CK10" i="2"/>
  <c r="CK46" i="2" s="1"/>
  <c r="CK47" i="2" s="1"/>
  <c r="CC14" i="2"/>
  <c r="BN66" i="2"/>
  <c r="BN59" i="2"/>
  <c r="BW73" i="2"/>
  <c r="BW76" i="2" s="1"/>
  <c r="BJ73" i="2"/>
  <c r="BJ76" i="2" s="1"/>
  <c r="BS36" i="2"/>
  <c r="CD25" i="2"/>
  <c r="BL25" i="2"/>
  <c r="BL46" i="2" s="1"/>
  <c r="BL47" i="2" s="1"/>
  <c r="BQ62" i="2"/>
  <c r="BQ69" i="2" s="1"/>
  <c r="CO8" i="2"/>
  <c r="BF28" i="2"/>
  <c r="BF46" i="2" s="1"/>
  <c r="BF47" i="2" s="1"/>
  <c r="BN60" i="2"/>
  <c r="CQ21" i="2"/>
  <c r="BM73" i="2"/>
  <c r="BM76" i="2" s="1"/>
  <c r="BR57" i="2"/>
  <c r="BA44" i="2"/>
  <c r="CC73" i="2"/>
  <c r="CC76" i="2" s="1"/>
  <c r="BX73" i="2"/>
  <c r="BX76" i="2" s="1"/>
  <c r="BN43" i="2"/>
  <c r="CQ9" i="2"/>
  <c r="CB69" i="2"/>
  <c r="BY17" i="2"/>
  <c r="BL73" i="2"/>
  <c r="BL76" i="2" s="1"/>
  <c r="CM73" i="2"/>
  <c r="CM76" i="2" s="1"/>
  <c r="CJ42" i="2"/>
  <c r="CJ46" i="2" s="1"/>
  <c r="CJ47" i="2" s="1"/>
  <c r="CD26" i="2"/>
  <c r="BU35" i="2"/>
  <c r="BU46" i="2" s="1"/>
  <c r="BU47" i="2" s="1"/>
  <c r="BT64" i="2"/>
  <c r="BA35" i="2"/>
  <c r="CO17" i="2"/>
  <c r="CO46" i="2" s="1"/>
  <c r="CO47" i="2" s="1"/>
  <c r="BC34" i="2"/>
  <c r="BO63" i="2"/>
  <c r="BO69" i="2" s="1"/>
  <c r="BH27" i="2"/>
  <c r="BH46" i="2" s="1"/>
  <c r="BH47" i="2" s="1"/>
  <c r="CO73" i="2"/>
  <c r="CO76" i="2" s="1"/>
  <c r="BJ26" i="2"/>
  <c r="BJ46" i="2" s="1"/>
  <c r="BJ47" i="2" s="1"/>
  <c r="BZ61" i="2"/>
  <c r="BZ69" i="2" s="1"/>
  <c r="CQ12" i="2"/>
  <c r="BN64" i="2"/>
  <c r="CQ11" i="2"/>
  <c r="CD28" i="2"/>
  <c r="BR73" i="2"/>
  <c r="BR76" i="2" s="1"/>
  <c r="BO21" i="2"/>
  <c r="CD52" i="2"/>
  <c r="CD27" i="2"/>
  <c r="BS73" i="2"/>
  <c r="BS76" i="2" s="1"/>
  <c r="BT73" i="2"/>
  <c r="BT76" i="2" s="1"/>
  <c r="BD73" i="2"/>
  <c r="BD76" i="2" s="1"/>
  <c r="CL73" i="2"/>
  <c r="CL76" i="2" s="1"/>
  <c r="BQ73" i="2"/>
  <c r="BQ76" i="2" s="1"/>
  <c r="CD58" i="2"/>
  <c r="BC73" i="2"/>
  <c r="BC76" i="2" s="1"/>
  <c r="BN42" i="2"/>
  <c r="BN40" i="2"/>
  <c r="CD29" i="2"/>
  <c r="CD53" i="2"/>
  <c r="BA43" i="2"/>
  <c r="BN73" i="2"/>
  <c r="BN76" i="2" s="1"/>
  <c r="BT56" i="2"/>
  <c r="BY73" i="2"/>
  <c r="BY76" i="2" s="1"/>
  <c r="CQ14" i="2"/>
  <c r="BG42" i="2"/>
  <c r="BG46" i="2" s="1"/>
  <c r="BG47" i="2" s="1"/>
  <c r="BY53" i="2"/>
  <c r="BY69" i="2" s="1"/>
  <c r="BP69" i="2"/>
  <c r="CA46" i="2"/>
  <c r="CA47" i="2" s="1"/>
  <c r="BU69" i="2"/>
  <c r="AZ144" i="3"/>
  <c r="Y146" i="3"/>
  <c r="AC145" i="3"/>
  <c r="AA146" i="3"/>
  <c r="Z147" i="3"/>
  <c r="BC46" i="2" l="1"/>
  <c r="BC47" i="2" s="1"/>
  <c r="BQ46" i="2"/>
  <c r="BQ47" i="2" s="1"/>
  <c r="E77" i="2"/>
  <c r="E76" i="2" s="1"/>
  <c r="BY46" i="2"/>
  <c r="BY47" i="2" s="1"/>
  <c r="BS46" i="2"/>
  <c r="BS47" i="2" s="1"/>
  <c r="CD46" i="2"/>
  <c r="CD47" i="2" s="1"/>
  <c r="BR69" i="2"/>
  <c r="CC46" i="2"/>
  <c r="CC47" i="2" s="1"/>
  <c r="BO46" i="2"/>
  <c r="BO47" i="2" s="1"/>
  <c r="BN69" i="2"/>
  <c r="BT69" i="2"/>
  <c r="BA46" i="2"/>
  <c r="BA47" i="2" s="1"/>
  <c r="CD69" i="2"/>
  <c r="CQ46" i="2"/>
  <c r="CQ47" i="2" s="1"/>
  <c r="BN46" i="2"/>
  <c r="BN47" i="2" s="1"/>
  <c r="AZ145" i="3"/>
  <c r="Y147" i="3"/>
  <c r="AC146" i="3"/>
  <c r="Z148" i="3"/>
  <c r="AA147" i="3"/>
  <c r="AZ146" i="3" l="1"/>
  <c r="Z149" i="3"/>
  <c r="AA148" i="3"/>
  <c r="Y148" i="3"/>
  <c r="AC147" i="3"/>
  <c r="AZ147" i="3" l="1"/>
  <c r="Z150" i="3"/>
  <c r="AA149" i="3"/>
  <c r="AC148" i="3"/>
  <c r="Y149" i="3"/>
  <c r="AZ148" i="3" l="1"/>
  <c r="AA150" i="3"/>
  <c r="Z151" i="3"/>
  <c r="AC149" i="3"/>
  <c r="Y150" i="3"/>
  <c r="Y151" i="3" l="1"/>
  <c r="AC150" i="3"/>
  <c r="AZ149" i="3"/>
  <c r="Z152" i="3"/>
  <c r="AA151" i="3"/>
  <c r="Y152" i="3" l="1"/>
  <c r="AC151" i="3"/>
  <c r="AZ150" i="3"/>
  <c r="AA152" i="3"/>
  <c r="Z153" i="3"/>
  <c r="Y153" i="3" l="1"/>
  <c r="AC152" i="3"/>
  <c r="AZ151" i="3"/>
  <c r="AA153" i="3"/>
  <c r="Z154" i="3"/>
  <c r="AA154" i="3" s="1"/>
  <c r="AC154" i="3" s="1"/>
  <c r="AM154" i="3" l="1"/>
  <c r="AZ154" i="3"/>
  <c r="AZ152" i="3"/>
  <c r="Y154" i="3"/>
  <c r="AC153" i="3"/>
  <c r="AM134" i="3" s="1"/>
  <c r="AM144" i="3" l="1"/>
  <c r="BB144" i="3" s="1"/>
  <c r="AM142" i="3"/>
  <c r="BB142" i="3" s="1"/>
  <c r="BC142" i="3" s="1"/>
  <c r="BE142" i="3" s="1"/>
  <c r="BG142" i="3" s="1"/>
  <c r="AM132" i="3"/>
  <c r="BB132" i="3" s="1"/>
  <c r="AM148" i="3"/>
  <c r="BB148" i="3" s="1"/>
  <c r="AM136" i="3"/>
  <c r="BB136" i="3" s="1"/>
  <c r="AM152" i="3"/>
  <c r="BB152" i="3" s="1"/>
  <c r="AM140" i="3"/>
  <c r="BB140" i="3" s="1"/>
  <c r="AM137" i="3"/>
  <c r="BB137" i="3" s="1"/>
  <c r="AM133" i="3"/>
  <c r="BB133" i="3" s="1"/>
  <c r="BC133" i="3" s="1"/>
  <c r="BE133" i="3" s="1"/>
  <c r="BG133" i="3" s="1"/>
  <c r="AM150" i="3"/>
  <c r="BB150" i="3" s="1"/>
  <c r="AM145" i="3"/>
  <c r="BB145" i="3" s="1"/>
  <c r="AM141" i="3"/>
  <c r="BB141" i="3" s="1"/>
  <c r="AM139" i="3"/>
  <c r="BB139" i="3" s="1"/>
  <c r="BC139" i="3" s="1"/>
  <c r="BE139" i="3" s="1"/>
  <c r="BG139" i="3" s="1"/>
  <c r="AM153" i="3"/>
  <c r="AM147" i="3"/>
  <c r="BB147" i="3" s="1"/>
  <c r="AM151" i="3"/>
  <c r="BB151" i="3" s="1"/>
  <c r="BD151" i="3" s="1"/>
  <c r="BF151" i="3" s="1"/>
  <c r="AM149" i="3"/>
  <c r="BB149" i="3" s="1"/>
  <c r="AM146" i="3"/>
  <c r="BB146" i="3" s="1"/>
  <c r="BC146" i="3" s="1"/>
  <c r="BE146" i="3" s="1"/>
  <c r="BG146" i="3" s="1"/>
  <c r="AM143" i="3"/>
  <c r="BB143" i="3" s="1"/>
  <c r="BC143" i="3" s="1"/>
  <c r="BE143" i="3" s="1"/>
  <c r="BG143" i="3" s="1"/>
  <c r="AM138" i="3"/>
  <c r="BB138" i="3" s="1"/>
  <c r="BC138" i="3" s="1"/>
  <c r="BE138" i="3" s="1"/>
  <c r="BG138" i="3" s="1"/>
  <c r="AM135" i="3"/>
  <c r="BB135" i="3" s="1"/>
  <c r="AA127" i="3"/>
  <c r="BB154" i="3"/>
  <c r="AZ153" i="3"/>
  <c r="BB134" i="3"/>
  <c r="AM131" i="3"/>
  <c r="AV121" i="3" l="1"/>
  <c r="BA121" i="3" s="1"/>
  <c r="AV111" i="3"/>
  <c r="AV117" i="3"/>
  <c r="BA117" i="3" s="1"/>
  <c r="AV115" i="3"/>
  <c r="BA115" i="3" s="1"/>
  <c r="AV116" i="3"/>
  <c r="BA116" i="3" s="1"/>
  <c r="AV112" i="3"/>
  <c r="BA112" i="3" s="1"/>
  <c r="AV113" i="3"/>
  <c r="BA113" i="3" s="1"/>
  <c r="AV119" i="3"/>
  <c r="BA119" i="3" s="1"/>
  <c r="AV120" i="3"/>
  <c r="BA120" i="3" s="1"/>
  <c r="AV118" i="3"/>
  <c r="BA118" i="3" s="1"/>
  <c r="AV110" i="3"/>
  <c r="AV114" i="3"/>
  <c r="BA114" i="3" s="1"/>
  <c r="BC151" i="3"/>
  <c r="BE151" i="3" s="1"/>
  <c r="BG151" i="3" s="1"/>
  <c r="BD146" i="3"/>
  <c r="BF146" i="3" s="1"/>
  <c r="BI146" i="3" s="1"/>
  <c r="N146" i="3" s="1"/>
  <c r="M146" i="3" s="1"/>
  <c r="BD142" i="3"/>
  <c r="BF142" i="3" s="1"/>
  <c r="BH142" i="3" s="1"/>
  <c r="BD138" i="3"/>
  <c r="BF138" i="3" s="1"/>
  <c r="BH138" i="3" s="1"/>
  <c r="BD133" i="3"/>
  <c r="BF133" i="3" s="1"/>
  <c r="AI133" i="3" s="1"/>
  <c r="BD139" i="3"/>
  <c r="BF139" i="3" s="1"/>
  <c r="BH139" i="3" s="1"/>
  <c r="BD143" i="3"/>
  <c r="BF143" i="3" s="1"/>
  <c r="BH143" i="3" s="1"/>
  <c r="BD141" i="3"/>
  <c r="BF141" i="3" s="1"/>
  <c r="BC141" i="3"/>
  <c r="BE141" i="3" s="1"/>
  <c r="BG141" i="3" s="1"/>
  <c r="BD134" i="3"/>
  <c r="BF134" i="3" s="1"/>
  <c r="BC134" i="3"/>
  <c r="BE134" i="3" s="1"/>
  <c r="BG134" i="3" s="1"/>
  <c r="BD149" i="3"/>
  <c r="BF149" i="3" s="1"/>
  <c r="BC149" i="3"/>
  <c r="BE149" i="3" s="1"/>
  <c r="BG149" i="3" s="1"/>
  <c r="BC136" i="3"/>
  <c r="BE136" i="3" s="1"/>
  <c r="BG136" i="3" s="1"/>
  <c r="BD136" i="3"/>
  <c r="BF136" i="3" s="1"/>
  <c r="BC137" i="3"/>
  <c r="BE137" i="3" s="1"/>
  <c r="BG137" i="3" s="1"/>
  <c r="BD137" i="3"/>
  <c r="BF137" i="3" s="1"/>
  <c r="BC140" i="3"/>
  <c r="BE140" i="3" s="1"/>
  <c r="BG140" i="3" s="1"/>
  <c r="BD140" i="3"/>
  <c r="BF140" i="3" s="1"/>
  <c r="BD144" i="3"/>
  <c r="BF144" i="3" s="1"/>
  <c r="BC144" i="3"/>
  <c r="BE144" i="3" s="1"/>
  <c r="BG144" i="3" s="1"/>
  <c r="BC147" i="3"/>
  <c r="BE147" i="3" s="1"/>
  <c r="BG147" i="3" s="1"/>
  <c r="BD147" i="3"/>
  <c r="BF147" i="3" s="1"/>
  <c r="BD145" i="3"/>
  <c r="BF145" i="3" s="1"/>
  <c r="BC145" i="3"/>
  <c r="BE145" i="3" s="1"/>
  <c r="BG145" i="3" s="1"/>
  <c r="BD150" i="3"/>
  <c r="BF150" i="3" s="1"/>
  <c r="BC150" i="3"/>
  <c r="BE150" i="3" s="1"/>
  <c r="BG150" i="3" s="1"/>
  <c r="BD154" i="3"/>
  <c r="BF154" i="3" s="1"/>
  <c r="BC154" i="3"/>
  <c r="BE154" i="3" s="1"/>
  <c r="BG154" i="3" s="1"/>
  <c r="BC152" i="3"/>
  <c r="BE152" i="3" s="1"/>
  <c r="BG152" i="3" s="1"/>
  <c r="BD152" i="3"/>
  <c r="BF152" i="3" s="1"/>
  <c r="BD135" i="3"/>
  <c r="BF135" i="3" s="1"/>
  <c r="BC135" i="3"/>
  <c r="BE135" i="3" s="1"/>
  <c r="BG135" i="3" s="1"/>
  <c r="BA111" i="3"/>
  <c r="BB131" i="3"/>
  <c r="BC148" i="3"/>
  <c r="BE148" i="3" s="1"/>
  <c r="BG148" i="3" s="1"/>
  <c r="BD148" i="3"/>
  <c r="BF148" i="3" s="1"/>
  <c r="AI151" i="3"/>
  <c r="BH151" i="3"/>
  <c r="BI151" i="3"/>
  <c r="N151" i="3" s="1"/>
  <c r="M151" i="3" s="1"/>
  <c r="BD132" i="3"/>
  <c r="BF132" i="3" s="1"/>
  <c r="BC132" i="3"/>
  <c r="BE132" i="3" s="1"/>
  <c r="BG132" i="3" s="1"/>
  <c r="BB153" i="3"/>
  <c r="I151" i="3" l="1"/>
  <c r="G151" i="3"/>
  <c r="I133" i="3"/>
  <c r="G133" i="3"/>
  <c r="AI146" i="3"/>
  <c r="BH146" i="3"/>
  <c r="AI142" i="3"/>
  <c r="BI143" i="3"/>
  <c r="N143" i="3" s="1"/>
  <c r="M143" i="3" s="1"/>
  <c r="BI142" i="3"/>
  <c r="N142" i="3" s="1"/>
  <c r="M142" i="3" s="1"/>
  <c r="BI138" i="3"/>
  <c r="N138" i="3" s="1"/>
  <c r="M138" i="3" s="1"/>
  <c r="BI133" i="3"/>
  <c r="N133" i="3" s="1"/>
  <c r="M133" i="3" s="1"/>
  <c r="AI138" i="3"/>
  <c r="BH133" i="3"/>
  <c r="BI139" i="3"/>
  <c r="N139" i="3" s="1"/>
  <c r="M139" i="3" s="1"/>
  <c r="AI143" i="3"/>
  <c r="AI139" i="3"/>
  <c r="BC120" i="3"/>
  <c r="BE120" i="3" s="1"/>
  <c r="BG120" i="3" s="1"/>
  <c r="BD120" i="3"/>
  <c r="BF120" i="3" s="1"/>
  <c r="BH120" i="3" s="1"/>
  <c r="BH152" i="3"/>
  <c r="AI152" i="3"/>
  <c r="BI152" i="3"/>
  <c r="N152" i="3" s="1"/>
  <c r="M152" i="3" s="1"/>
  <c r="BI148" i="3"/>
  <c r="N148" i="3" s="1"/>
  <c r="M148" i="3" s="1"/>
  <c r="BH148" i="3"/>
  <c r="AI148" i="3"/>
  <c r="BD119" i="3"/>
  <c r="BF119" i="3" s="1"/>
  <c r="BH119" i="3" s="1"/>
  <c r="BC119" i="3"/>
  <c r="BE119" i="3" s="1"/>
  <c r="BG119" i="3" s="1"/>
  <c r="AI150" i="3"/>
  <c r="BI150" i="3"/>
  <c r="N150" i="3" s="1"/>
  <c r="M150" i="3" s="1"/>
  <c r="BH150" i="3"/>
  <c r="BH136" i="3"/>
  <c r="BI136" i="3"/>
  <c r="N136" i="3" s="1"/>
  <c r="M136" i="3" s="1"/>
  <c r="AI136" i="3"/>
  <c r="BD153" i="3"/>
  <c r="BF153" i="3" s="1"/>
  <c r="BC153" i="3"/>
  <c r="BE153" i="3" s="1"/>
  <c r="BG153" i="3" s="1"/>
  <c r="BC112" i="3"/>
  <c r="BE112" i="3" s="1"/>
  <c r="BG112" i="3" s="1"/>
  <c r="BD112" i="3"/>
  <c r="BF112" i="3" s="1"/>
  <c r="BH112" i="3" s="1"/>
  <c r="BC113" i="3"/>
  <c r="BE113" i="3" s="1"/>
  <c r="BG113" i="3" s="1"/>
  <c r="BD113" i="3"/>
  <c r="BF113" i="3" s="1"/>
  <c r="BH113" i="3" s="1"/>
  <c r="BD121" i="3"/>
  <c r="BF121" i="3" s="1"/>
  <c r="BH121" i="3" s="1"/>
  <c r="BC121" i="3"/>
  <c r="BE121" i="3" s="1"/>
  <c r="BG121" i="3" s="1"/>
  <c r="BD111" i="3"/>
  <c r="BF111" i="3" s="1"/>
  <c r="BH111" i="3" s="1"/>
  <c r="BC111" i="3"/>
  <c r="BE111" i="3" s="1"/>
  <c r="BG111" i="3" s="1"/>
  <c r="BH154" i="3"/>
  <c r="BI154" i="3"/>
  <c r="N154" i="3" s="1"/>
  <c r="M154" i="3" s="1"/>
  <c r="AI154" i="3"/>
  <c r="BI145" i="3"/>
  <c r="N145" i="3" s="1"/>
  <c r="M145" i="3" s="1"/>
  <c r="AI145" i="3"/>
  <c r="BH145" i="3"/>
  <c r="AI147" i="3"/>
  <c r="BI147" i="3"/>
  <c r="N147" i="3" s="1"/>
  <c r="M147" i="3" s="1"/>
  <c r="BH147" i="3"/>
  <c r="AI137" i="3"/>
  <c r="BH137" i="3"/>
  <c r="BI137" i="3"/>
  <c r="N137" i="3" s="1"/>
  <c r="M137" i="3" s="1"/>
  <c r="BH141" i="3"/>
  <c r="AI141" i="3"/>
  <c r="BI141" i="3"/>
  <c r="N141" i="3" s="1"/>
  <c r="M141" i="3" s="1"/>
  <c r="BA110" i="3"/>
  <c r="C22" i="3"/>
  <c r="BC131" i="3"/>
  <c r="BE131" i="3" s="1"/>
  <c r="BG131" i="3" s="1"/>
  <c r="BD131" i="3"/>
  <c r="BF131" i="3" s="1"/>
  <c r="BI132" i="3"/>
  <c r="N132" i="3" s="1"/>
  <c r="M132" i="3" s="1"/>
  <c r="BH132" i="3"/>
  <c r="AI132" i="3"/>
  <c r="BC115" i="3"/>
  <c r="BE115" i="3" s="1"/>
  <c r="BG115" i="3" s="1"/>
  <c r="BD115" i="3"/>
  <c r="BF115" i="3" s="1"/>
  <c r="BH115" i="3" s="1"/>
  <c r="BD116" i="3"/>
  <c r="BF116" i="3" s="1"/>
  <c r="BH116" i="3" s="1"/>
  <c r="BC116" i="3"/>
  <c r="BE116" i="3" s="1"/>
  <c r="BG116" i="3" s="1"/>
  <c r="BH135" i="3"/>
  <c r="AI135" i="3"/>
  <c r="BI135" i="3"/>
  <c r="N135" i="3" s="1"/>
  <c r="M135" i="3" s="1"/>
  <c r="AI140" i="3"/>
  <c r="BH140" i="3"/>
  <c r="BI140" i="3"/>
  <c r="N140" i="3" s="1"/>
  <c r="M140" i="3" s="1"/>
  <c r="BI134" i="3"/>
  <c r="N134" i="3" s="1"/>
  <c r="M134" i="3" s="1"/>
  <c r="BH134" i="3"/>
  <c r="AI134" i="3"/>
  <c r="BC114" i="3"/>
  <c r="BE114" i="3" s="1"/>
  <c r="BG114" i="3" s="1"/>
  <c r="BD114" i="3"/>
  <c r="BF114" i="3" s="1"/>
  <c r="BH114" i="3" s="1"/>
  <c r="BC117" i="3"/>
  <c r="BE117" i="3" s="1"/>
  <c r="BG117" i="3" s="1"/>
  <c r="BD117" i="3"/>
  <c r="BF117" i="3" s="1"/>
  <c r="BH117" i="3" s="1"/>
  <c r="BC118" i="3"/>
  <c r="BE118" i="3" s="1"/>
  <c r="BG118" i="3" s="1"/>
  <c r="BD118" i="3"/>
  <c r="BF118" i="3" s="1"/>
  <c r="BH118" i="3" s="1"/>
  <c r="BI144" i="3"/>
  <c r="N144" i="3" s="1"/>
  <c r="M144" i="3" s="1"/>
  <c r="AI144" i="3"/>
  <c r="BH144" i="3"/>
  <c r="BI149" i="3"/>
  <c r="N149" i="3" s="1"/>
  <c r="M149" i="3" s="1"/>
  <c r="AI149" i="3"/>
  <c r="BH149" i="3"/>
  <c r="D15" i="3" l="1"/>
  <c r="C18" i="3"/>
  <c r="D60" i="3"/>
  <c r="C60" i="3"/>
  <c r="G149" i="3"/>
  <c r="I149" i="3"/>
  <c r="G140" i="3"/>
  <c r="I140" i="3"/>
  <c r="G132" i="3"/>
  <c r="I132" i="3"/>
  <c r="G141" i="3"/>
  <c r="I141" i="3"/>
  <c r="I137" i="3"/>
  <c r="G137" i="3"/>
  <c r="G136" i="3"/>
  <c r="I136" i="3"/>
  <c r="G148" i="3"/>
  <c r="I148" i="3"/>
  <c r="G152" i="3"/>
  <c r="I152" i="3"/>
  <c r="I139" i="3"/>
  <c r="G139" i="3"/>
  <c r="G138" i="3"/>
  <c r="I138" i="3"/>
  <c r="G145" i="3"/>
  <c r="I145" i="3"/>
  <c r="G150" i="3"/>
  <c r="I150" i="3"/>
  <c r="I143" i="3"/>
  <c r="G143" i="3"/>
  <c r="G142" i="3"/>
  <c r="I142" i="3"/>
  <c r="G135" i="3"/>
  <c r="I135" i="3"/>
  <c r="G144" i="3"/>
  <c r="I144" i="3"/>
  <c r="G134" i="3"/>
  <c r="I134" i="3"/>
  <c r="I147" i="3"/>
  <c r="G147" i="3"/>
  <c r="G154" i="3"/>
  <c r="I154" i="3"/>
  <c r="G146" i="3"/>
  <c r="I146" i="3"/>
  <c r="C15" i="3"/>
  <c r="BD110" i="3"/>
  <c r="BF110" i="3" s="1"/>
  <c r="BH110" i="3" s="1"/>
  <c r="BC110" i="3"/>
  <c r="BE110" i="3" s="1"/>
  <c r="BG110" i="3" s="1"/>
  <c r="BH131" i="3"/>
  <c r="AI131" i="3"/>
  <c r="AI153" i="3"/>
  <c r="BH153" i="3"/>
  <c r="BI153" i="3"/>
  <c r="N153" i="3" s="1"/>
  <c r="M153" i="3" s="1"/>
  <c r="DJ5" i="3" l="1"/>
  <c r="CW50" i="3"/>
  <c r="CH5" i="3"/>
  <c r="DL5" i="3" s="1"/>
  <c r="CH50" i="3"/>
  <c r="D18" i="3"/>
  <c r="BN108" i="3"/>
  <c r="BS86" i="3" s="1"/>
  <c r="D103" i="3" s="1"/>
  <c r="BN109" i="3"/>
  <c r="BO109" i="3" s="1"/>
  <c r="BN110" i="3"/>
  <c r="BO110" i="3" s="1"/>
  <c r="BN111" i="3"/>
  <c r="BO111" i="3" s="1"/>
  <c r="BN112" i="3"/>
  <c r="BO112" i="3" s="1"/>
  <c r="BN113" i="3"/>
  <c r="BO113" i="3" s="1"/>
  <c r="BN114" i="3"/>
  <c r="BO114" i="3" s="1"/>
  <c r="BN115" i="3"/>
  <c r="BO115" i="3" s="1"/>
  <c r="BN116" i="3"/>
  <c r="BO116" i="3" s="1"/>
  <c r="BN117" i="3"/>
  <c r="BO117" i="3" s="1"/>
  <c r="BN118" i="3"/>
  <c r="BO118" i="3" s="1"/>
  <c r="BN119" i="3"/>
  <c r="BO119" i="3" s="1"/>
  <c r="BN120" i="3"/>
  <c r="BO120" i="3" s="1"/>
  <c r="BN121" i="3"/>
  <c r="BO121" i="3" s="1"/>
  <c r="BN122" i="3"/>
  <c r="BO122" i="3" s="1"/>
  <c r="BN123" i="3"/>
  <c r="BO123" i="3" s="1"/>
  <c r="BN124" i="3"/>
  <c r="BO124" i="3" s="1"/>
  <c r="BN125" i="3"/>
  <c r="BO125" i="3" s="1"/>
  <c r="BN126" i="3"/>
  <c r="BO126" i="3" s="1"/>
  <c r="BN127" i="3"/>
  <c r="BO127" i="3" s="1"/>
  <c r="BN128" i="3"/>
  <c r="BO128" i="3" s="1"/>
  <c r="BN129" i="3"/>
  <c r="BO129" i="3" s="1"/>
  <c r="BN130" i="3"/>
  <c r="BO130" i="3" s="1"/>
  <c r="BN131" i="3"/>
  <c r="BO131" i="3" s="1"/>
  <c r="BN132" i="3"/>
  <c r="BO132" i="3" s="1"/>
  <c r="BN133" i="3"/>
  <c r="BO133" i="3" s="1"/>
  <c r="BN134" i="3"/>
  <c r="BO134" i="3" s="1"/>
  <c r="BN135" i="3"/>
  <c r="BO135" i="3" s="1"/>
  <c r="BN136" i="3"/>
  <c r="BO136" i="3" s="1"/>
  <c r="BN137" i="3"/>
  <c r="BO137" i="3" s="1"/>
  <c r="BN138" i="3"/>
  <c r="BO138" i="3" s="1"/>
  <c r="BN139" i="3"/>
  <c r="BO139" i="3" s="1"/>
  <c r="BN140" i="3"/>
  <c r="BO140" i="3" s="1"/>
  <c r="BN141" i="3"/>
  <c r="BO141" i="3" s="1"/>
  <c r="BN142" i="3"/>
  <c r="BO142" i="3" s="1"/>
  <c r="BN143" i="3"/>
  <c r="BO143" i="3" s="1"/>
  <c r="BN144" i="3"/>
  <c r="BO144" i="3" s="1"/>
  <c r="BN145" i="3"/>
  <c r="BO145" i="3" s="1"/>
  <c r="BN146" i="3"/>
  <c r="BO146" i="3" s="1"/>
  <c r="BN147" i="3"/>
  <c r="BO147" i="3" s="1"/>
  <c r="BN148" i="3"/>
  <c r="BO148" i="3" s="1"/>
  <c r="BN149" i="3"/>
  <c r="BO149" i="3" s="1"/>
  <c r="BN150" i="3"/>
  <c r="DM86" i="3" s="1"/>
  <c r="D104" i="3" s="1"/>
  <c r="G153" i="3"/>
  <c r="I153" i="3"/>
  <c r="DL50" i="3" l="1"/>
  <c r="BS50" i="3"/>
  <c r="BS5" i="3"/>
  <c r="BO108" i="3"/>
  <c r="CW3" i="3"/>
  <c r="BU3" i="3"/>
  <c r="BO150" i="3"/>
  <c r="D101" i="3"/>
  <c r="D102" i="3"/>
  <c r="DL3" i="3" l="1"/>
  <c r="DM50" i="3" s="1"/>
  <c r="D96" i="3" s="1"/>
  <c r="D97" i="3" s="1"/>
  <c r="BS3" i="3"/>
  <c r="BR50" i="3" s="1"/>
  <c r="B96" i="3" s="1"/>
  <c r="B97" i="3" s="1"/>
  <c r="BP135" i="3"/>
  <c r="BQ135" i="3" s="1"/>
  <c r="CV72" i="3" s="1"/>
  <c r="CV73" i="3" s="1"/>
  <c r="CV76" i="3" s="1"/>
  <c r="BP124" i="3"/>
  <c r="BQ124" i="3" s="1"/>
  <c r="CK72" i="3" s="1"/>
  <c r="CK73" i="3" s="1"/>
  <c r="CK76" i="3" s="1"/>
  <c r="BP127" i="3"/>
  <c r="BQ127" i="3" s="1"/>
  <c r="CN72" i="3" s="1"/>
  <c r="CT61" i="3" s="1"/>
  <c r="CT69" i="3" s="1"/>
  <c r="BP115" i="3"/>
  <c r="BQ115" i="3" s="1"/>
  <c r="CB72" i="3" s="1"/>
  <c r="BU38" i="3" s="1"/>
  <c r="BP113" i="3"/>
  <c r="BQ113" i="3" s="1"/>
  <c r="BZ72" i="3" s="1"/>
  <c r="BZ73" i="3" s="1"/>
  <c r="BZ76" i="3" s="1"/>
  <c r="BP147" i="3"/>
  <c r="BQ147" i="3" s="1"/>
  <c r="DH72" i="3" s="1"/>
  <c r="DE10" i="3" s="1"/>
  <c r="DE46" i="3" s="1"/>
  <c r="DE47" i="3" s="1"/>
  <c r="BP131" i="3"/>
  <c r="BQ131" i="3" s="1"/>
  <c r="CR72" i="3" s="1"/>
  <c r="CX57" i="3" s="1"/>
  <c r="BP123" i="3"/>
  <c r="BQ123" i="3" s="1"/>
  <c r="CJ72" i="3" s="1"/>
  <c r="CX30" i="3" s="1"/>
  <c r="BP108" i="3"/>
  <c r="BQ108" i="3" s="1"/>
  <c r="BU72" i="3" s="1"/>
  <c r="BU73" i="3" s="1"/>
  <c r="BU76" i="3" s="1"/>
  <c r="BP129" i="3"/>
  <c r="BQ129" i="3" s="1"/>
  <c r="CP72" i="3" s="1"/>
  <c r="CP73" i="3" s="1"/>
  <c r="CP76" i="3" s="1"/>
  <c r="BP139" i="3"/>
  <c r="BQ139" i="3" s="1"/>
  <c r="CZ72" i="3" s="1"/>
  <c r="CZ73" i="3" s="1"/>
  <c r="CZ76" i="3" s="1"/>
  <c r="BP112" i="3"/>
  <c r="BQ112" i="3" s="1"/>
  <c r="BY72" i="3" s="1"/>
  <c r="CC41" i="3" s="1"/>
  <c r="CC46" i="3" s="1"/>
  <c r="CC47" i="3" s="1"/>
  <c r="BP138" i="3"/>
  <c r="BQ138" i="3" s="1"/>
  <c r="CY72" i="3" s="1"/>
  <c r="CM19" i="3" s="1"/>
  <c r="BP119" i="3"/>
  <c r="BQ119" i="3" s="1"/>
  <c r="CF72" i="3" s="1"/>
  <c r="CF73" i="3" s="1"/>
  <c r="CF76" i="3" s="1"/>
  <c r="BP111" i="3"/>
  <c r="BQ111" i="3" s="1"/>
  <c r="BX72" i="3" s="1"/>
  <c r="BU42" i="3" s="1"/>
  <c r="BP118" i="3"/>
  <c r="BQ118" i="3" s="1"/>
  <c r="CE72" i="3" s="1"/>
  <c r="CE73" i="3" s="1"/>
  <c r="CE76" i="3" s="1"/>
  <c r="BP145" i="3"/>
  <c r="BQ145" i="3" s="1"/>
  <c r="DF72" i="3" s="1"/>
  <c r="DF73" i="3" s="1"/>
  <c r="DF76" i="3" s="1"/>
  <c r="BP150" i="3"/>
  <c r="BQ150" i="3" s="1"/>
  <c r="DK72" i="3" s="1"/>
  <c r="DK73" i="3" s="1"/>
  <c r="DK76" i="3" s="1"/>
  <c r="BP143" i="3"/>
  <c r="BQ143" i="3" s="1"/>
  <c r="DD72" i="3" s="1"/>
  <c r="CW14" i="3" s="1"/>
  <c r="BP140" i="3"/>
  <c r="BQ140" i="3" s="1"/>
  <c r="DA72" i="3" s="1"/>
  <c r="CS17" i="3" s="1"/>
  <c r="BP120" i="3"/>
  <c r="BQ120" i="3" s="1"/>
  <c r="CG72" i="3" s="1"/>
  <c r="CS33" i="3" s="1"/>
  <c r="BP136" i="3"/>
  <c r="BQ136" i="3" s="1"/>
  <c r="CW72" i="3" s="1"/>
  <c r="CW73" i="3" s="1"/>
  <c r="CW76" i="3" s="1"/>
  <c r="BP109" i="3"/>
  <c r="BQ109" i="3" s="1"/>
  <c r="BV72" i="3" s="1"/>
  <c r="BW44" i="3" s="1"/>
  <c r="BP125" i="3"/>
  <c r="BQ125" i="3" s="1"/>
  <c r="CL72" i="3" s="1"/>
  <c r="CL73" i="3" s="1"/>
  <c r="CL76" i="3" s="1"/>
  <c r="BP141" i="3"/>
  <c r="BQ141" i="3" s="1"/>
  <c r="DB72" i="3" s="1"/>
  <c r="DB73" i="3" s="1"/>
  <c r="DB76" i="3" s="1"/>
  <c r="BP114" i="3"/>
  <c r="BQ114" i="3" s="1"/>
  <c r="CA72" i="3" s="1"/>
  <c r="CA73" i="3" s="1"/>
  <c r="CA76" i="3" s="1"/>
  <c r="BP130" i="3"/>
  <c r="BQ130" i="3" s="1"/>
  <c r="CQ72" i="3" s="1"/>
  <c r="CX58" i="3" s="1"/>
  <c r="BP128" i="3"/>
  <c r="BQ128" i="3" s="1"/>
  <c r="CO72" i="3" s="1"/>
  <c r="CV60" i="3" s="1"/>
  <c r="BP144" i="3"/>
  <c r="BQ144" i="3" s="1"/>
  <c r="DE72" i="3" s="1"/>
  <c r="DK13" i="3" s="1"/>
  <c r="BP117" i="3"/>
  <c r="BQ117" i="3" s="1"/>
  <c r="CD72" i="3" s="1"/>
  <c r="CD73" i="3" s="1"/>
  <c r="CD76" i="3" s="1"/>
  <c r="BP133" i="3"/>
  <c r="BQ133" i="3" s="1"/>
  <c r="CT72" i="3" s="1"/>
  <c r="CU55" i="3" s="1"/>
  <c r="CU69" i="3" s="1"/>
  <c r="BP149" i="3"/>
  <c r="BQ149" i="3" s="1"/>
  <c r="DJ72" i="3" s="1"/>
  <c r="DI8" i="3" s="1"/>
  <c r="BP122" i="3"/>
  <c r="BQ122" i="3" s="1"/>
  <c r="CI72" i="3" s="1"/>
  <c r="CJ66" i="3" s="1"/>
  <c r="BP142" i="3"/>
  <c r="BQ142" i="3" s="1"/>
  <c r="DC72" i="3" s="1"/>
  <c r="CU15" i="3" s="1"/>
  <c r="BP116" i="3"/>
  <c r="BQ116" i="3" s="1"/>
  <c r="CC72" i="3" s="1"/>
  <c r="BU37" i="3" s="1"/>
  <c r="BP132" i="3"/>
  <c r="BQ132" i="3" s="1"/>
  <c r="CS72" i="3" s="1"/>
  <c r="DD42" i="3" s="1"/>
  <c r="DD46" i="3" s="1"/>
  <c r="DD47" i="3" s="1"/>
  <c r="BP148" i="3"/>
  <c r="BQ148" i="3" s="1"/>
  <c r="DI72" i="3" s="1"/>
  <c r="DI73" i="3" s="1"/>
  <c r="DI76" i="3" s="1"/>
  <c r="BP121" i="3"/>
  <c r="BQ121" i="3" s="1"/>
  <c r="CH72" i="3" s="1"/>
  <c r="CH73" i="3" s="1"/>
  <c r="CH76" i="3" s="1"/>
  <c r="BP137" i="3"/>
  <c r="BQ137" i="3" s="1"/>
  <c r="CX72" i="3" s="1"/>
  <c r="DK20" i="3" s="1"/>
  <c r="BP110" i="3"/>
  <c r="BQ110" i="3" s="1"/>
  <c r="BW72" i="3" s="1"/>
  <c r="BU43" i="3" s="1"/>
  <c r="BP126" i="3"/>
  <c r="BQ126" i="3" s="1"/>
  <c r="CM72" i="3" s="1"/>
  <c r="CB27" i="3" s="1"/>
  <c r="CB46" i="3" s="1"/>
  <c r="CB47" i="3" s="1"/>
  <c r="BP146" i="3"/>
  <c r="BQ146" i="3" s="1"/>
  <c r="DG72" i="3" s="1"/>
  <c r="DC11" i="3" s="1"/>
  <c r="DC46" i="3" s="1"/>
  <c r="DC47" i="3" s="1"/>
  <c r="BP134" i="3"/>
  <c r="BQ134" i="3" s="1"/>
  <c r="CU72" i="3" s="1"/>
  <c r="CU73" i="3" s="1"/>
  <c r="CU76" i="3" s="1"/>
  <c r="DK12" i="3" l="1"/>
  <c r="DJ22" i="3"/>
  <c r="DJ46" i="3" s="1"/>
  <c r="DJ47" i="3" s="1"/>
  <c r="BU40" i="3"/>
  <c r="CH22" i="3"/>
  <c r="DJ73" i="3"/>
  <c r="DJ76" i="3" s="1"/>
  <c r="E97" i="3"/>
  <c r="E86" i="3" s="1"/>
  <c r="E88" i="3" s="1"/>
  <c r="G97" i="3"/>
  <c r="CO34" i="3"/>
  <c r="CS53" i="3"/>
  <c r="CX53" i="3"/>
  <c r="B86" i="3"/>
  <c r="B88" i="3" s="1"/>
  <c r="CJ73" i="3"/>
  <c r="CJ76" i="3" s="1"/>
  <c r="BY73" i="3"/>
  <c r="BY76" i="3" s="1"/>
  <c r="CN56" i="3"/>
  <c r="CL57" i="3"/>
  <c r="DK16" i="3"/>
  <c r="CM73" i="3"/>
  <c r="CM76" i="3" s="1"/>
  <c r="CI63" i="3"/>
  <c r="CI69" i="3" s="1"/>
  <c r="CX29" i="3"/>
  <c r="CI73" i="3"/>
  <c r="CI76" i="3" s="1"/>
  <c r="DI17" i="3"/>
  <c r="DI46" i="3" s="1"/>
  <c r="DI47" i="3" s="1"/>
  <c r="BU41" i="3"/>
  <c r="CI38" i="3"/>
  <c r="BU35" i="3"/>
  <c r="DA73" i="3"/>
  <c r="DA76" i="3" s="1"/>
  <c r="DK18" i="3"/>
  <c r="CO63" i="3"/>
  <c r="CL65" i="3"/>
  <c r="CO73" i="3"/>
  <c r="CO76" i="3" s="1"/>
  <c r="CH42" i="3"/>
  <c r="CB73" i="3"/>
  <c r="CB76" i="3" s="1"/>
  <c r="CX28" i="3"/>
  <c r="CH65" i="3"/>
  <c r="CH60" i="3"/>
  <c r="BY43" i="3"/>
  <c r="BY46" i="3" s="1"/>
  <c r="BY47" i="3" s="1"/>
  <c r="CX56" i="3"/>
  <c r="BV30" i="3"/>
  <c r="BV46" i="3" s="1"/>
  <c r="BV47" i="3" s="1"/>
  <c r="CR73" i="3"/>
  <c r="CR76" i="3" s="1"/>
  <c r="CF25" i="3"/>
  <c r="CF46" i="3" s="1"/>
  <c r="CF47" i="3" s="1"/>
  <c r="BW73" i="3"/>
  <c r="BW76" i="3" s="1"/>
  <c r="CN73" i="3"/>
  <c r="CN76" i="3" s="1"/>
  <c r="CO35" i="3"/>
  <c r="DK8" i="3"/>
  <c r="CZ44" i="3"/>
  <c r="CZ46" i="3" s="1"/>
  <c r="CZ47" i="3" s="1"/>
  <c r="DF41" i="3"/>
  <c r="DF46" i="3" s="1"/>
  <c r="DF47" i="3" s="1"/>
  <c r="CK37" i="3"/>
  <c r="CH61" i="3"/>
  <c r="BV73" i="3"/>
  <c r="BV76" i="3" s="1"/>
  <c r="DB43" i="3"/>
  <c r="DB46" i="3" s="1"/>
  <c r="DB47" i="3" s="1"/>
  <c r="CX26" i="3"/>
  <c r="CD26" i="3"/>
  <c r="CD46" i="3" s="1"/>
  <c r="CD47" i="3" s="1"/>
  <c r="CN64" i="3"/>
  <c r="DK10" i="3"/>
  <c r="CA42" i="3"/>
  <c r="CA46" i="3" s="1"/>
  <c r="CA47" i="3" s="1"/>
  <c r="CH43" i="3"/>
  <c r="CK20" i="3"/>
  <c r="CR54" i="3"/>
  <c r="CR69" i="3" s="1"/>
  <c r="CO18" i="3"/>
  <c r="BX73" i="3"/>
  <c r="BX76" i="3" s="1"/>
  <c r="DK14" i="3"/>
  <c r="CX27" i="3"/>
  <c r="DA12" i="3"/>
  <c r="DA46" i="3" s="1"/>
  <c r="DA47" i="3" s="1"/>
  <c r="BX29" i="3"/>
  <c r="BX46" i="3" s="1"/>
  <c r="BX47" i="3" s="1"/>
  <c r="CS16" i="3"/>
  <c r="CS46" i="3" s="1"/>
  <c r="CS47" i="3" s="1"/>
  <c r="DK19" i="3"/>
  <c r="CH66" i="3"/>
  <c r="CH64" i="3"/>
  <c r="CG73" i="3"/>
  <c r="CG76" i="3" s="1"/>
  <c r="CY73" i="3"/>
  <c r="CY76" i="3" s="1"/>
  <c r="CK62" i="3"/>
  <c r="CK69" i="3" s="1"/>
  <c r="DK9" i="3"/>
  <c r="CS73" i="3"/>
  <c r="CS76" i="3" s="1"/>
  <c r="CW31" i="3"/>
  <c r="CW46" i="3" s="1"/>
  <c r="CW47" i="3" s="1"/>
  <c r="CX24" i="3"/>
  <c r="CY13" i="3"/>
  <c r="CY46" i="3" s="1"/>
  <c r="CY47" i="3" s="1"/>
  <c r="DH73" i="3"/>
  <c r="DH76" i="3" s="1"/>
  <c r="BU33" i="3"/>
  <c r="CO62" i="3"/>
  <c r="DG9" i="3"/>
  <c r="DG46" i="3" s="1"/>
  <c r="DG47" i="3" s="1"/>
  <c r="BU31" i="3"/>
  <c r="CE40" i="3"/>
  <c r="CE46" i="3" s="1"/>
  <c r="CE47" i="3" s="1"/>
  <c r="DE73" i="3"/>
  <c r="DE76" i="3" s="1"/>
  <c r="BZ28" i="3"/>
  <c r="BZ46" i="3" s="1"/>
  <c r="BZ47" i="3" s="1"/>
  <c r="CX25" i="3"/>
  <c r="CH59" i="3"/>
  <c r="DG73" i="3"/>
  <c r="DG76" i="3" s="1"/>
  <c r="BW34" i="3"/>
  <c r="BW46" i="3" s="1"/>
  <c r="BW47" i="3" s="1"/>
  <c r="CX59" i="3"/>
  <c r="CH24" i="3"/>
  <c r="CJ58" i="3"/>
  <c r="CJ69" i="3" s="1"/>
  <c r="CT73" i="3"/>
  <c r="CT76" i="3" s="1"/>
  <c r="CX73" i="3"/>
  <c r="CX76" i="3" s="1"/>
  <c r="CW54" i="3"/>
  <c r="CW69" i="3" s="1"/>
  <c r="BU44" i="3"/>
  <c r="CS55" i="3"/>
  <c r="CH41" i="3"/>
  <c r="CC73" i="3"/>
  <c r="CC76" i="3" s="1"/>
  <c r="DH40" i="3"/>
  <c r="DH46" i="3" s="1"/>
  <c r="DH47" i="3" s="1"/>
  <c r="CH40" i="3"/>
  <c r="CQ73" i="3"/>
  <c r="CQ76" i="3" s="1"/>
  <c r="DD73" i="3"/>
  <c r="DD76" i="3" s="1"/>
  <c r="CH44" i="3"/>
  <c r="BU39" i="3"/>
  <c r="DK21" i="3"/>
  <c r="CV52" i="3"/>
  <c r="CV69" i="3" s="1"/>
  <c r="CU32" i="3"/>
  <c r="CU46" i="3" s="1"/>
  <c r="CU47" i="3" s="1"/>
  <c r="BU36" i="3"/>
  <c r="DK11" i="3"/>
  <c r="DC73" i="3"/>
  <c r="DC76" i="3" s="1"/>
  <c r="CG39" i="3"/>
  <c r="CG46" i="3" s="1"/>
  <c r="CG47" i="3" s="1"/>
  <c r="CX52" i="3"/>
  <c r="CI21" i="3"/>
  <c r="DK15" i="3"/>
  <c r="BU32" i="3"/>
  <c r="CM36" i="3"/>
  <c r="CM46" i="3" s="1"/>
  <c r="CM47" i="3" s="1"/>
  <c r="CO46" i="3" l="1"/>
  <c r="CO47" i="3" s="1"/>
  <c r="CS69" i="3"/>
  <c r="CL69" i="3"/>
  <c r="CN69" i="3"/>
  <c r="CK46" i="3"/>
  <c r="CK47" i="3" s="1"/>
  <c r="CH46" i="3"/>
  <c r="CH47" i="3" s="1"/>
  <c r="CH69" i="3"/>
  <c r="CI46" i="3"/>
  <c r="CI47" i="3" s="1"/>
  <c r="BU46" i="3"/>
  <c r="BU47" i="3" s="1"/>
  <c r="CO69" i="3"/>
  <c r="CX46" i="3"/>
  <c r="CX47" i="3" s="1"/>
  <c r="CX69" i="3"/>
  <c r="DK46" i="3"/>
  <c r="DK47" i="3" s="1"/>
</calcChain>
</file>

<file path=xl/comments1.xml><?xml version="1.0" encoding="utf-8"?>
<comments xmlns="http://schemas.openxmlformats.org/spreadsheetml/2006/main">
  <authors>
    <author>Stanislav</author>
    <author>chrisy</author>
  </authors>
  <commentList>
    <comment ref="E1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F1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
 на наклонения фрейм
50- константа за FT VR(FRT VR)</t>
        </r>
      </text>
    </comment>
    <comment ref="G1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58.1516; 91.9127- константи за FR VR(FRT VR)</t>
        </r>
      </text>
    </comment>
    <comment ref="E19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E20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E21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тук остава 331.5</t>
        </r>
      </text>
    </comment>
    <comment ref="D70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4300- FRONT ,REAR OF FR TR</t>
        </r>
      </text>
    </comment>
    <comment ref="L70" authorId="0">
      <text>
        <r>
          <rPr>
            <b/>
            <sz val="14"/>
            <color indexed="81"/>
            <rFont val="Tahoma"/>
            <family val="2"/>
            <charset val="204"/>
          </rPr>
          <t>Stanislav:</t>
        </r>
        <r>
          <rPr>
            <sz val="14"/>
            <color indexed="81"/>
            <rFont val="Tahoma"/>
            <family val="2"/>
            <charset val="204"/>
          </rPr>
          <t xml:space="preserve">
5000- MIDDLE BAR OF FR TR 
</t>
        </r>
      </text>
    </comment>
    <comment ref="D71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
4000-TiRAY едно предно окачване</t>
        </r>
      </text>
    </comment>
    <comment ref="L71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4400- REAR OF TiRAY
</t>
        </r>
      </text>
    </comment>
    <comment ref="L107" authorId="1">
      <text>
        <r>
          <rPr>
            <b/>
            <sz val="9"/>
            <color indexed="81"/>
            <rFont val="Tahoma"/>
            <family val="2"/>
          </rPr>
          <t>chrisy:</t>
        </r>
        <r>
          <rPr>
            <sz val="9"/>
            <color indexed="81"/>
            <rFont val="Tahoma"/>
            <family val="2"/>
          </rPr>
          <t xml:space="preserve">
 ground stack -0;1;4;5;9;12
fly 0;1;3;5;7;9;12</t>
        </r>
      </text>
    </comment>
  </commentList>
</comments>
</file>

<file path=xl/comments2.xml><?xml version="1.0" encoding="utf-8"?>
<comments xmlns="http://schemas.openxmlformats.org/spreadsheetml/2006/main">
  <authors>
    <author>Stanislav</author>
  </authors>
  <commentList>
    <comment ref="D1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1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
 на наклонения фрейм
50- константа за FT VR(FRT VR)</t>
        </r>
      </text>
    </comment>
    <comment ref="F14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58.1516; 91.9127- константи за FR VR(FRT VR)</t>
        </r>
      </text>
    </comment>
    <comment ref="C15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15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D16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18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TR</t>
        </r>
      </text>
    </comment>
    <comment ref="D18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тук остава 331.5</t>
        </r>
      </text>
    </comment>
    <comment ref="C20" authorId="0">
      <text>
        <r>
          <rPr>
            <b/>
            <sz val="14"/>
            <color indexed="81"/>
            <rFont val="Tahoma"/>
            <family val="2"/>
          </rPr>
          <t>тегло на цялата система + кабели + EXBAR TR</t>
        </r>
      </text>
    </comment>
    <comment ref="C22" authorId="0">
      <text>
        <r>
          <rPr>
            <b/>
            <sz val="14"/>
            <color indexed="81"/>
            <rFont val="Tahoma"/>
            <family val="2"/>
          </rPr>
          <t>център на тежест на системата спрямо предната точка на окачване</t>
        </r>
      </text>
    </comment>
    <comment ref="C24" authorId="0">
      <text>
        <r>
          <rPr>
            <b/>
            <sz val="14"/>
            <color indexed="81"/>
            <rFont val="Tahoma"/>
            <family val="2"/>
          </rPr>
          <t>Stanislav:</t>
        </r>
        <r>
          <rPr>
            <sz val="14"/>
            <color indexed="81"/>
            <rFont val="Tahoma"/>
            <family val="2"/>
          </rPr>
          <t xml:space="preserve">
тегло на  TiLOW системата </t>
        </r>
      </text>
    </comment>
    <comment ref="C25" authorId="0">
      <text>
        <r>
          <rPr>
            <b/>
            <sz val="14"/>
            <color indexed="81"/>
            <rFont val="Tahoma"/>
            <family val="2"/>
          </rPr>
          <t>разстояние между предното и задното окачване на TiLOW</t>
        </r>
      </text>
    </comment>
    <comment ref="C27" authorId="0">
      <text>
        <r>
          <rPr>
            <sz val="14"/>
            <color indexed="81"/>
            <rFont val="Tahoma"/>
            <family val="2"/>
          </rPr>
          <t>тегло на системата TiRAY</t>
        </r>
      </text>
    </comment>
    <comment ref="C28" authorId="0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TiRAY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
4000-TiRAY едно предно окачване</t>
        </r>
      </text>
    </comment>
    <comment ref="D56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4400- REAR OF TiRAY
</t>
        </r>
      </text>
    </comment>
    <comment ref="C57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D57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4300- FRONT ,REAR OF FR TR</t>
        </r>
      </text>
    </comment>
    <comment ref="D58" authorId="0">
      <text>
        <r>
          <rPr>
            <b/>
            <sz val="14"/>
            <color indexed="81"/>
            <rFont val="Tahoma"/>
            <family val="2"/>
            <charset val="204"/>
          </rPr>
          <t>Stanislav:</t>
        </r>
        <r>
          <rPr>
            <sz val="14"/>
            <color indexed="81"/>
            <rFont val="Tahoma"/>
            <family val="2"/>
            <charset val="204"/>
          </rPr>
          <t xml:space="preserve">
5000- MIDDLE BAR OF FR TR 
</t>
        </r>
      </text>
    </comment>
  </commentList>
</comments>
</file>

<file path=xl/comments3.xml><?xml version="1.0" encoding="utf-8"?>
<comments xmlns="http://schemas.openxmlformats.org/spreadsheetml/2006/main">
  <authors>
    <author>Stanislav</author>
  </authors>
  <commentList>
    <comment ref="E16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F16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
 на наклонения фрейм
50- константа за FT VR(FRT VR)</t>
        </r>
      </text>
    </comment>
    <comment ref="G16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58.1516; 91.9127- константи за FR VR(FRT VR)</t>
        </r>
      </text>
    </comment>
    <comment ref="E17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E1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E20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тук остава 331.5</t>
        </r>
      </text>
    </comment>
    <comment ref="C30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D30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4300- FRONT ,REAR OF FR TR</t>
        </r>
      </text>
    </comment>
    <comment ref="D31" authorId="0">
      <text>
        <r>
          <rPr>
            <b/>
            <sz val="14"/>
            <color indexed="81"/>
            <rFont val="Tahoma"/>
            <family val="2"/>
            <charset val="204"/>
          </rPr>
          <t>Stanislav:</t>
        </r>
        <r>
          <rPr>
            <sz val="14"/>
            <color indexed="81"/>
            <rFont val="Tahoma"/>
            <family val="2"/>
            <charset val="204"/>
          </rPr>
          <t xml:space="preserve">
5000- MIDDLE BAR OF FR TR 
</t>
        </r>
      </text>
    </comment>
  </commentList>
</comments>
</file>

<file path=xl/comments4.xml><?xml version="1.0" encoding="utf-8"?>
<comments xmlns="http://schemas.openxmlformats.org/spreadsheetml/2006/main">
  <authors>
    <author>Stanislav</author>
  </authors>
  <commentList>
    <comment ref="C8" authorId="0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разстояние между двата краини отвора на FR TR</t>
        </r>
      </text>
    </comment>
    <comment ref="D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
 на наклонения фрейм
50- константа за FT VR(FRT VR)</t>
        </r>
      </text>
    </comment>
    <comment ref="F8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58.1516; 91.9127- константи за FR VR(FRT VR)</t>
        </r>
      </text>
    </comment>
    <comment ref="C9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9" authorId="0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D10" authorId="0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12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TR</t>
        </r>
      </text>
    </comment>
    <comment ref="D12" authorId="0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тук остава 331.5</t>
        </r>
      </text>
    </comment>
    <comment ref="C14" authorId="0">
      <text>
        <r>
          <rPr>
            <b/>
            <sz val="14"/>
            <color indexed="81"/>
            <rFont val="Tahoma"/>
            <family val="2"/>
          </rPr>
          <t>тегло на цялата система + кабели + EXBAR VR</t>
        </r>
      </text>
    </comment>
    <comment ref="C16" authorId="0">
      <text>
        <r>
          <rPr>
            <b/>
            <sz val="14"/>
            <color indexed="81"/>
            <rFont val="Tahoma"/>
            <family val="2"/>
          </rPr>
          <t>център на тежест на системата спрямо предната точка на окачване</t>
        </r>
      </text>
    </comment>
    <comment ref="C18" authorId="0">
      <text>
        <r>
          <rPr>
            <b/>
            <sz val="14"/>
            <color indexed="81"/>
            <rFont val="Tahoma"/>
            <family val="2"/>
          </rPr>
          <t>Stanislav:</t>
        </r>
        <r>
          <rPr>
            <sz val="14"/>
            <color indexed="81"/>
            <rFont val="Tahoma"/>
            <family val="2"/>
          </rPr>
          <t xml:space="preserve">
тегло на TiLOW системата </t>
        </r>
      </text>
    </comment>
    <comment ref="C19" authorId="0">
      <text>
        <r>
          <rPr>
            <b/>
            <sz val="14"/>
            <color indexed="81"/>
            <rFont val="Tahoma"/>
            <family val="2"/>
          </rPr>
          <t>разстояние между предното и задното окачване на TiLOW</t>
        </r>
      </text>
    </comment>
    <comment ref="C21" authorId="0">
      <text>
        <r>
          <rPr>
            <sz val="14"/>
            <color indexed="81"/>
            <rFont val="Tahoma"/>
            <family val="2"/>
          </rPr>
          <t>тегло на системаат  TiRAY+ FR TR</t>
        </r>
      </text>
    </comment>
    <comment ref="C22" authorId="0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TiRAY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
4000-TiRAY едно предно окачване</t>
        </r>
      </text>
    </comment>
    <comment ref="D24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4400- REAR OF TiRAY
</t>
        </r>
      </text>
    </comment>
    <comment ref="C25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D25" authorId="0">
      <text>
        <r>
          <rPr>
            <b/>
            <sz val="16"/>
            <color indexed="81"/>
            <rFont val="Tahoma"/>
            <family val="2"/>
            <charset val="204"/>
          </rPr>
          <t>Stanislav:</t>
        </r>
        <r>
          <rPr>
            <sz val="16"/>
            <color indexed="81"/>
            <rFont val="Tahoma"/>
            <family val="2"/>
            <charset val="204"/>
          </rPr>
          <t xml:space="preserve">
3000- TiLOW -еденично окчване (теста е с стомана 45 а не с  S700)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4300- FRONT ,REAR OF FR TR</t>
        </r>
      </text>
    </comment>
    <comment ref="D26" authorId="0">
      <text>
        <r>
          <rPr>
            <b/>
            <sz val="14"/>
            <color indexed="81"/>
            <rFont val="Tahoma"/>
            <family val="2"/>
            <charset val="204"/>
          </rPr>
          <t>Stanislav:</t>
        </r>
        <r>
          <rPr>
            <sz val="14"/>
            <color indexed="81"/>
            <rFont val="Tahoma"/>
            <family val="2"/>
            <charset val="204"/>
          </rPr>
          <t xml:space="preserve">
5000- MIDDLE BAR OF FR TR 
</t>
        </r>
      </text>
    </comment>
    <comment ref="C166" authorId="0">
      <text>
        <r>
          <rPr>
            <b/>
            <sz val="14"/>
            <color indexed="81"/>
            <rFont val="Tahoma"/>
            <family val="2"/>
          </rPr>
          <t>формулат ае различна за 2 системи които се огъват</t>
        </r>
      </text>
    </comment>
  </commentList>
</comments>
</file>

<file path=xl/sharedStrings.xml><?xml version="1.0" encoding="utf-8"?>
<sst xmlns="http://schemas.openxmlformats.org/spreadsheetml/2006/main" count="713" uniqueCount="165">
  <si>
    <t>b</t>
  </si>
  <si>
    <t>k</t>
  </si>
  <si>
    <t>b/2</t>
  </si>
  <si>
    <t>sin b/2</t>
  </si>
  <si>
    <t>d</t>
  </si>
  <si>
    <t>2c</t>
  </si>
  <si>
    <t>e=a/2</t>
  </si>
  <si>
    <t>sin(e)</t>
  </si>
  <si>
    <t>c=sin(b/2)*d</t>
  </si>
  <si>
    <t>f=sin(e)*2c</t>
  </si>
  <si>
    <t>g center of  mass -x</t>
  </si>
  <si>
    <t>h=g+f</t>
  </si>
  <si>
    <t>center of mass X</t>
  </si>
  <si>
    <t>a-angle</t>
  </si>
  <si>
    <t>a</t>
  </si>
  <si>
    <t>L</t>
  </si>
  <si>
    <t>G</t>
  </si>
  <si>
    <t>kg</t>
  </si>
  <si>
    <t xml:space="preserve">G </t>
  </si>
  <si>
    <t xml:space="preserve">L </t>
  </si>
  <si>
    <t>destroying force, kg</t>
  </si>
  <si>
    <t>Fa=((L-a)/L)*G</t>
  </si>
  <si>
    <t>Fb=(a/L)*G</t>
  </si>
  <si>
    <t>enter the value of a-angle</t>
  </si>
  <si>
    <t>front</t>
  </si>
  <si>
    <t>rear</t>
  </si>
  <si>
    <t>1 point-one motor</t>
  </si>
  <si>
    <t>Weight total:</t>
  </si>
  <si>
    <t>L(2motors)=</t>
  </si>
  <si>
    <t>2 motors, kg</t>
  </si>
  <si>
    <t>front motor</t>
  </si>
  <si>
    <t>rear motor</t>
  </si>
  <si>
    <t>A</t>
  </si>
  <si>
    <t>B</t>
  </si>
  <si>
    <t>C</t>
  </si>
  <si>
    <t>D</t>
  </si>
  <si>
    <t>E</t>
  </si>
  <si>
    <t>enter the number of cabinets from 1 up to 24</t>
  </si>
  <si>
    <t>enter the number of cabinets from 1 up to 12</t>
  </si>
  <si>
    <t>a - общ ъгъл</t>
  </si>
  <si>
    <t>sin t</t>
  </si>
  <si>
    <t>m= sin t *n(const)</t>
  </si>
  <si>
    <t>sin r</t>
  </si>
  <si>
    <t>p= sin r *q(const)</t>
  </si>
  <si>
    <t xml:space="preserve">g - тегло на боксожете под тази </t>
  </si>
  <si>
    <t>L=m+n</t>
  </si>
  <si>
    <t>z- център на тежест на боксовете след него спрямо първата колона</t>
  </si>
  <si>
    <t>J=x-p</t>
  </si>
  <si>
    <t>A=z-J</t>
  </si>
  <si>
    <t>Fa=((L-A)/L)*G</t>
  </si>
  <si>
    <t>Fb=(A/L)*G</t>
  </si>
  <si>
    <t>the real angle between the cabinets when pining in the groundstacking hole</t>
  </si>
  <si>
    <t>L=m+p</t>
  </si>
  <si>
    <t xml:space="preserve">x= (SUM Gi*xi)/G
</t>
  </si>
  <si>
    <t>k - safety factor</t>
  </si>
  <si>
    <t>F</t>
  </si>
  <si>
    <t>H</t>
  </si>
  <si>
    <t>I</t>
  </si>
  <si>
    <t>J</t>
  </si>
  <si>
    <t>K</t>
  </si>
  <si>
    <t>M</t>
  </si>
  <si>
    <t>kg.</t>
  </si>
  <si>
    <t>b=k+a</t>
  </si>
  <si>
    <t>ОБЩ ЪГЪЛ</t>
  </si>
  <si>
    <t>center  om mass</t>
  </si>
  <si>
    <t>from 0 to 8</t>
  </si>
  <si>
    <t>ЦЕНТЪР НА ТЕЖЕСТ НА СИСТЕМАТА</t>
  </si>
  <si>
    <t xml:space="preserve">L(2motors) with exbar in front </t>
  </si>
  <si>
    <t>L(2motors) 
with exbar  at the back</t>
  </si>
  <si>
    <t xml:space="preserve">g - тегло на боксовете под този </t>
  </si>
  <si>
    <t>A LA 12B =z-J</t>
  </si>
  <si>
    <t>САМО ЗА LA 12 B+ LA 12</t>
  </si>
  <si>
    <t>G
g LA 12B+LA 12 - тегло на боксожете под тази +LA12</t>
  </si>
  <si>
    <t>ALA 12B+la12 =x-J</t>
  </si>
  <si>
    <t>A LA 12B=z-J</t>
  </si>
  <si>
    <t>x LA 12</t>
  </si>
  <si>
    <t>L(2motors) 
with exbar in front or at the back</t>
  </si>
  <si>
    <t>от тук на долу, ако AJ е отрицателно стойността на клетката да е 0.3, ако е положително да е нула</t>
  </si>
  <si>
    <t>J=x-m</t>
  </si>
  <si>
    <t>L(2motors) 
with exbar in back</t>
  </si>
  <si>
    <t>L(2motors) 
with exbar in front</t>
  </si>
  <si>
    <t>2 points-one motor
with EXBAR 12</t>
  </si>
  <si>
    <t>САМО ЗА LA 12+LA 12B</t>
  </si>
  <si>
    <t xml:space="preserve">g  - тегло на боксожете под тази </t>
  </si>
  <si>
    <t>A LA 12-B+LA 12 =x-J</t>
  </si>
  <si>
    <t>mm</t>
  </si>
  <si>
    <t>with one shackle</t>
  </si>
  <si>
    <t>with two shackles</t>
  </si>
  <si>
    <t>using one shackle</t>
  </si>
  <si>
    <t>front bar</t>
  </si>
  <si>
    <t>middle bar</t>
  </si>
  <si>
    <t>rear bar</t>
  </si>
  <si>
    <t>FR TR</t>
  </si>
  <si>
    <t>a(2motors)=a-24</t>
  </si>
  <si>
    <t>ОБЩО ТЕГЛО НА СИ-ТА С FR TR</t>
  </si>
  <si>
    <t>enter the angle of frame FR TR/ FRT TR</t>
  </si>
  <si>
    <t>TiRAY</t>
  </si>
  <si>
    <t>k - safety factor
of FR TR/ FRT TR</t>
  </si>
  <si>
    <t>t= 70.63-a</t>
  </si>
  <si>
    <t>r= 48.46+a</t>
  </si>
  <si>
    <t>2 points-one motor
without EXBAR TR</t>
  </si>
  <si>
    <t>without EXBAR TR</t>
  </si>
  <si>
    <t>2 points-one motor
with EXBAR TR</t>
  </si>
  <si>
    <t>with EXBAR TR at the back</t>
  </si>
  <si>
    <t>with EXBAR TR at the front</t>
  </si>
  <si>
    <t xml:space="preserve"> - 6;-4;-2;0;2;4;6</t>
  </si>
  <si>
    <t>0;1;3;5;7;9;12</t>
  </si>
  <si>
    <t xml:space="preserve"> ground stack -0;1;4;5;9;12</t>
  </si>
  <si>
    <t>ТАЗИ КОЛОНА ДА Я МАХНА</t>
  </si>
  <si>
    <t>destroying force TiRAY</t>
  </si>
  <si>
    <t>destroying force   TiLOW, kg</t>
  </si>
  <si>
    <t>destroying force FR TR</t>
  </si>
  <si>
    <t>G , TiLOW</t>
  </si>
  <si>
    <t>L , TiLOW</t>
  </si>
  <si>
    <t>G , TiRAY</t>
  </si>
  <si>
    <t>L, TiRAY</t>
  </si>
  <si>
    <t>k - safety factorof FR TR</t>
  </si>
  <si>
    <t>enter the angle of frame FR TR</t>
  </si>
  <si>
    <t>TiLOW</t>
  </si>
  <si>
    <t>t= 50.0025336°+a</t>
  </si>
  <si>
    <t>r= 55.5829435-a</t>
  </si>
  <si>
    <t>САМО ЗА TiLOW+ TIRAY</t>
  </si>
  <si>
    <t xml:space="preserve">g TiLOW - тегло на боксожете под тази </t>
  </si>
  <si>
    <t>k - safety factor 
of FR TR</t>
  </si>
  <si>
    <t>Total weight includes: FRT TR (or FR TR) (6 kg), EXBAR TR (1.5 kg), Main LS Cables (10 kg)</t>
  </si>
  <si>
    <t>Total weight includes: FR TR (6 kg), EXBAR TR (1.5 kg), Main LS Cables (10 kg)</t>
  </si>
  <si>
    <t>Total weight includes: 2xFR TR (6 kg), EXBAR TR (1.5 kg), Main LS Cables (20 kg)</t>
  </si>
  <si>
    <t>destroying force, kg TiRAY</t>
  </si>
  <si>
    <t>destroying force, kg TiLOW</t>
  </si>
  <si>
    <t>destroying force, kg FR TR</t>
  </si>
  <si>
    <t>G
TiLOW+TiRAY - тегло на боксожете под тази +2X FR TR</t>
  </si>
  <si>
    <t>A TiLOW+TiRAY+TiLOW =x-J</t>
  </si>
  <si>
    <t>САМО ЗА TiLOW+TiRAY</t>
  </si>
  <si>
    <t xml:space="preserve"> - 12,-10,-8,-7,-4.-3.0.2.3.5.6</t>
  </si>
  <si>
    <t>САМО ЗА TiRAY+TiLOW</t>
  </si>
  <si>
    <t>G
g TiLOW+TiRAY - тегло на боксожете под тази +TiRAY</t>
  </si>
  <si>
    <t>Total weight includes: 3xFR TR (6 kg), EXBAR TR (1.5 kg),SA TR (0.5 kg) Main LS Cables (20 kg)</t>
  </si>
  <si>
    <t>k - safety factor of FR TR</t>
  </si>
  <si>
    <t>от тук на долу, ако силата отзад е отрицателно стойността на клетката да е 0.3, ако е положително да е нула</t>
  </si>
  <si>
    <t>Permissible values of a-angle</t>
  </si>
  <si>
    <t>enter the angle of frame FR TR from   -12 up to 6 deg.</t>
  </si>
  <si>
    <t>x TiRAY</t>
  </si>
  <si>
    <t>координата на предната точка на последната колона;
пресмятане на отместването  на център на тежеста на следващата система(за да се сумират двете системи)</t>
  </si>
  <si>
    <t>ъгъл</t>
  </si>
  <si>
    <t>j=cosv*n</t>
  </si>
  <si>
    <t>q=z-j</t>
  </si>
  <si>
    <t>v, TiLOW</t>
  </si>
  <si>
    <t>n, TiLOW</t>
  </si>
  <si>
    <t>най-долната колона</t>
  </si>
  <si>
    <t>kn-a</t>
  </si>
  <si>
    <t>cos(kn-a)</t>
  </si>
  <si>
    <t>x=cos(kn-a)*n</t>
  </si>
  <si>
    <t>h=x</t>
  </si>
  <si>
    <t>kn, TiLOW</t>
  </si>
  <si>
    <t>v, TiRAY</t>
  </si>
  <si>
    <t>n, TiRAY</t>
  </si>
  <si>
    <t>z- център на тежест на боксовете след него спрямо първата колона от горния array(началото на ккординатната система)</t>
  </si>
  <si>
    <t>z- център на тежест на боксовете след него спрямо първата колона от най -горния array(началото на ккординатната система)</t>
  </si>
  <si>
    <t>Lx</t>
  </si>
  <si>
    <t>Lo</t>
  </si>
  <si>
    <t>Ao</t>
  </si>
  <si>
    <t>a(2motors)with 
exbar in front =a+307.5</t>
  </si>
  <si>
    <t>пресмятане на разстоянието между центъра на тежеста спрямо първия отвор за шегел на фрейма</t>
  </si>
  <si>
    <t>max отпред</t>
  </si>
  <si>
    <t>max отзад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</si>
</sst>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\,"/>
  </numFmts>
  <fonts count="1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 Narrow"/>
      <family val="2"/>
      <charset val="204"/>
    </font>
    <font>
      <sz val="12"/>
      <name val="Arial"/>
      <family val="2"/>
    </font>
    <font>
      <b/>
      <sz val="12"/>
      <name val="Arial Narrow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name val="Arial Narrow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20"/>
      <name val="Arial Narrow"/>
      <family val="2"/>
    </font>
    <font>
      <b/>
      <sz val="12"/>
      <name val="Arial Narrow"/>
      <family val="2"/>
      <charset val="204"/>
    </font>
    <font>
      <b/>
      <sz val="12"/>
      <name val="Arial"/>
      <family val="2"/>
    </font>
    <font>
      <b/>
      <sz val="12"/>
      <color indexed="11"/>
      <name val="Arial"/>
      <family val="2"/>
    </font>
    <font>
      <b/>
      <sz val="12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9"/>
      <name val="Arial"/>
      <family val="2"/>
    </font>
    <font>
      <b/>
      <sz val="12"/>
      <color indexed="57"/>
      <name val="Arial Narrow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sz val="12"/>
      <color indexed="11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24"/>
      <name val="Arial Narrow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sz val="12"/>
      <color indexed="10"/>
      <name val="Arial"/>
      <family val="2"/>
    </font>
    <font>
      <b/>
      <sz val="12"/>
      <color indexed="16"/>
      <name val="Arial"/>
      <family val="2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indexed="57"/>
      <name val="Arial"/>
      <family val="2"/>
    </font>
    <font>
      <b/>
      <u/>
      <sz val="14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color indexed="57"/>
      <name val="Arial"/>
      <family val="2"/>
    </font>
    <font>
      <b/>
      <sz val="12"/>
      <name val="Arial Black"/>
      <family val="2"/>
    </font>
    <font>
      <b/>
      <sz val="14"/>
      <color indexed="12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4"/>
      <color indexed="10"/>
      <name val="Arial"/>
      <family val="2"/>
    </font>
    <font>
      <b/>
      <sz val="14"/>
      <color indexed="48"/>
      <name val="Arial"/>
      <family val="2"/>
    </font>
    <font>
      <b/>
      <sz val="14"/>
      <color indexed="16"/>
      <name val="Arial"/>
      <family val="2"/>
    </font>
    <font>
      <b/>
      <sz val="16"/>
      <color indexed="10"/>
      <name val="Arial"/>
      <family val="2"/>
    </font>
    <font>
      <b/>
      <u/>
      <sz val="16"/>
      <color indexed="57"/>
      <name val="Arial"/>
      <family val="2"/>
    </font>
    <font>
      <b/>
      <u/>
      <sz val="16"/>
      <name val="Arial"/>
      <family val="2"/>
    </font>
    <font>
      <b/>
      <sz val="10"/>
      <color indexed="14"/>
      <name val="Arial"/>
      <family val="2"/>
    </font>
    <font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u/>
      <sz val="16"/>
      <color indexed="10"/>
      <name val="Arial"/>
      <family val="2"/>
    </font>
    <font>
      <sz val="6"/>
      <name val="Arial"/>
      <family val="2"/>
    </font>
    <font>
      <b/>
      <sz val="16"/>
      <color indexed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48"/>
      <name val="Arial"/>
      <family val="2"/>
    </font>
    <font>
      <sz val="24"/>
      <name val="Arial"/>
      <family val="2"/>
    </font>
    <font>
      <b/>
      <sz val="14"/>
      <color indexed="9"/>
      <name val="Arial Narrow"/>
      <family val="2"/>
    </font>
    <font>
      <b/>
      <sz val="12"/>
      <color indexed="30"/>
      <name val="Arial"/>
      <family val="2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12"/>
      <color rgb="FFFF33CC"/>
      <name val="Arial"/>
      <family val="2"/>
    </font>
    <font>
      <sz val="10"/>
      <color rgb="FFFF33CC"/>
      <name val="Arial"/>
      <family val="2"/>
    </font>
    <font>
      <b/>
      <sz val="11"/>
      <color rgb="FFFA7D00"/>
      <name val="Calibri"/>
      <family val="2"/>
      <charset val="204"/>
      <scheme val="minor"/>
    </font>
    <font>
      <sz val="14"/>
      <color indexed="57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2"/>
      <color rgb="FFFF0000"/>
      <name val="Arial"/>
      <family val="2"/>
      <charset val="204"/>
    </font>
    <font>
      <b/>
      <sz val="9"/>
      <color indexed="81"/>
      <name val="Tahoma"/>
      <family val="2"/>
    </font>
    <font>
      <b/>
      <sz val="16"/>
      <color theme="1" tint="0.499984740745262"/>
      <name val="Arial"/>
      <family val="2"/>
    </font>
    <font>
      <sz val="16"/>
      <color theme="1" tint="0.499984740745262"/>
      <name val="Arial"/>
      <family val="2"/>
    </font>
    <font>
      <sz val="18"/>
      <color rgb="FFFF0000"/>
      <name val="Arial"/>
      <family val="2"/>
    </font>
    <font>
      <b/>
      <sz val="14"/>
      <color theme="1" tint="0.499984740745262"/>
      <name val="Arial"/>
      <family val="2"/>
    </font>
    <font>
      <sz val="14"/>
      <color theme="1" tint="0.499984740745262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indexed="12"/>
      <name val="Arial Narrow"/>
      <family val="2"/>
    </font>
    <font>
      <b/>
      <sz val="14"/>
      <color indexed="17"/>
      <name val="Arial Narrow"/>
      <family val="2"/>
    </font>
    <font>
      <b/>
      <sz val="14"/>
      <color indexed="53"/>
      <name val="Arial Narrow"/>
      <family val="2"/>
    </font>
    <font>
      <b/>
      <sz val="16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4"/>
      <color rgb="FF0070C0"/>
      <name val="Arial"/>
      <family val="2"/>
    </font>
    <font>
      <sz val="18"/>
      <name val="Arial"/>
      <family val="2"/>
    </font>
    <font>
      <b/>
      <sz val="14"/>
      <color theme="4" tint="-0.249977111117893"/>
      <name val="Arial"/>
      <family val="2"/>
    </font>
    <font>
      <b/>
      <u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u/>
      <sz val="14"/>
      <color rgb="FF0070C0"/>
      <name val="Arial"/>
      <family val="2"/>
    </font>
    <font>
      <b/>
      <sz val="14"/>
      <color indexed="17"/>
      <name val="Arial"/>
      <family val="2"/>
    </font>
    <font>
      <b/>
      <sz val="14"/>
      <color indexed="11"/>
      <name val="Arial"/>
      <family val="2"/>
    </font>
    <font>
      <b/>
      <sz val="14"/>
      <color indexed="53"/>
      <name val="Arial"/>
      <family val="2"/>
    </font>
    <font>
      <b/>
      <sz val="18"/>
      <color theme="0" tint="-4.9989318521683403E-2"/>
      <name val="Arial"/>
      <family val="2"/>
    </font>
    <font>
      <b/>
      <sz val="18"/>
      <color indexed="11"/>
      <name val="Arial"/>
      <family val="2"/>
    </font>
    <font>
      <b/>
      <sz val="18"/>
      <name val="Arial"/>
      <family val="2"/>
    </font>
    <font>
      <sz val="16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Up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33CC"/>
      </top>
      <bottom/>
      <diagonal/>
    </border>
    <border>
      <left style="thick">
        <color rgb="FFFF33CC"/>
      </left>
      <right/>
      <top/>
      <bottom/>
      <diagonal/>
    </border>
    <border>
      <left/>
      <right style="thick">
        <color rgb="FFFF33CC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3" fillId="0" borderId="0"/>
    <xf numFmtId="0" fontId="1" fillId="0" borderId="0"/>
    <xf numFmtId="0" fontId="78" fillId="0" borderId="29"/>
  </cellStyleXfs>
  <cellXfs count="807">
    <xf numFmtId="0" fontId="0" fillId="0" borderId="0" xfId="0"/>
    <xf numFmtId="0" fontId="0" fillId="0" borderId="0" xfId="0" applyFill="1" applyAlignment="1" applyProtection="1">
      <alignment horizontal="center"/>
    </xf>
    <xf numFmtId="0" fontId="0" fillId="0" borderId="0" xfId="0" applyProtection="1"/>
    <xf numFmtId="0" fontId="5" fillId="0" borderId="0" xfId="0" applyFont="1" applyFill="1" applyProtection="1"/>
    <xf numFmtId="0" fontId="0" fillId="0" borderId="0" xfId="0" applyFill="1" applyProtection="1"/>
    <xf numFmtId="0" fontId="25" fillId="0" borderId="0" xfId="0" applyFont="1" applyProtection="1"/>
    <xf numFmtId="0" fontId="62" fillId="0" borderId="0" xfId="0" applyFont="1" applyProtection="1"/>
    <xf numFmtId="0" fontId="62" fillId="0" borderId="0" xfId="2" applyFont="1" applyProtection="1"/>
    <xf numFmtId="0" fontId="61" fillId="0" borderId="0" xfId="2" applyFont="1" applyBorder="1" applyAlignment="1" applyProtection="1">
      <alignment horizontal="right"/>
    </xf>
    <xf numFmtId="0" fontId="61" fillId="0" borderId="0" xfId="2" applyFont="1" applyBorder="1" applyProtection="1"/>
    <xf numFmtId="0" fontId="61" fillId="0" borderId="0" xfId="2" applyFont="1" applyBorder="1" applyAlignment="1" applyProtection="1">
      <alignment horizontal="left"/>
    </xf>
    <xf numFmtId="0" fontId="62" fillId="0" borderId="0" xfId="2" applyFont="1" applyBorder="1" applyProtection="1"/>
    <xf numFmtId="2" fontId="1" fillId="0" borderId="0" xfId="2" applyNumberFormat="1" applyProtection="1"/>
    <xf numFmtId="0" fontId="1" fillId="0" borderId="0" xfId="2" applyProtection="1"/>
    <xf numFmtId="0" fontId="0" fillId="0" borderId="0" xfId="0" applyBorder="1" applyProtection="1"/>
    <xf numFmtId="0" fontId="5" fillId="0" borderId="0" xfId="0" applyFont="1" applyFill="1" applyBorder="1" applyProtection="1"/>
    <xf numFmtId="0" fontId="0" fillId="0" borderId="0" xfId="0" applyFill="1" applyBorder="1" applyProtection="1"/>
    <xf numFmtId="0" fontId="25" fillId="0" borderId="0" xfId="0" applyFont="1" applyBorder="1" applyProtection="1"/>
    <xf numFmtId="0" fontId="3" fillId="0" borderId="0" xfId="2" applyFont="1" applyBorder="1" applyProtection="1"/>
    <xf numFmtId="0" fontId="47" fillId="12" borderId="8" xfId="0" applyFont="1" applyFill="1" applyBorder="1" applyProtection="1"/>
    <xf numFmtId="0" fontId="0" fillId="12" borderId="0" xfId="0" applyFill="1" applyProtection="1"/>
    <xf numFmtId="0" fontId="38" fillId="12" borderId="8" xfId="0" applyFont="1" applyFill="1" applyBorder="1" applyAlignment="1" applyProtection="1">
      <alignment horizontal="center"/>
    </xf>
    <xf numFmtId="0" fontId="3" fillId="0" borderId="0" xfId="2" applyFont="1" applyProtection="1"/>
    <xf numFmtId="0" fontId="48" fillId="12" borderId="8" xfId="0" applyFont="1" applyFill="1" applyBorder="1" applyAlignment="1" applyProtection="1">
      <alignment wrapText="1"/>
    </xf>
    <xf numFmtId="0" fontId="54" fillId="12" borderId="8" xfId="0" applyFont="1" applyFill="1" applyBorder="1" applyAlignment="1" applyProtection="1">
      <alignment horizontal="center"/>
    </xf>
    <xf numFmtId="0" fontId="65" fillId="12" borderId="8" xfId="0" applyFont="1" applyFill="1" applyBorder="1" applyAlignment="1" applyProtection="1">
      <alignment horizontal="center"/>
    </xf>
    <xf numFmtId="0" fontId="10" fillId="12" borderId="8" xfId="0" applyFont="1" applyFill="1" applyBorder="1" applyAlignment="1" applyProtection="1">
      <alignment wrapText="1"/>
    </xf>
    <xf numFmtId="0" fontId="35" fillId="0" borderId="0" xfId="0" applyFont="1" applyFill="1" applyProtection="1"/>
    <xf numFmtId="0" fontId="26" fillId="0" borderId="0" xfId="0" applyFont="1" applyFill="1" applyBorder="1" applyAlignment="1" applyProtection="1">
      <alignment horizontal="center"/>
    </xf>
    <xf numFmtId="0" fontId="35" fillId="12" borderId="8" xfId="0" applyFont="1" applyFill="1" applyBorder="1" applyProtection="1"/>
    <xf numFmtId="0" fontId="39" fillId="12" borderId="8" xfId="0" applyFont="1" applyFill="1" applyBorder="1" applyProtection="1"/>
    <xf numFmtId="0" fontId="10" fillId="0" borderId="0" xfId="0" applyFont="1" applyFill="1" applyBorder="1" applyAlignment="1" applyProtection="1">
      <alignment wrapText="1"/>
    </xf>
    <xf numFmtId="0" fontId="35" fillId="12" borderId="8" xfId="0" applyFont="1" applyFill="1" applyBorder="1" applyAlignment="1" applyProtection="1">
      <alignment horizontal="center" wrapText="1"/>
    </xf>
    <xf numFmtId="0" fontId="82" fillId="13" borderId="8" xfId="2" applyFont="1" applyFill="1" applyBorder="1" applyProtection="1"/>
    <xf numFmtId="0" fontId="82" fillId="13" borderId="0" xfId="2" applyFont="1" applyFill="1" applyBorder="1" applyProtection="1"/>
    <xf numFmtId="0" fontId="81" fillId="13" borderId="8" xfId="0" applyFont="1" applyFill="1" applyBorder="1" applyProtection="1"/>
    <xf numFmtId="0" fontId="81" fillId="13" borderId="0" xfId="0" applyFont="1" applyFill="1" applyBorder="1" applyProtection="1"/>
    <xf numFmtId="0" fontId="35" fillId="12" borderId="0" xfId="0" applyFont="1" applyFill="1" applyBorder="1" applyProtection="1"/>
    <xf numFmtId="0" fontId="35" fillId="12" borderId="8" xfId="0" applyFont="1" applyFill="1" applyBorder="1" applyAlignment="1" applyProtection="1">
      <alignment horizontal="right"/>
    </xf>
    <xf numFmtId="0" fontId="76" fillId="0" borderId="25" xfId="0" applyFont="1" applyFill="1" applyBorder="1" applyAlignment="1" applyProtection="1">
      <alignment horizontal="center"/>
    </xf>
    <xf numFmtId="0" fontId="77" fillId="0" borderId="25" xfId="0" applyFont="1" applyFill="1" applyBorder="1" applyProtection="1"/>
    <xf numFmtId="0" fontId="77" fillId="0" borderId="0" xfId="0" applyFont="1" applyFill="1" applyBorder="1" applyProtection="1"/>
    <xf numFmtId="0" fontId="5" fillId="0" borderId="26" xfId="0" applyFont="1" applyFill="1" applyBorder="1" applyProtection="1"/>
    <xf numFmtId="0" fontId="0" fillId="0" borderId="27" xfId="0" applyFill="1" applyBorder="1" applyProtection="1"/>
    <xf numFmtId="0" fontId="35" fillId="0" borderId="0" xfId="0" applyFont="1" applyFill="1" applyBorder="1" applyProtection="1"/>
    <xf numFmtId="0" fontId="25" fillId="0" borderId="0" xfId="0" applyFont="1" applyFill="1" applyBorder="1" applyProtection="1"/>
    <xf numFmtId="0" fontId="11" fillId="0" borderId="0" xfId="0" applyNumberFormat="1" applyFont="1" applyFill="1" applyBorder="1" applyAlignment="1" applyProtection="1"/>
    <xf numFmtId="0" fontId="25" fillId="0" borderId="0" xfId="0" applyFont="1" applyFill="1" applyProtection="1"/>
    <xf numFmtId="0" fontId="11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2" applyBorder="1" applyProtection="1"/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Protection="1"/>
    <xf numFmtId="0" fontId="1" fillId="0" borderId="0" xfId="2" applyFill="1" applyProtection="1"/>
    <xf numFmtId="0" fontId="18" fillId="0" borderId="0" xfId="2" applyFont="1" applyFill="1" applyBorder="1" applyProtection="1"/>
    <xf numFmtId="0" fontId="46" fillId="0" borderId="0" xfId="0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/>
    </xf>
    <xf numFmtId="0" fontId="3" fillId="12" borderId="0" xfId="2" applyFont="1" applyFill="1" applyProtection="1"/>
    <xf numFmtId="0" fontId="3" fillId="12" borderId="0" xfId="2" applyFont="1" applyFill="1" applyAlignment="1" applyProtection="1">
      <alignment horizontal="center"/>
    </xf>
    <xf numFmtId="0" fontId="1" fillId="0" borderId="0" xfId="2" applyAlignment="1" applyProtection="1">
      <alignment horizontal="right"/>
    </xf>
    <xf numFmtId="0" fontId="90" fillId="0" borderId="32" xfId="0" applyFont="1" applyFill="1" applyBorder="1" applyAlignment="1" applyProtection="1">
      <alignment horizontal="center" vertical="center"/>
    </xf>
    <xf numFmtId="0" fontId="91" fillId="0" borderId="32" xfId="0" applyFont="1" applyBorder="1" applyAlignment="1" applyProtection="1">
      <alignment vertical="center"/>
    </xf>
    <xf numFmtId="0" fontId="5" fillId="0" borderId="32" xfId="0" applyFont="1" applyFill="1" applyBorder="1" applyProtection="1"/>
    <xf numFmtId="0" fontId="0" fillId="0" borderId="32" xfId="0" applyFill="1" applyBorder="1" applyProtection="1"/>
    <xf numFmtId="0" fontId="10" fillId="0" borderId="32" xfId="0" applyFont="1" applyFill="1" applyBorder="1" applyAlignment="1" applyProtection="1">
      <alignment wrapText="1"/>
    </xf>
    <xf numFmtId="0" fontId="17" fillId="0" borderId="0" xfId="2" applyFont="1" applyFill="1" applyBorder="1" applyProtection="1"/>
    <xf numFmtId="0" fontId="25" fillId="12" borderId="23" xfId="2" applyFont="1" applyFill="1" applyBorder="1" applyProtection="1"/>
    <xf numFmtId="0" fontId="25" fillId="12" borderId="19" xfId="2" applyFont="1" applyFill="1" applyBorder="1" applyProtection="1"/>
    <xf numFmtId="0" fontId="25" fillId="12" borderId="7" xfId="2" applyFont="1" applyFill="1" applyBorder="1" applyProtection="1"/>
    <xf numFmtId="0" fontId="25" fillId="12" borderId="11" xfId="2" applyFont="1" applyFill="1" applyBorder="1" applyProtection="1"/>
    <xf numFmtId="0" fontId="25" fillId="12" borderId="15" xfId="2" applyFont="1" applyFill="1" applyBorder="1" applyProtection="1"/>
    <xf numFmtId="0" fontId="5" fillId="0" borderId="32" xfId="0" applyFont="1" applyFill="1" applyBorder="1" applyAlignment="1" applyProtection="1">
      <alignment vertical="center"/>
    </xf>
    <xf numFmtId="0" fontId="46" fillId="0" borderId="32" xfId="0" applyFont="1" applyBorder="1" applyAlignment="1" applyProtection="1">
      <alignment vertical="center"/>
    </xf>
    <xf numFmtId="0" fontId="46" fillId="0" borderId="32" xfId="0" applyFont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vertical="center"/>
    </xf>
    <xf numFmtId="0" fontId="15" fillId="0" borderId="0" xfId="0" applyNumberFormat="1" applyFont="1" applyFill="1" applyBorder="1" applyProtection="1"/>
    <xf numFmtId="0" fontId="5" fillId="0" borderId="0" xfId="0" applyFont="1" applyProtection="1"/>
    <xf numFmtId="0" fontId="7" fillId="0" borderId="0" xfId="0" applyFont="1" applyProtection="1"/>
    <xf numFmtId="0" fontId="66" fillId="0" borderId="0" xfId="2" applyFont="1" applyProtection="1"/>
    <xf numFmtId="0" fontId="22" fillId="0" borderId="0" xfId="0" applyFont="1" applyFill="1" applyProtection="1"/>
    <xf numFmtId="0" fontId="23" fillId="0" borderId="0" xfId="0" applyFont="1" applyFill="1" applyProtection="1"/>
    <xf numFmtId="0" fontId="10" fillId="0" borderId="26" xfId="0" applyFont="1" applyFill="1" applyBorder="1" applyAlignment="1" applyProtection="1">
      <alignment wrapText="1"/>
    </xf>
    <xf numFmtId="0" fontId="26" fillId="0" borderId="27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1" fillId="0" borderId="0" xfId="2" applyFill="1" applyBorder="1" applyProtection="1"/>
    <xf numFmtId="2" fontId="0" fillId="0" borderId="0" xfId="0" applyNumberFormat="1" applyProtection="1"/>
    <xf numFmtId="0" fontId="1" fillId="0" borderId="0" xfId="2" applyFont="1" applyBorder="1" applyProtection="1"/>
    <xf numFmtId="0" fontId="24" fillId="0" borderId="0" xfId="2" applyFont="1" applyFill="1" applyBorder="1" applyProtection="1"/>
    <xf numFmtId="49" fontId="5" fillId="0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Protection="1"/>
    <xf numFmtId="0" fontId="3" fillId="0" borderId="0" xfId="0" applyFont="1" applyBorder="1" applyProtection="1"/>
    <xf numFmtId="0" fontId="3" fillId="0" borderId="0" xfId="2" applyFont="1" applyBorder="1" applyAlignment="1" applyProtection="1">
      <alignment horizontal="center"/>
    </xf>
    <xf numFmtId="0" fontId="30" fillId="6" borderId="5" xfId="0" applyNumberFormat="1" applyFont="1" applyFill="1" applyBorder="1" applyAlignment="1" applyProtection="1">
      <alignment horizontal="center" wrapText="1"/>
    </xf>
    <xf numFmtId="0" fontId="30" fillId="0" borderId="0" xfId="0" applyNumberFormat="1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49" fontId="29" fillId="12" borderId="5" xfId="0" applyNumberFormat="1" applyFont="1" applyFill="1" applyBorder="1" applyAlignment="1" applyProtection="1">
      <alignment horizontal="center" wrapText="1"/>
    </xf>
    <xf numFmtId="49" fontId="3" fillId="4" borderId="5" xfId="0" applyNumberFormat="1" applyFon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5" fillId="0" borderId="1" xfId="0" applyFont="1" applyBorder="1" applyProtection="1"/>
    <xf numFmtId="0" fontId="25" fillId="12" borderId="8" xfId="0" applyFont="1" applyFill="1" applyBorder="1" applyProtection="1"/>
    <xf numFmtId="0" fontId="25" fillId="0" borderId="0" xfId="0" applyFont="1" applyBorder="1" applyAlignment="1" applyProtection="1">
      <alignment horizontal="right"/>
    </xf>
    <xf numFmtId="0" fontId="35" fillId="0" borderId="0" xfId="0" applyFont="1" applyProtection="1"/>
    <xf numFmtId="2" fontId="12" fillId="0" borderId="0" xfId="0" applyNumberFormat="1" applyFont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49" fontId="29" fillId="0" borderId="0" xfId="0" applyNumberFormat="1" applyFont="1" applyFill="1" applyBorder="1" applyAlignment="1" applyProtection="1">
      <alignment horizontal="center" wrapText="1"/>
    </xf>
    <xf numFmtId="49" fontId="35" fillId="4" borderId="15" xfId="0" applyNumberFormat="1" applyFont="1" applyFill="1" applyBorder="1" applyAlignment="1" applyProtection="1">
      <alignment horizontal="center" wrapText="1"/>
    </xf>
    <xf numFmtId="49" fontId="35" fillId="4" borderId="5" xfId="0" applyNumberFormat="1" applyFont="1" applyFill="1" applyBorder="1" applyAlignment="1" applyProtection="1">
      <alignment horizontal="center" wrapText="1"/>
    </xf>
    <xf numFmtId="49" fontId="35" fillId="4" borderId="12" xfId="0" applyNumberFormat="1" applyFont="1" applyFill="1" applyBorder="1" applyAlignment="1" applyProtection="1">
      <alignment horizontal="center" wrapText="1"/>
    </xf>
    <xf numFmtId="49" fontId="35" fillId="4" borderId="6" xfId="0" applyNumberFormat="1" applyFont="1" applyFill="1" applyBorder="1" applyAlignment="1" applyProtection="1">
      <alignment horizontal="center" wrapText="1"/>
    </xf>
    <xf numFmtId="0" fontId="3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13" fillId="0" borderId="0" xfId="0" applyNumberFormat="1" applyFont="1" applyBorder="1" applyProtection="1"/>
    <xf numFmtId="0" fontId="5" fillId="0" borderId="1" xfId="0" applyFont="1" applyFill="1" applyBorder="1" applyAlignment="1" applyProtection="1"/>
    <xf numFmtId="0" fontId="0" fillId="0" borderId="1" xfId="0" applyFill="1" applyBorder="1" applyProtection="1"/>
    <xf numFmtId="0" fontId="1" fillId="0" borderId="0" xfId="2" applyFont="1" applyFill="1" applyAlignment="1" applyProtection="1">
      <alignment horizontal="center"/>
    </xf>
    <xf numFmtId="0" fontId="35" fillId="11" borderId="17" xfId="0" applyFont="1" applyFill="1" applyBorder="1" applyProtection="1"/>
    <xf numFmtId="0" fontId="35" fillId="11" borderId="0" xfId="0" applyFont="1" applyFill="1" applyBorder="1" applyProtection="1"/>
    <xf numFmtId="0" fontId="25" fillId="0" borderId="18" xfId="0" applyFont="1" applyBorder="1" applyAlignment="1" applyProtection="1">
      <alignment horizontal="center" wrapText="1"/>
    </xf>
    <xf numFmtId="0" fontId="25" fillId="0" borderId="0" xfId="0" applyFont="1" applyBorder="1" applyAlignment="1" applyProtection="1">
      <alignment horizontal="center" wrapText="1"/>
    </xf>
    <xf numFmtId="0" fontId="51" fillId="0" borderId="0" xfId="0" applyFont="1" applyProtection="1"/>
    <xf numFmtId="0" fontId="0" fillId="0" borderId="0" xfId="0" applyBorder="1" applyAlignment="1" applyProtection="1">
      <alignment horizontal="center" wrapText="1"/>
    </xf>
    <xf numFmtId="0" fontId="7" fillId="0" borderId="0" xfId="0" applyFont="1" applyFill="1" applyBorder="1" applyProtection="1"/>
    <xf numFmtId="2" fontId="5" fillId="14" borderId="4" xfId="0" applyNumberFormat="1" applyFont="1" applyFill="1" applyBorder="1" applyAlignment="1" applyProtection="1"/>
    <xf numFmtId="2" fontId="5" fillId="14" borderId="20" xfId="0" applyNumberFormat="1" applyFont="1" applyFill="1" applyBorder="1" applyAlignment="1" applyProtection="1"/>
    <xf numFmtId="49" fontId="5" fillId="14" borderId="20" xfId="0" applyNumberFormat="1" applyFont="1" applyFill="1" applyBorder="1" applyAlignment="1" applyProtection="1">
      <alignment horizontal="center" wrapText="1"/>
    </xf>
    <xf numFmtId="49" fontId="5" fillId="14" borderId="5" xfId="0" applyNumberFormat="1" applyFont="1" applyFill="1" applyBorder="1" applyAlignment="1" applyProtection="1">
      <alignment horizontal="center" wrapText="1"/>
    </xf>
    <xf numFmtId="0" fontId="25" fillId="14" borderId="24" xfId="0" applyFont="1" applyFill="1" applyBorder="1" applyProtection="1"/>
    <xf numFmtId="0" fontId="25" fillId="14" borderId="28" xfId="0" applyFont="1" applyFill="1" applyBorder="1" applyProtection="1"/>
    <xf numFmtId="0" fontId="25" fillId="14" borderId="11" xfId="0" applyFont="1" applyFill="1" applyBorder="1" applyProtection="1"/>
    <xf numFmtId="0" fontId="35" fillId="14" borderId="11" xfId="0" applyFont="1" applyFill="1" applyBorder="1" applyProtection="1"/>
    <xf numFmtId="0" fontId="25" fillId="14" borderId="15" xfId="0" applyFont="1" applyFill="1" applyBorder="1" applyAlignment="1" applyProtection="1">
      <alignment horizontal="center" wrapText="1"/>
    </xf>
    <xf numFmtId="0" fontId="25" fillId="14" borderId="11" xfId="0" applyFont="1" applyFill="1" applyBorder="1" applyAlignment="1" applyProtection="1">
      <alignment horizontal="center" wrapText="1"/>
    </xf>
    <xf numFmtId="0" fontId="25" fillId="14" borderId="0" xfId="0" applyFont="1" applyFill="1" applyBorder="1" applyAlignment="1" applyProtection="1">
      <alignment horizontal="center" wrapText="1"/>
    </xf>
    <xf numFmtId="0" fontId="25" fillId="14" borderId="21" xfId="0" applyFont="1" applyFill="1" applyBorder="1" applyAlignment="1" applyProtection="1">
      <alignment horizontal="center" wrapText="1"/>
    </xf>
    <xf numFmtId="0" fontId="1" fillId="13" borderId="0" xfId="2" applyFill="1" applyBorder="1" applyAlignment="1" applyProtection="1">
      <alignment horizontal="center" wrapText="1"/>
    </xf>
    <xf numFmtId="0" fontId="25" fillId="14" borderId="0" xfId="0" applyFont="1" applyFill="1" applyBorder="1" applyProtection="1"/>
    <xf numFmtId="0" fontId="7" fillId="11" borderId="8" xfId="0" applyFont="1" applyFill="1" applyBorder="1" applyAlignment="1" applyProtection="1">
      <alignment horizontal="center" wrapText="1"/>
    </xf>
    <xf numFmtId="0" fontId="0" fillId="11" borderId="21" xfId="0" applyFill="1" applyBorder="1" applyAlignment="1" applyProtection="1">
      <alignment horizontal="center" wrapText="1"/>
    </xf>
    <xf numFmtId="0" fontId="35" fillId="14" borderId="0" xfId="0" applyFont="1" applyFill="1" applyProtection="1"/>
    <xf numFmtId="2" fontId="52" fillId="14" borderId="0" xfId="0" applyNumberFormat="1" applyFont="1" applyFill="1" applyAlignment="1" applyProtection="1">
      <alignment horizontal="center"/>
    </xf>
    <xf numFmtId="2" fontId="52" fillId="14" borderId="20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/>
    <xf numFmtId="0" fontId="5" fillId="0" borderId="5" xfId="0" applyFont="1" applyFill="1" applyBorder="1" applyAlignment="1" applyProtection="1"/>
    <xf numFmtId="164" fontId="5" fillId="2" borderId="7" xfId="0" applyNumberFormat="1" applyFont="1" applyFill="1" applyBorder="1" applyAlignment="1" applyProtection="1">
      <alignment horizontal="center"/>
    </xf>
    <xf numFmtId="164" fontId="5" fillId="2" borderId="11" xfId="0" applyNumberFormat="1" applyFont="1" applyFill="1" applyBorder="1" applyAlignment="1" applyProtection="1">
      <alignment horizontal="center"/>
    </xf>
    <xf numFmtId="164" fontId="5" fillId="2" borderId="15" xfId="0" applyNumberFormat="1" applyFont="1" applyFill="1" applyBorder="1" applyAlignment="1" applyProtection="1">
      <alignment horizontal="center"/>
    </xf>
    <xf numFmtId="0" fontId="80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1" fillId="13" borderId="8" xfId="2" applyFill="1" applyBorder="1" applyAlignment="1" applyProtection="1">
      <alignment wrapText="1"/>
    </xf>
    <xf numFmtId="0" fontId="25" fillId="0" borderId="2" xfId="0" applyFont="1" applyBorder="1" applyProtection="1"/>
    <xf numFmtId="0" fontId="37" fillId="11" borderId="2" xfId="0" applyFont="1" applyFill="1" applyBorder="1" applyProtection="1"/>
    <xf numFmtId="0" fontId="25" fillId="0" borderId="3" xfId="0" applyFont="1" applyBorder="1" applyProtection="1"/>
    <xf numFmtId="0" fontId="48" fillId="0" borderId="0" xfId="0" applyFont="1" applyBorder="1" applyAlignment="1" applyProtection="1">
      <alignment horizontal="center"/>
    </xf>
    <xf numFmtId="0" fontId="48" fillId="0" borderId="1" xfId="0" applyFont="1" applyBorder="1" applyAlignment="1" applyProtection="1">
      <alignment horizontal="center"/>
    </xf>
    <xf numFmtId="0" fontId="48" fillId="7" borderId="1" xfId="0" applyFont="1" applyFill="1" applyBorder="1" applyAlignment="1" applyProtection="1">
      <alignment horizontal="center"/>
    </xf>
    <xf numFmtId="0" fontId="10" fillId="12" borderId="1" xfId="0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/>
    </xf>
    <xf numFmtId="0" fontId="51" fillId="7" borderId="22" xfId="0" applyFont="1" applyFill="1" applyBorder="1" applyProtection="1"/>
    <xf numFmtId="0" fontId="32" fillId="11" borderId="0" xfId="0" applyFont="1" applyFill="1" applyBorder="1" applyAlignment="1" applyProtection="1">
      <alignment horizontal="center"/>
    </xf>
    <xf numFmtId="0" fontId="51" fillId="2" borderId="22" xfId="0" applyFont="1" applyFill="1" applyBorder="1" applyProtection="1"/>
    <xf numFmtId="0" fontId="53" fillId="9" borderId="22" xfId="0" applyFont="1" applyFill="1" applyBorder="1" applyAlignment="1" applyProtection="1">
      <alignment horizontal="center"/>
    </xf>
    <xf numFmtId="0" fontId="32" fillId="11" borderId="1" xfId="0" applyFont="1" applyFill="1" applyBorder="1" applyAlignment="1" applyProtection="1">
      <alignment horizontal="center"/>
    </xf>
    <xf numFmtId="0" fontId="53" fillId="0" borderId="22" xfId="0" applyFont="1" applyBorder="1" applyAlignment="1" applyProtection="1">
      <alignment horizontal="center"/>
    </xf>
    <xf numFmtId="0" fontId="53" fillId="0" borderId="1" xfId="0" applyFont="1" applyBorder="1" applyAlignment="1" applyProtection="1">
      <alignment horizontal="center"/>
    </xf>
    <xf numFmtId="0" fontId="53" fillId="9" borderId="1" xfId="0" applyFont="1" applyFill="1" applyBorder="1" applyAlignment="1" applyProtection="1">
      <alignment horizontal="center"/>
    </xf>
    <xf numFmtId="0" fontId="53" fillId="8" borderId="1" xfId="0" applyFont="1" applyFill="1" applyBorder="1" applyAlignment="1" applyProtection="1">
      <alignment horizontal="center"/>
    </xf>
    <xf numFmtId="2" fontId="35" fillId="2" borderId="5" xfId="0" applyNumberFormat="1" applyFont="1" applyFill="1" applyBorder="1" applyAlignment="1" applyProtection="1">
      <alignment horizontal="center"/>
    </xf>
    <xf numFmtId="1" fontId="35" fillId="7" borderId="5" xfId="0" applyNumberFormat="1" applyFont="1" applyFill="1" applyBorder="1" applyAlignment="1" applyProtection="1">
      <alignment horizontal="center"/>
    </xf>
    <xf numFmtId="0" fontId="0" fillId="0" borderId="2" xfId="0" applyBorder="1" applyProtection="1"/>
    <xf numFmtId="0" fontId="8" fillId="0" borderId="0" xfId="0" applyNumberFormat="1" applyFont="1" applyFill="1" applyBorder="1" applyProtection="1"/>
    <xf numFmtId="0" fontId="5" fillId="2" borderId="6" xfId="0" applyFont="1" applyFill="1" applyBorder="1" applyAlignment="1" applyProtection="1"/>
    <xf numFmtId="0" fontId="5" fillId="0" borderId="6" xfId="0" applyFont="1" applyFill="1" applyBorder="1" applyAlignment="1" applyProtection="1"/>
    <xf numFmtId="0" fontId="35" fillId="2" borderId="5" xfId="0" applyFont="1" applyFill="1" applyBorder="1" applyAlignment="1" applyProtection="1">
      <alignment horizontal="center"/>
    </xf>
    <xf numFmtId="0" fontId="48" fillId="7" borderId="0" xfId="0" applyFont="1" applyFill="1" applyBorder="1" applyAlignment="1" applyProtection="1">
      <alignment horizontal="center"/>
    </xf>
    <xf numFmtId="0" fontId="51" fillId="7" borderId="8" xfId="0" applyFont="1" applyFill="1" applyBorder="1" applyProtection="1"/>
    <xf numFmtId="0" fontId="51" fillId="2" borderId="8" xfId="0" applyFont="1" applyFill="1" applyBorder="1" applyProtection="1"/>
    <xf numFmtId="0" fontId="53" fillId="9" borderId="8" xfId="0" applyFont="1" applyFill="1" applyBorder="1" applyAlignment="1" applyProtection="1">
      <alignment horizontal="center"/>
    </xf>
    <xf numFmtId="0" fontId="53" fillId="0" borderId="8" xfId="0" applyFont="1" applyBorder="1" applyAlignment="1" applyProtection="1">
      <alignment horizontal="center"/>
    </xf>
    <xf numFmtId="0" fontId="53" fillId="0" borderId="0" xfId="0" applyFont="1" applyBorder="1" applyAlignment="1" applyProtection="1">
      <alignment horizontal="center"/>
    </xf>
    <xf numFmtId="0" fontId="53" fillId="9" borderId="0" xfId="0" applyFont="1" applyFill="1" applyBorder="1" applyAlignment="1" applyProtection="1">
      <alignment horizontal="center"/>
    </xf>
    <xf numFmtId="0" fontId="53" fillId="8" borderId="0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5" fillId="0" borderId="0" xfId="0" applyFont="1" applyAlignment="1" applyProtection="1">
      <alignment horizontal="right"/>
    </xf>
    <xf numFmtId="2" fontId="12" fillId="0" borderId="0" xfId="0" applyNumberFormat="1" applyFont="1" applyAlignment="1" applyProtection="1">
      <alignment horizontal="center"/>
    </xf>
    <xf numFmtId="164" fontId="7" fillId="2" borderId="7" xfId="0" applyNumberFormat="1" applyFont="1" applyFill="1" applyBorder="1" applyAlignment="1" applyProtection="1">
      <alignment horizontal="center"/>
    </xf>
    <xf numFmtId="164" fontId="7" fillId="2" borderId="11" xfId="0" applyNumberFormat="1" applyFont="1" applyFill="1" applyBorder="1" applyAlignment="1" applyProtection="1">
      <alignment horizontal="center"/>
    </xf>
    <xf numFmtId="164" fontId="7" fillId="2" borderId="15" xfId="0" applyNumberFormat="1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48" fillId="0" borderId="0" xfId="0" applyFont="1" applyFill="1" applyBorder="1" applyAlignment="1" applyProtection="1">
      <alignment horizontal="center"/>
    </xf>
    <xf numFmtId="0" fontId="35" fillId="0" borderId="0" xfId="0" applyFont="1" applyFill="1" applyBorder="1" applyAlignment="1" applyProtection="1">
      <alignment horizontal="center"/>
    </xf>
    <xf numFmtId="0" fontId="51" fillId="0" borderId="0" xfId="0" applyFont="1" applyFill="1" applyBorder="1" applyProtection="1"/>
    <xf numFmtId="0" fontId="32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2" fontId="35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 applyProtection="1"/>
    <xf numFmtId="0" fontId="67" fillId="0" borderId="7" xfId="0" applyFont="1" applyFill="1" applyBorder="1" applyAlignment="1" applyProtection="1">
      <alignment wrapText="1"/>
    </xf>
    <xf numFmtId="0" fontId="67" fillId="0" borderId="15" xfId="0" applyFont="1" applyFill="1" applyBorder="1" applyAlignment="1" applyProtection="1">
      <alignment horizontal="center"/>
    </xf>
    <xf numFmtId="0" fontId="85" fillId="0" borderId="0" xfId="0" applyFont="1" applyFill="1" applyBorder="1" applyProtection="1"/>
    <xf numFmtId="49" fontId="3" fillId="0" borderId="0" xfId="0" applyNumberFormat="1" applyFont="1" applyFill="1" applyBorder="1" applyAlignment="1" applyProtection="1">
      <alignment horizontal="center" wrapText="1"/>
    </xf>
    <xf numFmtId="49" fontId="35" fillId="0" borderId="0" xfId="0" applyNumberFormat="1" applyFont="1" applyFill="1" applyBorder="1" applyAlignment="1" applyProtection="1">
      <alignment horizontal="center" wrapText="1"/>
    </xf>
    <xf numFmtId="0" fontId="43" fillId="0" borderId="1" xfId="0" applyFont="1" applyFill="1" applyBorder="1" applyProtection="1"/>
    <xf numFmtId="0" fontId="43" fillId="0" borderId="0" xfId="0" applyFont="1" applyFill="1" applyBorder="1" applyProtection="1"/>
    <xf numFmtId="0" fontId="25" fillId="11" borderId="21" xfId="0" applyFont="1" applyFill="1" applyBorder="1" applyProtection="1"/>
    <xf numFmtId="0" fontId="25" fillId="0" borderId="21" xfId="0" applyFont="1" applyFill="1" applyBorder="1" applyProtection="1"/>
    <xf numFmtId="0" fontId="25" fillId="0" borderId="21" xfId="0" applyFont="1" applyBorder="1" applyProtection="1"/>
    <xf numFmtId="0" fontId="25" fillId="0" borderId="21" xfId="0" applyFont="1" applyBorder="1" applyAlignment="1" applyProtection="1">
      <alignment horizontal="center" wrapText="1"/>
    </xf>
    <xf numFmtId="2" fontId="5" fillId="14" borderId="3" xfId="0" applyNumberFormat="1" applyFont="1" applyFill="1" applyBorder="1" applyAlignment="1" applyProtection="1"/>
    <xf numFmtId="2" fontId="5" fillId="14" borderId="7" xfId="0" applyNumberFormat="1" applyFont="1" applyFill="1" applyBorder="1" applyAlignment="1" applyProtection="1"/>
    <xf numFmtId="49" fontId="29" fillId="14" borderId="5" xfId="0" applyNumberFormat="1" applyFont="1" applyFill="1" applyBorder="1" applyAlignment="1" applyProtection="1">
      <alignment horizontal="center" wrapText="1"/>
    </xf>
    <xf numFmtId="49" fontId="29" fillId="14" borderId="7" xfId="0" applyNumberFormat="1" applyFont="1" applyFill="1" applyBorder="1" applyAlignment="1" applyProtection="1">
      <alignment horizontal="center" wrapText="1"/>
    </xf>
    <xf numFmtId="0" fontId="25" fillId="14" borderId="28" xfId="0" applyFont="1" applyFill="1" applyBorder="1" applyAlignment="1" applyProtection="1">
      <alignment horizontal="center" wrapText="1"/>
    </xf>
    <xf numFmtId="0" fontId="25" fillId="7" borderId="0" xfId="0" applyFont="1" applyFill="1" applyBorder="1" applyAlignment="1" applyProtection="1">
      <alignment horizontal="center" wrapText="1"/>
    </xf>
    <xf numFmtId="0" fontId="25" fillId="11" borderId="0" xfId="0" applyFont="1" applyFill="1" applyBorder="1" applyAlignment="1" applyProtection="1">
      <alignment horizontal="center" wrapText="1"/>
    </xf>
    <xf numFmtId="0" fontId="25" fillId="7" borderId="0" xfId="0" applyFont="1" applyFill="1" applyBorder="1" applyProtection="1"/>
    <xf numFmtId="0" fontId="5" fillId="11" borderId="8" xfId="0" applyFont="1" applyFill="1" applyBorder="1" applyAlignment="1" applyProtection="1">
      <alignment horizontal="center" wrapText="1"/>
    </xf>
    <xf numFmtId="0" fontId="25" fillId="2" borderId="0" xfId="0" applyFont="1" applyFill="1" applyBorder="1" applyAlignment="1" applyProtection="1">
      <alignment horizontal="center" wrapText="1"/>
    </xf>
    <xf numFmtId="0" fontId="25" fillId="9" borderId="0" xfId="0" applyFont="1" applyFill="1" applyBorder="1" applyAlignment="1" applyProtection="1">
      <alignment horizontal="center" wrapText="1"/>
    </xf>
    <xf numFmtId="0" fontId="25" fillId="0" borderId="0" xfId="0" applyFont="1" applyFill="1" applyBorder="1" applyAlignment="1" applyProtection="1">
      <alignment horizontal="center" wrapText="1"/>
    </xf>
    <xf numFmtId="0" fontId="25" fillId="12" borderId="0" xfId="0" applyFont="1" applyFill="1" applyBorder="1" applyAlignment="1" applyProtection="1">
      <alignment horizontal="center" wrapText="1"/>
    </xf>
    <xf numFmtId="0" fontId="25" fillId="16" borderId="0" xfId="0" applyFont="1" applyFill="1" applyBorder="1" applyAlignment="1" applyProtection="1">
      <alignment horizontal="center" wrapText="1"/>
    </xf>
    <xf numFmtId="0" fontId="35" fillId="8" borderId="0" xfId="0" applyFont="1" applyFill="1" applyProtection="1"/>
    <xf numFmtId="2" fontId="52" fillId="0" borderId="0" xfId="0" applyNumberFormat="1" applyFont="1" applyFill="1" applyAlignment="1" applyProtection="1">
      <alignment horizontal="center"/>
    </xf>
    <xf numFmtId="2" fontId="52" fillId="14" borderId="5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Protection="1"/>
    <xf numFmtId="0" fontId="5" fillId="2" borderId="5" xfId="0" applyFont="1" applyFill="1" applyBorder="1" applyAlignment="1" applyProtection="1">
      <alignment horizontal="right"/>
    </xf>
    <xf numFmtId="0" fontId="7" fillId="2" borderId="7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/>
    </xf>
    <xf numFmtId="0" fontId="5" fillId="11" borderId="7" xfId="0" applyFont="1" applyFill="1" applyBorder="1" applyAlignment="1" applyProtection="1">
      <alignment horizontal="center"/>
    </xf>
    <xf numFmtId="0" fontId="10" fillId="12" borderId="0" xfId="0" applyFont="1" applyFill="1" applyBorder="1" applyAlignment="1" applyProtection="1">
      <alignment horizontal="center"/>
    </xf>
    <xf numFmtId="0" fontId="35" fillId="11" borderId="8" xfId="0" applyFont="1" applyFill="1" applyBorder="1" applyAlignment="1" applyProtection="1">
      <alignment horizontal="center"/>
    </xf>
    <xf numFmtId="0" fontId="25" fillId="7" borderId="8" xfId="0" applyFont="1" applyFill="1" applyBorder="1" applyProtection="1"/>
    <xf numFmtId="0" fontId="53" fillId="11" borderId="8" xfId="0" applyFont="1" applyFill="1" applyBorder="1" applyAlignment="1" applyProtection="1">
      <alignment horizontal="center"/>
    </xf>
    <xf numFmtId="0" fontId="53" fillId="16" borderId="0" xfId="0" applyFont="1" applyFill="1" applyBorder="1" applyAlignment="1" applyProtection="1">
      <alignment horizontal="center"/>
    </xf>
    <xf numFmtId="0" fontId="29" fillId="16" borderId="8" xfId="0" applyFont="1" applyFill="1" applyBorder="1" applyAlignment="1" applyProtection="1">
      <alignment wrapText="1"/>
    </xf>
    <xf numFmtId="0" fontId="29" fillId="16" borderId="8" xfId="0" applyFont="1" applyFill="1" applyBorder="1" applyAlignment="1" applyProtection="1">
      <alignment horizontal="center"/>
    </xf>
    <xf numFmtId="0" fontId="33" fillId="0" borderId="0" xfId="0" applyFont="1" applyProtection="1"/>
    <xf numFmtId="0" fontId="67" fillId="0" borderId="7" xfId="0" applyFont="1" applyBorder="1" applyAlignment="1" applyProtection="1">
      <alignment wrapText="1"/>
    </xf>
    <xf numFmtId="0" fontId="35" fillId="11" borderId="14" xfId="0" applyFont="1" applyFill="1" applyBorder="1" applyProtection="1"/>
    <xf numFmtId="2" fontId="5" fillId="14" borderId="5" xfId="0" applyNumberFormat="1" applyFont="1" applyFill="1" applyBorder="1" applyAlignment="1" applyProtection="1"/>
    <xf numFmtId="0" fontId="25" fillId="14" borderId="16" xfId="0" applyFont="1" applyFill="1" applyBorder="1" applyProtection="1"/>
    <xf numFmtId="0" fontId="25" fillId="14" borderId="17" xfId="0" applyFont="1" applyFill="1" applyBorder="1" applyProtection="1"/>
    <xf numFmtId="0" fontId="35" fillId="14" borderId="0" xfId="0" applyFont="1" applyFill="1" applyBorder="1" applyProtection="1"/>
    <xf numFmtId="0" fontId="25" fillId="14" borderId="4" xfId="0" applyFont="1" applyFill="1" applyBorder="1" applyAlignment="1" applyProtection="1">
      <alignment horizontal="center" wrapText="1"/>
    </xf>
    <xf numFmtId="0" fontId="25" fillId="14" borderId="5" xfId="0" applyFont="1" applyFill="1" applyBorder="1" applyAlignment="1" applyProtection="1">
      <alignment horizontal="center" wrapText="1"/>
    </xf>
    <xf numFmtId="0" fontId="7" fillId="11" borderId="21" xfId="0" applyFont="1" applyFill="1" applyBorder="1" applyAlignment="1" applyProtection="1">
      <alignment horizontal="center" wrapText="1"/>
    </xf>
    <xf numFmtId="0" fontId="0" fillId="11" borderId="8" xfId="0" applyFill="1" applyBorder="1" applyAlignment="1" applyProtection="1">
      <alignment horizontal="center" wrapText="1"/>
    </xf>
    <xf numFmtId="0" fontId="25" fillId="0" borderId="11" xfId="0" applyFont="1" applyBorder="1" applyProtection="1"/>
    <xf numFmtId="0" fontId="25" fillId="0" borderId="15" xfId="0" applyFont="1" applyBorder="1" applyProtection="1"/>
    <xf numFmtId="0" fontId="3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18" fillId="0" borderId="0" xfId="0" applyFont="1" applyFill="1" applyBorder="1" applyProtection="1"/>
    <xf numFmtId="0" fontId="17" fillId="0" borderId="0" xfId="0" applyFont="1" applyFill="1" applyBorder="1" applyProtection="1"/>
    <xf numFmtId="0" fontId="63" fillId="12" borderId="8" xfId="2" applyFont="1" applyFill="1" applyBorder="1" applyProtection="1"/>
    <xf numFmtId="0" fontId="1" fillId="12" borderId="8" xfId="2" applyFill="1" applyBorder="1" applyProtection="1"/>
    <xf numFmtId="0" fontId="15" fillId="12" borderId="8" xfId="2" applyNumberFormat="1" applyFont="1" applyFill="1" applyBorder="1" applyProtection="1"/>
    <xf numFmtId="0" fontId="7" fillId="12" borderId="8" xfId="2" applyFont="1" applyFill="1" applyBorder="1" applyProtection="1"/>
    <xf numFmtId="0" fontId="37" fillId="0" borderId="0" xfId="0" applyFont="1" applyAlignment="1" applyProtection="1">
      <alignment horizontal="right"/>
    </xf>
    <xf numFmtId="0" fontId="5" fillId="0" borderId="8" xfId="0" applyFont="1" applyFill="1" applyBorder="1" applyProtection="1"/>
    <xf numFmtId="0" fontId="44" fillId="12" borderId="8" xfId="0" applyFont="1" applyFill="1" applyBorder="1" applyProtection="1"/>
    <xf numFmtId="0" fontId="55" fillId="12" borderId="8" xfId="0" applyFont="1" applyFill="1" applyBorder="1" applyAlignment="1" applyProtection="1">
      <alignment horizontal="right"/>
    </xf>
    <xf numFmtId="0" fontId="54" fillId="12" borderId="8" xfId="0" applyFont="1" applyFill="1" applyBorder="1" applyAlignment="1" applyProtection="1">
      <alignment wrapText="1"/>
    </xf>
    <xf numFmtId="0" fontId="29" fillId="0" borderId="0" xfId="0" applyFont="1" applyFill="1" applyProtection="1"/>
    <xf numFmtId="0" fontId="43" fillId="0" borderId="0" xfId="0" applyFont="1" applyFill="1" applyProtection="1"/>
    <xf numFmtId="0" fontId="5" fillId="12" borderId="8" xfId="0" applyFont="1" applyFill="1" applyBorder="1" applyAlignment="1" applyProtection="1">
      <alignment wrapText="1"/>
    </xf>
    <xf numFmtId="0" fontId="29" fillId="12" borderId="8" xfId="0" applyFont="1" applyFill="1" applyBorder="1" applyProtection="1"/>
    <xf numFmtId="0" fontId="56" fillId="12" borderId="8" xfId="0" applyFont="1" applyFill="1" applyBorder="1" applyProtection="1"/>
    <xf numFmtId="0" fontId="0" fillId="12" borderId="8" xfId="0" applyFill="1" applyBorder="1" applyProtection="1"/>
    <xf numFmtId="0" fontId="0" fillId="0" borderId="8" xfId="0" applyFill="1" applyBorder="1" applyProtection="1"/>
    <xf numFmtId="0" fontId="43" fillId="0" borderId="8" xfId="0" applyFont="1" applyFill="1" applyBorder="1" applyProtection="1"/>
    <xf numFmtId="0" fontId="10" fillId="0" borderId="8" xfId="0" applyFont="1" applyFill="1" applyBorder="1" applyAlignment="1" applyProtection="1">
      <alignment wrapText="1"/>
    </xf>
    <xf numFmtId="0" fontId="25" fillId="0" borderId="8" xfId="0" applyFont="1" applyFill="1" applyBorder="1" applyProtection="1"/>
    <xf numFmtId="0" fontId="5" fillId="12" borderId="0" xfId="0" applyFont="1" applyFill="1" applyProtection="1"/>
    <xf numFmtId="0" fontId="11" fillId="12" borderId="8" xfId="0" applyNumberFormat="1" applyFont="1" applyFill="1" applyBorder="1" applyAlignment="1" applyProtection="1">
      <alignment horizontal="center"/>
    </xf>
    <xf numFmtId="0" fontId="25" fillId="12" borderId="8" xfId="0" applyFont="1" applyFill="1" applyBorder="1" applyAlignment="1" applyProtection="1">
      <alignment horizontal="center" wrapText="1"/>
    </xf>
    <xf numFmtId="0" fontId="58" fillId="12" borderId="8" xfId="0" applyFont="1" applyFill="1" applyBorder="1" applyProtection="1"/>
    <xf numFmtId="0" fontId="37" fillId="12" borderId="8" xfId="0" applyFont="1" applyFill="1" applyBorder="1" applyAlignment="1" applyProtection="1">
      <alignment horizontal="center"/>
    </xf>
    <xf numFmtId="0" fontId="36" fillId="0" borderId="0" xfId="0" applyFont="1" applyProtection="1"/>
    <xf numFmtId="0" fontId="36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/>
    <xf numFmtId="0" fontId="9" fillId="0" borderId="0" xfId="0" applyFont="1" applyAlignment="1" applyProtection="1">
      <alignment horizontal="left"/>
    </xf>
    <xf numFmtId="0" fontId="17" fillId="0" borderId="0" xfId="0" applyFont="1" applyFill="1" applyBorder="1" applyAlignment="1" applyProtection="1">
      <alignment horizontal="center"/>
    </xf>
    <xf numFmtId="0" fontId="0" fillId="0" borderId="32" xfId="0" applyBorder="1" applyProtection="1"/>
    <xf numFmtId="0" fontId="23" fillId="0" borderId="32" xfId="0" applyFont="1" applyFill="1" applyBorder="1" applyProtection="1"/>
    <xf numFmtId="0" fontId="0" fillId="0" borderId="32" xfId="0" applyBorder="1" applyAlignment="1" applyProtection="1">
      <alignment vertical="center"/>
    </xf>
    <xf numFmtId="2" fontId="13" fillId="7" borderId="3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16" fillId="0" borderId="0" xfId="0" applyFont="1" applyProtection="1"/>
    <xf numFmtId="0" fontId="28" fillId="0" borderId="0" xfId="0" applyFont="1" applyFill="1" applyBorder="1" applyProtection="1"/>
    <xf numFmtId="0" fontId="0" fillId="0" borderId="13" xfId="0" applyFill="1" applyBorder="1" applyProtection="1"/>
    <xf numFmtId="49" fontId="3" fillId="4" borderId="0" xfId="0" applyNumberFormat="1" applyFont="1" applyFill="1" applyBorder="1" applyAlignment="1" applyProtection="1">
      <alignment horizontal="center" wrapText="1"/>
    </xf>
    <xf numFmtId="0" fontId="5" fillId="14" borderId="5" xfId="0" applyFont="1" applyFill="1" applyBorder="1" applyProtection="1"/>
    <xf numFmtId="0" fontId="4" fillId="12" borderId="7" xfId="0" applyFont="1" applyFill="1" applyBorder="1" applyAlignment="1" applyProtection="1">
      <alignment horizontal="center"/>
    </xf>
    <xf numFmtId="49" fontId="5" fillId="14" borderId="12" xfId="0" applyNumberFormat="1" applyFont="1" applyFill="1" applyBorder="1" applyAlignment="1" applyProtection="1">
      <alignment horizontal="center" wrapText="1"/>
    </xf>
    <xf numFmtId="49" fontId="29" fillId="14" borderId="0" xfId="0" applyNumberFormat="1" applyFont="1" applyFill="1" applyBorder="1" applyAlignment="1" applyProtection="1">
      <alignment horizontal="center" wrapText="1"/>
    </xf>
    <xf numFmtId="2" fontId="34" fillId="14" borderId="5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Alignment="1" applyProtection="1"/>
    <xf numFmtId="0" fontId="0" fillId="12" borderId="1" xfId="0" applyFill="1" applyBorder="1" applyProtection="1"/>
    <xf numFmtId="0" fontId="0" fillId="12" borderId="0" xfId="0" applyFill="1" applyBorder="1" applyProtection="1"/>
    <xf numFmtId="0" fontId="25" fillId="11" borderId="8" xfId="0" applyFont="1" applyFill="1" applyBorder="1" applyProtection="1"/>
    <xf numFmtId="0" fontId="5" fillId="13" borderId="8" xfId="0" applyFont="1" applyFill="1" applyBorder="1" applyProtection="1"/>
    <xf numFmtId="0" fontId="7" fillId="0" borderId="8" xfId="0" applyFont="1" applyBorder="1" applyProtection="1"/>
    <xf numFmtId="0" fontId="7" fillId="13" borderId="8" xfId="0" applyFont="1" applyFill="1" applyBorder="1" applyProtection="1"/>
    <xf numFmtId="0" fontId="7" fillId="0" borderId="8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2" fontId="5" fillId="12" borderId="3" xfId="0" applyNumberFormat="1" applyFont="1" applyFill="1" applyBorder="1" applyAlignment="1" applyProtection="1"/>
    <xf numFmtId="2" fontId="5" fillId="12" borderId="7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 wrapText="1"/>
    </xf>
    <xf numFmtId="0" fontId="7" fillId="7" borderId="0" xfId="0" applyFont="1" applyFill="1" applyBorder="1" applyAlignment="1" applyProtection="1">
      <alignment horizontal="center" wrapText="1"/>
    </xf>
    <xf numFmtId="0" fontId="7" fillId="7" borderId="0" xfId="0" applyFont="1" applyFill="1" applyBorder="1" applyProtection="1"/>
    <xf numFmtId="0" fontId="5" fillId="14" borderId="8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7" fillId="13" borderId="0" xfId="0" applyFont="1" applyFill="1" applyBorder="1" applyAlignment="1" applyProtection="1">
      <alignment horizontal="center" wrapText="1"/>
    </xf>
    <xf numFmtId="0" fontId="7" fillId="11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7" fillId="12" borderId="0" xfId="0" applyFont="1" applyFill="1" applyBorder="1" applyAlignment="1" applyProtection="1">
      <alignment horizontal="center" wrapText="1"/>
    </xf>
    <xf numFmtId="0" fontId="5" fillId="8" borderId="0" xfId="0" applyFont="1" applyFill="1" applyProtection="1"/>
    <xf numFmtId="2" fontId="34" fillId="0" borderId="0" xfId="0" applyNumberFormat="1" applyFont="1" applyFill="1" applyAlignment="1" applyProtection="1">
      <alignment horizontal="center"/>
    </xf>
    <xf numFmtId="0" fontId="5" fillId="12" borderId="5" xfId="0" applyFont="1" applyFill="1" applyBorder="1" applyAlignment="1" applyProtection="1"/>
    <xf numFmtId="2" fontId="7" fillId="12" borderId="5" xfId="0" applyNumberFormat="1" applyFont="1" applyFill="1" applyBorder="1" applyAlignment="1" applyProtection="1">
      <alignment horizontal="center"/>
    </xf>
    <xf numFmtId="0" fontId="5" fillId="12" borderId="15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25" fillId="13" borderId="8" xfId="0" applyFont="1" applyFill="1" applyBorder="1" applyProtection="1"/>
    <xf numFmtId="0" fontId="7" fillId="0" borderId="0" xfId="0" applyFont="1" applyBorder="1" applyProtection="1"/>
    <xf numFmtId="0" fontId="5" fillId="2" borderId="15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10" fillId="7" borderId="8" xfId="0" applyFont="1" applyFill="1" applyBorder="1" applyAlignment="1" applyProtection="1">
      <alignment horizontal="center"/>
    </xf>
    <xf numFmtId="0" fontId="37" fillId="11" borderId="8" xfId="0" applyFont="1" applyFill="1" applyBorder="1" applyAlignment="1" applyProtection="1">
      <alignment horizontal="center"/>
    </xf>
    <xf numFmtId="0" fontId="7" fillId="7" borderId="8" xfId="0" applyFont="1" applyFill="1" applyBorder="1" applyProtection="1"/>
    <xf numFmtId="0" fontId="31" fillId="2" borderId="8" xfId="0" applyFont="1" applyFill="1" applyBorder="1" applyProtection="1"/>
    <xf numFmtId="0" fontId="32" fillId="11" borderId="8" xfId="0" applyFont="1" applyFill="1" applyBorder="1" applyAlignment="1" applyProtection="1">
      <alignment horizontal="center"/>
    </xf>
    <xf numFmtId="0" fontId="32" fillId="0" borderId="8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0" fontId="32" fillId="8" borderId="0" xfId="0" applyFont="1" applyFill="1" applyBorder="1" applyAlignment="1" applyProtection="1">
      <alignment horizontal="center"/>
    </xf>
    <xf numFmtId="1" fontId="5" fillId="7" borderId="5" xfId="0" applyNumberFormat="1" applyFont="1" applyFill="1" applyBorder="1" applyAlignment="1" applyProtection="1">
      <alignment horizontal="center"/>
    </xf>
    <xf numFmtId="0" fontId="0" fillId="0" borderId="10" xfId="0" applyBorder="1" applyProtection="1"/>
    <xf numFmtId="0" fontId="5" fillId="12" borderId="6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/>
    </xf>
    <xf numFmtId="0" fontId="10" fillId="7" borderId="0" xfId="0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37" fillId="0" borderId="0" xfId="0" applyFont="1" applyFill="1" applyProtection="1"/>
    <xf numFmtId="0" fontId="37" fillId="12" borderId="8" xfId="0" applyFont="1" applyFill="1" applyBorder="1" applyProtection="1"/>
    <xf numFmtId="0" fontId="36" fillId="0" borderId="0" xfId="0" applyFont="1" applyFill="1" applyProtection="1"/>
    <xf numFmtId="0" fontId="36" fillId="0" borderId="0" xfId="0" applyFont="1" applyFill="1" applyBorder="1" applyProtection="1"/>
    <xf numFmtId="0" fontId="37" fillId="12" borderId="8" xfId="0" applyFont="1" applyFill="1" applyBorder="1" applyAlignment="1" applyProtection="1">
      <alignment horizontal="center" wrapText="1"/>
    </xf>
    <xf numFmtId="0" fontId="37" fillId="12" borderId="0" xfId="0" applyFont="1" applyFill="1" applyBorder="1" applyProtection="1"/>
    <xf numFmtId="0" fontId="37" fillId="12" borderId="8" xfId="0" applyFont="1" applyFill="1" applyBorder="1" applyAlignment="1" applyProtection="1">
      <alignment horizontal="right"/>
    </xf>
    <xf numFmtId="0" fontId="87" fillId="0" borderId="32" xfId="0" applyFont="1" applyFill="1" applyBorder="1" applyAlignment="1" applyProtection="1">
      <alignment vertical="center"/>
    </xf>
    <xf numFmtId="0" fontId="88" fillId="0" borderId="32" xfId="0" applyFont="1" applyFill="1" applyBorder="1" applyAlignment="1" applyProtection="1">
      <alignment vertical="center"/>
    </xf>
    <xf numFmtId="0" fontId="26" fillId="0" borderId="32" xfId="0" applyFont="1" applyFill="1" applyBorder="1" applyAlignment="1" applyProtection="1">
      <alignment horizontal="center"/>
    </xf>
    <xf numFmtId="0" fontId="46" fillId="0" borderId="32" xfId="0" applyFont="1" applyBorder="1" applyProtection="1"/>
    <xf numFmtId="0" fontId="46" fillId="0" borderId="32" xfId="0" applyFont="1" applyBorder="1" applyAlignment="1" applyProtection="1">
      <alignment horizontal="center"/>
    </xf>
    <xf numFmtId="0" fontId="37" fillId="0" borderId="0" xfId="0" applyFont="1" applyBorder="1" applyProtection="1"/>
    <xf numFmtId="0" fontId="37" fillId="0" borderId="0" xfId="0" applyFont="1" applyFill="1" applyBorder="1" applyAlignment="1" applyProtection="1">
      <alignment horizontal="center" vertical="center" wrapText="1"/>
    </xf>
    <xf numFmtId="0" fontId="64" fillId="0" borderId="0" xfId="0" applyFont="1" applyFill="1" applyProtection="1"/>
    <xf numFmtId="0" fontId="37" fillId="0" borderId="0" xfId="0" applyFont="1" applyProtection="1"/>
    <xf numFmtId="49" fontId="37" fillId="0" borderId="0" xfId="0" applyNumberFormat="1" applyFont="1" applyFill="1" applyBorder="1" applyAlignment="1" applyProtection="1">
      <alignment horizontal="center" wrapText="1"/>
    </xf>
    <xf numFmtId="49" fontId="5" fillId="14" borderId="7" xfId="0" applyNumberFormat="1" applyFont="1" applyFill="1" applyBorder="1" applyAlignment="1" applyProtection="1">
      <alignment horizontal="center" wrapText="1"/>
    </xf>
    <xf numFmtId="49" fontId="5" fillId="14" borderId="11" xfId="0" applyNumberFormat="1" applyFont="1" applyFill="1" applyBorder="1" applyAlignment="1" applyProtection="1">
      <alignment horizontal="center" wrapText="1"/>
    </xf>
    <xf numFmtId="49" fontId="5" fillId="14" borderId="15" xfId="0" applyNumberFormat="1" applyFont="1" applyFill="1" applyBorder="1" applyAlignment="1" applyProtection="1">
      <alignment horizontal="center" wrapText="1"/>
    </xf>
    <xf numFmtId="0" fontId="37" fillId="14" borderId="0" xfId="0" applyFont="1" applyFill="1" applyProtection="1"/>
    <xf numFmtId="0" fontId="5" fillId="2" borderId="7" xfId="0" applyFont="1" applyFill="1" applyBorder="1" applyAlignment="1" applyProtection="1">
      <alignment horizontal="center"/>
    </xf>
    <xf numFmtId="0" fontId="48" fillId="7" borderId="8" xfId="0" applyFont="1" applyFill="1" applyBorder="1" applyAlignment="1" applyProtection="1">
      <alignment horizontal="center"/>
    </xf>
    <xf numFmtId="0" fontId="5" fillId="13" borderId="0" xfId="0" applyFont="1" applyFill="1" applyBorder="1" applyAlignment="1" applyProtection="1">
      <alignment horizontal="center"/>
    </xf>
    <xf numFmtId="2" fontId="37" fillId="2" borderId="5" xfId="0" applyNumberFormat="1" applyFont="1" applyFill="1" applyBorder="1" applyAlignment="1" applyProtection="1">
      <alignment horizontal="center"/>
    </xf>
    <xf numFmtId="1" fontId="37" fillId="7" borderId="12" xfId="0" applyNumberFormat="1" applyFont="1" applyFill="1" applyBorder="1" applyAlignment="1" applyProtection="1">
      <alignment horizontal="center"/>
    </xf>
    <xf numFmtId="1" fontId="37" fillId="7" borderId="5" xfId="0" applyNumberFormat="1" applyFont="1" applyFill="1" applyBorder="1" applyAlignment="1" applyProtection="1">
      <alignment horizontal="center"/>
    </xf>
    <xf numFmtId="0" fontId="57" fillId="0" borderId="7" xfId="0" applyFont="1" applyBorder="1" applyProtection="1"/>
    <xf numFmtId="0" fontId="5" fillId="13" borderId="15" xfId="0" applyFont="1" applyFill="1" applyBorder="1" applyAlignment="1" applyProtection="1">
      <alignment horizontal="center"/>
    </xf>
    <xf numFmtId="49" fontId="37" fillId="4" borderId="15" xfId="0" applyNumberFormat="1" applyFont="1" applyFill="1" applyBorder="1" applyAlignment="1" applyProtection="1">
      <alignment horizontal="center" wrapText="1"/>
    </xf>
    <xf numFmtId="49" fontId="37" fillId="4" borderId="5" xfId="0" applyNumberFormat="1" applyFont="1" applyFill="1" applyBorder="1" applyAlignment="1" applyProtection="1">
      <alignment horizontal="center" wrapText="1"/>
    </xf>
    <xf numFmtId="49" fontId="37" fillId="4" borderId="12" xfId="0" applyNumberFormat="1" applyFont="1" applyFill="1" applyBorder="1" applyAlignment="1" applyProtection="1">
      <alignment horizontal="center" wrapText="1"/>
    </xf>
    <xf numFmtId="49" fontId="37" fillId="4" borderId="6" xfId="0" applyNumberFormat="1" applyFont="1" applyFill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/>
    </xf>
    <xf numFmtId="0" fontId="37" fillId="11" borderId="14" xfId="0" applyFont="1" applyFill="1" applyBorder="1" applyProtection="1"/>
    <xf numFmtId="0" fontId="37" fillId="11" borderId="0" xfId="0" applyFont="1" applyFill="1" applyBorder="1" applyProtection="1"/>
    <xf numFmtId="49" fontId="5" fillId="14" borderId="0" xfId="0" applyNumberFormat="1" applyFont="1" applyFill="1" applyBorder="1" applyAlignment="1" applyProtection="1">
      <alignment horizontal="center" wrapText="1"/>
    </xf>
    <xf numFmtId="0" fontId="37" fillId="14" borderId="0" xfId="0" applyFont="1" applyFill="1" applyBorder="1" applyProtection="1"/>
    <xf numFmtId="0" fontId="37" fillId="8" borderId="0" xfId="0" applyFont="1" applyFill="1" applyProtection="1"/>
    <xf numFmtId="0" fontId="37" fillId="2" borderId="5" xfId="0" applyFont="1" applyFill="1" applyBorder="1" applyAlignment="1" applyProtection="1">
      <alignment horizontal="center"/>
    </xf>
    <xf numFmtId="0" fontId="5" fillId="11" borderId="0" xfId="0" applyFont="1" applyFill="1" applyBorder="1" applyAlignment="1" applyProtection="1">
      <alignment horizontal="center"/>
    </xf>
    <xf numFmtId="0" fontId="53" fillId="2" borderId="8" xfId="0" applyFont="1" applyFill="1" applyBorder="1" applyAlignment="1" applyProtection="1">
      <alignment horizontal="center"/>
    </xf>
    <xf numFmtId="0" fontId="53" fillId="2" borderId="14" xfId="0" applyFont="1" applyFill="1" applyBorder="1" applyAlignment="1" applyProtection="1">
      <alignment horizontal="center"/>
    </xf>
    <xf numFmtId="0" fontId="64" fillId="13" borderId="0" xfId="2" applyFont="1" applyFill="1" applyAlignment="1" applyProtection="1">
      <alignment horizontal="center"/>
    </xf>
    <xf numFmtId="0" fontId="61" fillId="0" borderId="0" xfId="2" applyFont="1" applyFill="1" applyProtection="1"/>
    <xf numFmtId="0" fontId="62" fillId="0" borderId="0" xfId="2" applyFont="1" applyFill="1" applyAlignment="1" applyProtection="1">
      <alignment horizontal="center"/>
    </xf>
    <xf numFmtId="0" fontId="62" fillId="0" borderId="0" xfId="2" applyFont="1" applyFill="1" applyProtection="1"/>
    <xf numFmtId="0" fontId="5" fillId="0" borderId="0" xfId="2" applyFont="1" applyFill="1" applyProtection="1"/>
    <xf numFmtId="0" fontId="1" fillId="0" borderId="0" xfId="2" applyFill="1" applyAlignment="1" applyProtection="1">
      <alignment horizontal="center"/>
    </xf>
    <xf numFmtId="0" fontId="27" fillId="0" borderId="0" xfId="2" applyNumberFormat="1" applyFont="1" applyFill="1" applyBorder="1" applyAlignment="1" applyProtection="1">
      <alignment vertical="center"/>
    </xf>
    <xf numFmtId="0" fontId="14" fillId="3" borderId="0" xfId="2" applyNumberFormat="1" applyFont="1" applyFill="1" applyBorder="1" applyAlignment="1" applyProtection="1">
      <alignment horizontal="center"/>
    </xf>
    <xf numFmtId="0" fontId="20" fillId="0" borderId="0" xfId="2" applyFont="1" applyProtection="1"/>
    <xf numFmtId="0" fontId="11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 vertical="center" wrapText="1"/>
    </xf>
    <xf numFmtId="2" fontId="13" fillId="0" borderId="0" xfId="2" applyNumberFormat="1" applyFont="1" applyBorder="1" applyProtection="1"/>
    <xf numFmtId="0" fontId="29" fillId="0" borderId="8" xfId="2" applyFont="1" applyFill="1" applyBorder="1" applyProtection="1"/>
    <xf numFmtId="0" fontId="35" fillId="0" borderId="0" xfId="2" applyFont="1" applyFill="1" applyProtection="1"/>
    <xf numFmtId="0" fontId="25" fillId="0" borderId="0" xfId="2" applyFont="1" applyFill="1" applyAlignment="1" applyProtection="1">
      <alignment horizontal="center"/>
    </xf>
    <xf numFmtId="0" fontId="47" fillId="0" borderId="8" xfId="2" applyFont="1" applyFill="1" applyBorder="1" applyProtection="1"/>
    <xf numFmtId="0" fontId="79" fillId="0" borderId="8" xfId="2" applyFont="1" applyFill="1" applyBorder="1" applyAlignment="1" applyProtection="1">
      <alignment horizontal="center"/>
    </xf>
    <xf numFmtId="0" fontId="79" fillId="0" borderId="0" xfId="2" applyFont="1" applyFill="1" applyBorder="1" applyAlignment="1" applyProtection="1">
      <alignment horizontal="center"/>
    </xf>
    <xf numFmtId="0" fontId="48" fillId="2" borderId="8" xfId="2" applyFont="1" applyFill="1" applyBorder="1" applyAlignment="1" applyProtection="1">
      <alignment wrapText="1"/>
    </xf>
    <xf numFmtId="0" fontId="48" fillId="2" borderId="0" xfId="2" applyFont="1" applyFill="1" applyBorder="1" applyAlignment="1" applyProtection="1">
      <alignment horizontal="center"/>
    </xf>
    <xf numFmtId="0" fontId="87" fillId="0" borderId="32" xfId="2" applyFont="1" applyFill="1" applyBorder="1" applyAlignment="1" applyProtection="1">
      <alignment vertical="center"/>
    </xf>
    <xf numFmtId="0" fontId="88" fillId="0" borderId="32" xfId="2" applyFont="1" applyFill="1" applyBorder="1" applyAlignment="1" applyProtection="1">
      <alignment horizontal="center" vertical="center"/>
    </xf>
    <xf numFmtId="0" fontId="29" fillId="0" borderId="32" xfId="2" applyFont="1" applyFill="1" applyBorder="1" applyProtection="1"/>
    <xf numFmtId="0" fontId="43" fillId="13" borderId="32" xfId="2" applyFont="1" applyFill="1" applyBorder="1" applyProtection="1"/>
    <xf numFmtId="0" fontId="82" fillId="13" borderId="32" xfId="2" applyFont="1" applyFill="1" applyBorder="1" applyProtection="1"/>
    <xf numFmtId="0" fontId="82" fillId="13" borderId="31" xfId="2" applyFont="1" applyFill="1" applyBorder="1" applyProtection="1"/>
    <xf numFmtId="0" fontId="43" fillId="12" borderId="30" xfId="0" applyFont="1" applyFill="1" applyBorder="1" applyAlignment="1" applyProtection="1">
      <alignment horizontal="center" wrapText="1"/>
    </xf>
    <xf numFmtId="0" fontId="43" fillId="0" borderId="32" xfId="2" applyFont="1" applyBorder="1" applyAlignment="1" applyProtection="1">
      <alignment horizontal="right"/>
    </xf>
    <xf numFmtId="2" fontId="13" fillId="0" borderId="0" xfId="2" applyNumberFormat="1" applyFont="1" applyFill="1" applyBorder="1" applyProtection="1"/>
    <xf numFmtId="0" fontId="5" fillId="0" borderId="32" xfId="2" applyFont="1" applyFill="1" applyBorder="1" applyProtection="1"/>
    <xf numFmtId="0" fontId="1" fillId="0" borderId="32" xfId="2" applyFill="1" applyBorder="1" applyAlignment="1" applyProtection="1">
      <alignment horizontal="center"/>
    </xf>
    <xf numFmtId="0" fontId="3" fillId="0" borderId="0" xfId="2" applyFont="1" applyFill="1" applyProtection="1"/>
    <xf numFmtId="0" fontId="13" fillId="7" borderId="32" xfId="2" applyFont="1" applyFill="1" applyBorder="1" applyAlignment="1" applyProtection="1">
      <alignment horizontal="center" vertical="center" wrapText="1"/>
    </xf>
    <xf numFmtId="0" fontId="13" fillId="0" borderId="32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/>
    <xf numFmtId="0" fontId="14" fillId="0" borderId="0" xfId="2" applyNumberFormat="1" applyFont="1" applyFill="1" applyBorder="1" applyAlignment="1" applyProtection="1"/>
    <xf numFmtId="0" fontId="3" fillId="0" borderId="0" xfId="2" applyFont="1" applyFill="1" applyAlignment="1" applyProtection="1">
      <alignment horizontal="center"/>
    </xf>
    <xf numFmtId="2" fontId="13" fillId="0" borderId="32" xfId="2" applyNumberFormat="1" applyFont="1" applyFill="1" applyBorder="1" applyProtection="1"/>
    <xf numFmtId="0" fontId="1" fillId="0" borderId="0" xfId="2" applyFill="1" applyBorder="1" applyAlignment="1" applyProtection="1">
      <alignment horizontal="center"/>
    </xf>
    <xf numFmtId="0" fontId="71" fillId="0" borderId="0" xfId="2" applyFont="1" applyBorder="1" applyAlignment="1" applyProtection="1">
      <alignment vertical="center"/>
    </xf>
    <xf numFmtId="49" fontId="29" fillId="0" borderId="0" xfId="2" applyNumberFormat="1" applyFont="1" applyFill="1" applyBorder="1" applyAlignment="1" applyProtection="1">
      <alignment horizontal="center" wrapText="1"/>
    </xf>
    <xf numFmtId="0" fontId="25" fillId="0" borderId="0" xfId="2" applyFont="1" applyProtection="1"/>
    <xf numFmtId="0" fontId="5" fillId="0" borderId="0" xfId="2" applyFont="1" applyFill="1" applyAlignment="1" applyProtection="1">
      <alignment wrapText="1"/>
    </xf>
    <xf numFmtId="0" fontId="30" fillId="0" borderId="0" xfId="2" applyNumberFormat="1" applyFont="1" applyFill="1" applyBorder="1" applyAlignment="1" applyProtection="1">
      <alignment horizontal="center" wrapText="1"/>
    </xf>
    <xf numFmtId="0" fontId="11" fillId="0" borderId="0" xfId="2" applyNumberFormat="1" applyFont="1" applyFill="1" applyBorder="1" applyAlignment="1" applyProtection="1"/>
    <xf numFmtId="0" fontId="72" fillId="0" borderId="0" xfId="2" applyNumberFormat="1" applyFont="1" applyFill="1" applyBorder="1" applyAlignment="1" applyProtection="1"/>
    <xf numFmtId="0" fontId="63" fillId="0" borderId="0" xfId="2" applyFont="1" applyProtection="1"/>
    <xf numFmtId="0" fontId="25" fillId="0" borderId="0" xfId="2" applyFont="1" applyFill="1" applyBorder="1" applyAlignment="1" applyProtection="1">
      <alignment horizontal="right"/>
    </xf>
    <xf numFmtId="0" fontId="25" fillId="0" borderId="0" xfId="2" applyFont="1" applyAlignment="1" applyProtection="1">
      <alignment horizontal="right"/>
    </xf>
    <xf numFmtId="0" fontId="20" fillId="0" borderId="0" xfId="2" applyFont="1" applyFill="1" applyBorder="1" applyProtection="1"/>
    <xf numFmtId="2" fontId="12" fillId="0" borderId="0" xfId="2" applyNumberFormat="1" applyFont="1" applyAlignment="1" applyProtection="1">
      <alignment horizontal="center"/>
    </xf>
    <xf numFmtId="0" fontId="89" fillId="0" borderId="0" xfId="2" applyFont="1" applyProtection="1"/>
    <xf numFmtId="0" fontId="4" fillId="2" borderId="7" xfId="2" applyFont="1" applyFill="1" applyBorder="1" applyAlignment="1" applyProtection="1">
      <alignment horizontal="center"/>
    </xf>
    <xf numFmtId="0" fontId="4" fillId="2" borderId="12" xfId="2" applyFont="1" applyFill="1" applyBorder="1" applyAlignment="1" applyProtection="1"/>
    <xf numFmtId="0" fontId="4" fillId="0" borderId="0" xfId="2" applyFont="1" applyFill="1" applyBorder="1" applyAlignment="1" applyProtection="1"/>
    <xf numFmtId="0" fontId="4" fillId="4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2" fontId="5" fillId="0" borderId="9" xfId="2" applyNumberFormat="1" applyFont="1" applyFill="1" applyBorder="1" applyAlignment="1" applyProtection="1"/>
    <xf numFmtId="2" fontId="5" fillId="0" borderId="0" xfId="2" applyNumberFormat="1" applyFont="1" applyFill="1" applyBorder="1" applyAlignment="1" applyProtection="1"/>
    <xf numFmtId="0" fontId="1" fillId="13" borderId="8" xfId="2" applyFill="1" applyBorder="1" applyProtection="1"/>
    <xf numFmtId="0" fontId="1" fillId="0" borderId="8" xfId="2" applyBorder="1" applyProtection="1"/>
    <xf numFmtId="0" fontId="1" fillId="0" borderId="8" xfId="2" applyBorder="1" applyAlignment="1" applyProtection="1">
      <alignment horizontal="center" wrapText="1"/>
    </xf>
    <xf numFmtId="0" fontId="1" fillId="0" borderId="0" xfId="2" applyBorder="1" applyAlignment="1" applyProtection="1">
      <alignment horizontal="center" wrapText="1"/>
    </xf>
    <xf numFmtId="0" fontId="1" fillId="0" borderId="0" xfId="2" applyFont="1" applyBorder="1" applyAlignment="1" applyProtection="1">
      <alignment horizontal="center" wrapText="1"/>
    </xf>
    <xf numFmtId="0" fontId="1" fillId="0" borderId="0" xfId="2" applyFont="1" applyProtection="1"/>
    <xf numFmtId="2" fontId="5" fillId="15" borderId="9" xfId="2" applyNumberFormat="1" applyFont="1" applyFill="1" applyBorder="1" applyAlignment="1" applyProtection="1"/>
    <xf numFmtId="49" fontId="5" fillId="15" borderId="5" xfId="2" applyNumberFormat="1" applyFont="1" applyFill="1" applyBorder="1" applyAlignment="1" applyProtection="1">
      <alignment horizontal="center" wrapText="1"/>
    </xf>
    <xf numFmtId="0" fontId="1" fillId="15" borderId="0" xfId="2" applyFill="1" applyAlignment="1" applyProtection="1">
      <alignment horizontal="center"/>
    </xf>
    <xf numFmtId="0" fontId="1" fillId="15" borderId="8" xfId="2" applyFill="1" applyBorder="1" applyProtection="1"/>
    <xf numFmtId="0" fontId="1" fillId="15" borderId="8" xfId="2" applyFill="1" applyBorder="1" applyAlignment="1" applyProtection="1">
      <alignment horizontal="center" wrapText="1"/>
    </xf>
    <xf numFmtId="0" fontId="1" fillId="15" borderId="0" xfId="2" applyFill="1" applyBorder="1" applyAlignment="1" applyProtection="1">
      <alignment horizontal="center" wrapText="1"/>
    </xf>
    <xf numFmtId="0" fontId="1" fillId="15" borderId="5" xfId="2" applyFill="1" applyBorder="1" applyAlignment="1" applyProtection="1">
      <alignment horizontal="center" wrapText="1"/>
    </xf>
    <xf numFmtId="0" fontId="1" fillId="15" borderId="0" xfId="2" applyFill="1" applyBorder="1" applyProtection="1"/>
    <xf numFmtId="0" fontId="3" fillId="15" borderId="0" xfId="2" applyFont="1" applyFill="1" applyProtection="1"/>
    <xf numFmtId="2" fontId="70" fillId="15" borderId="0" xfId="2" applyNumberFormat="1" applyFont="1" applyFill="1" applyAlignment="1" applyProtection="1">
      <alignment horizontal="center"/>
    </xf>
    <xf numFmtId="2" fontId="70" fillId="15" borderId="5" xfId="2" applyNumberFormat="1" applyFont="1" applyFill="1" applyBorder="1" applyAlignment="1" applyProtection="1">
      <alignment horizontal="center"/>
    </xf>
    <xf numFmtId="0" fontId="5" fillId="2" borderId="5" xfId="2" applyFont="1" applyFill="1" applyBorder="1" applyAlignment="1" applyProtection="1"/>
    <xf numFmtId="0" fontId="5" fillId="0" borderId="5" xfId="2" applyFont="1" applyFill="1" applyBorder="1" applyAlignment="1" applyProtection="1"/>
    <xf numFmtId="164" fontId="5" fillId="2" borderId="6" xfId="2" applyNumberFormat="1" applyFont="1" applyFill="1" applyBorder="1" applyAlignment="1" applyProtection="1">
      <alignment horizontal="center"/>
    </xf>
    <xf numFmtId="164" fontId="5" fillId="2" borderId="2" xfId="2" applyNumberFormat="1" applyFont="1" applyFill="1" applyBorder="1" applyAlignment="1" applyProtection="1">
      <alignment horizontal="center"/>
    </xf>
    <xf numFmtId="0" fontId="5" fillId="2" borderId="3" xfId="2" applyNumberFormat="1" applyFont="1" applyFill="1" applyBorder="1" applyAlignment="1" applyProtection="1">
      <alignment horizontal="center"/>
    </xf>
    <xf numFmtId="0" fontId="5" fillId="2" borderId="15" xfId="2" applyFont="1" applyFill="1" applyBorder="1" applyAlignment="1" applyProtection="1">
      <alignment horizontal="center"/>
    </xf>
    <xf numFmtId="0" fontId="5" fillId="2" borderId="2" xfId="2" applyFont="1" applyFill="1" applyBorder="1" applyAlignment="1" applyProtection="1">
      <alignment horizontal="center"/>
    </xf>
    <xf numFmtId="0" fontId="5" fillId="2" borderId="7" xfId="2" applyFont="1" applyFill="1" applyBorder="1" applyAlignment="1" applyProtection="1">
      <alignment horizontal="center"/>
    </xf>
    <xf numFmtId="0" fontId="10" fillId="0" borderId="0" xfId="2" applyFont="1" applyBorder="1" applyAlignment="1" applyProtection="1">
      <alignment horizontal="center"/>
    </xf>
    <xf numFmtId="0" fontId="5" fillId="2" borderId="5" xfId="2" applyFont="1" applyFill="1" applyBorder="1" applyAlignment="1" applyProtection="1">
      <alignment horizontal="center"/>
    </xf>
    <xf numFmtId="0" fontId="10" fillId="7" borderId="0" xfId="2" applyFont="1" applyFill="1" applyBorder="1" applyAlignment="1" applyProtection="1">
      <alignment horizontal="center"/>
    </xf>
    <xf numFmtId="0" fontId="10" fillId="13" borderId="0" xfId="2" applyFont="1" applyFill="1" applyBorder="1" applyAlignment="1" applyProtection="1">
      <alignment horizontal="center"/>
    </xf>
    <xf numFmtId="0" fontId="31" fillId="7" borderId="0" xfId="2" applyFont="1" applyFill="1" applyBorder="1" applyProtection="1"/>
    <xf numFmtId="0" fontId="32" fillId="13" borderId="0" xfId="2" applyFont="1" applyFill="1" applyBorder="1" applyAlignment="1" applyProtection="1">
      <alignment horizontal="center"/>
    </xf>
    <xf numFmtId="0" fontId="31" fillId="2" borderId="0" xfId="2" applyFont="1" applyFill="1" applyBorder="1" applyProtection="1"/>
    <xf numFmtId="0" fontId="32" fillId="0" borderId="0" xfId="2" applyFont="1" applyBorder="1" applyAlignment="1" applyProtection="1">
      <alignment horizontal="center"/>
    </xf>
    <xf numFmtId="0" fontId="32" fillId="8" borderId="0" xfId="2" applyFont="1" applyFill="1" applyBorder="1" applyAlignment="1" applyProtection="1">
      <alignment horizontal="center"/>
    </xf>
    <xf numFmtId="2" fontId="73" fillId="2" borderId="5" xfId="2" applyNumberFormat="1" applyFont="1" applyFill="1" applyBorder="1" applyAlignment="1" applyProtection="1">
      <alignment horizontal="center"/>
    </xf>
    <xf numFmtId="2" fontId="73" fillId="2" borderId="7" xfId="2" applyNumberFormat="1" applyFont="1" applyFill="1" applyBorder="1" applyAlignment="1" applyProtection="1">
      <alignment horizontal="center"/>
    </xf>
    <xf numFmtId="1" fontId="73" fillId="7" borderId="23" xfId="2" applyNumberFormat="1" applyFont="1" applyFill="1" applyBorder="1" applyAlignment="1" applyProtection="1">
      <alignment horizontal="center"/>
    </xf>
    <xf numFmtId="1" fontId="73" fillId="7" borderId="19" xfId="2" applyNumberFormat="1" applyFont="1" applyFill="1" applyBorder="1" applyAlignment="1" applyProtection="1">
      <alignment horizontal="center"/>
    </xf>
    <xf numFmtId="0" fontId="1" fillId="0" borderId="30" xfId="2" applyBorder="1" applyProtection="1"/>
    <xf numFmtId="0" fontId="5" fillId="2" borderId="6" xfId="2" applyFont="1" applyFill="1" applyBorder="1" applyAlignment="1" applyProtection="1"/>
    <xf numFmtId="0" fontId="5" fillId="0" borderId="6" xfId="2" applyFont="1" applyFill="1" applyBorder="1" applyAlignment="1" applyProtection="1"/>
    <xf numFmtId="164" fontId="5" fillId="2" borderId="7" xfId="2" applyNumberFormat="1" applyFont="1" applyFill="1" applyBorder="1" applyAlignment="1" applyProtection="1">
      <alignment horizontal="center"/>
    </xf>
    <xf numFmtId="164" fontId="5" fillId="2" borderId="11" xfId="2" applyNumberFormat="1" applyFont="1" applyFill="1" applyBorder="1" applyAlignment="1" applyProtection="1">
      <alignment horizontal="center"/>
    </xf>
    <xf numFmtId="0" fontId="5" fillId="2" borderId="15" xfId="2" applyNumberFormat="1" applyFont="1" applyFill="1" applyBorder="1" applyAlignment="1" applyProtection="1">
      <alignment horizontal="center"/>
    </xf>
    <xf numFmtId="0" fontId="5" fillId="2" borderId="6" xfId="2" applyFont="1" applyFill="1" applyBorder="1" applyAlignment="1" applyProtection="1">
      <alignment horizontal="center"/>
    </xf>
    <xf numFmtId="0" fontId="1" fillId="0" borderId="4" xfId="2" applyBorder="1" applyAlignment="1" applyProtection="1">
      <alignment horizontal="center"/>
    </xf>
    <xf numFmtId="0" fontId="19" fillId="0" borderId="0" xfId="2" applyFont="1" applyBorder="1" applyAlignment="1" applyProtection="1">
      <alignment horizontal="center"/>
    </xf>
    <xf numFmtId="0" fontId="4" fillId="5" borderId="5" xfId="2" applyFont="1" applyFill="1" applyBorder="1" applyAlignment="1" applyProtection="1">
      <alignment horizontal="center"/>
      <protection locked="0"/>
    </xf>
    <xf numFmtId="0" fontId="4" fillId="2" borderId="5" xfId="2" applyFont="1" applyFill="1" applyBorder="1" applyAlignment="1" applyProtection="1">
      <alignment horizontal="center"/>
      <protection locked="0"/>
    </xf>
    <xf numFmtId="0" fontId="25" fillId="2" borderId="7" xfId="2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4" fillId="1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14" fillId="0" borderId="0" xfId="2" applyNumberFormat="1" applyFont="1" applyFill="1" applyBorder="1" applyAlignment="1" applyProtection="1">
      <alignment horizontal="center"/>
    </xf>
    <xf numFmtId="49" fontId="5" fillId="15" borderId="7" xfId="2" applyNumberFormat="1" applyFont="1" applyFill="1" applyBorder="1" applyAlignment="1" applyProtection="1">
      <alignment horizontal="center" wrapText="1"/>
    </xf>
    <xf numFmtId="49" fontId="5" fillId="15" borderId="15" xfId="2" applyNumberFormat="1" applyFont="1" applyFill="1" applyBorder="1" applyAlignment="1" applyProtection="1">
      <alignment horizontal="center" wrapText="1"/>
    </xf>
    <xf numFmtId="0" fontId="25" fillId="11" borderId="8" xfId="0" applyFont="1" applyFill="1" applyBorder="1"/>
    <xf numFmtId="0" fontId="25" fillId="0" borderId="8" xfId="0" applyFont="1" applyFill="1" applyBorder="1"/>
    <xf numFmtId="0" fontId="25" fillId="19" borderId="8" xfId="0" applyFont="1" applyFill="1" applyBorder="1"/>
    <xf numFmtId="0" fontId="37" fillId="2" borderId="0" xfId="0" applyFont="1" applyFill="1" applyBorder="1" applyAlignment="1" applyProtection="1">
      <alignment horizontal="center"/>
    </xf>
    <xf numFmtId="0" fontId="61" fillId="12" borderId="8" xfId="0" applyFont="1" applyFill="1" applyBorder="1" applyAlignment="1">
      <alignment horizontal="center" wrapText="1"/>
    </xf>
    <xf numFmtId="0" fontId="25" fillId="12" borderId="8" xfId="0" applyFont="1" applyFill="1" applyBorder="1" applyAlignment="1">
      <alignment horizontal="center" wrapText="1"/>
    </xf>
    <xf numFmtId="0" fontId="5" fillId="12" borderId="8" xfId="2" applyFont="1" applyFill="1" applyBorder="1"/>
    <xf numFmtId="0" fontId="25" fillId="0" borderId="8" xfId="0" applyFont="1" applyBorder="1"/>
    <xf numFmtId="0" fontId="5" fillId="13" borderId="7" xfId="0" applyFont="1" applyFill="1" applyBorder="1" applyAlignment="1" applyProtection="1">
      <alignment horizontal="center"/>
    </xf>
    <xf numFmtId="0" fontId="5" fillId="18" borderId="0" xfId="2" applyFont="1" applyFill="1" applyBorder="1" applyAlignment="1">
      <alignment horizontal="center"/>
    </xf>
    <xf numFmtId="0" fontId="35" fillId="16" borderId="0" xfId="2" applyFont="1" applyFill="1" applyBorder="1" applyAlignment="1">
      <alignment horizontal="center"/>
    </xf>
    <xf numFmtId="49" fontId="35" fillId="19" borderId="0" xfId="0" applyNumberFormat="1" applyFont="1" applyFill="1" applyBorder="1" applyAlignment="1">
      <alignment horizontal="center" wrapText="1"/>
    </xf>
    <xf numFmtId="49" fontId="35" fillId="0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 applyProtection="1">
      <alignment horizontal="center"/>
    </xf>
    <xf numFmtId="0" fontId="35" fillId="2" borderId="1" xfId="0" applyFont="1" applyFill="1" applyBorder="1" applyAlignment="1" applyProtection="1">
      <alignment horizontal="center"/>
    </xf>
    <xf numFmtId="0" fontId="25" fillId="12" borderId="8" xfId="0" applyFont="1" applyFill="1" applyBorder="1"/>
    <xf numFmtId="0" fontId="35" fillId="2" borderId="6" xfId="0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center"/>
    </xf>
    <xf numFmtId="0" fontId="25" fillId="20" borderId="0" xfId="0" applyFont="1" applyFill="1" applyBorder="1" applyAlignment="1">
      <alignment horizontal="center" wrapText="1"/>
    </xf>
    <xf numFmtId="0" fontId="48" fillId="0" borderId="0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14" fillId="0" borderId="0" xfId="2" applyNumberFormat="1" applyFont="1" applyFill="1" applyBorder="1" applyAlignment="1" applyProtection="1">
      <alignment horizontal="center"/>
    </xf>
    <xf numFmtId="49" fontId="29" fillId="12" borderId="5" xfId="0" applyNumberFormat="1" applyFont="1" applyFill="1" applyBorder="1" applyAlignment="1" applyProtection="1">
      <alignment horizontal="center" vertical="center" wrapText="1"/>
    </xf>
    <xf numFmtId="49" fontId="5" fillId="14" borderId="20" xfId="0" applyNumberFormat="1" applyFont="1" applyFill="1" applyBorder="1" applyAlignment="1" applyProtection="1">
      <alignment horizontal="center" vertical="center" wrapText="1"/>
    </xf>
    <xf numFmtId="0" fontId="27" fillId="3" borderId="32" xfId="0" applyNumberFormat="1" applyFont="1" applyFill="1" applyBorder="1" applyAlignment="1" applyProtection="1">
      <alignment horizontal="center" vertical="center"/>
    </xf>
    <xf numFmtId="2" fontId="13" fillId="0" borderId="32" xfId="0" applyNumberFormat="1" applyFont="1" applyFill="1" applyBorder="1" applyAlignment="1" applyProtection="1">
      <alignment horizontal="center" vertical="center"/>
    </xf>
    <xf numFmtId="2" fontId="46" fillId="7" borderId="32" xfId="0" applyNumberFormat="1" applyFont="1" applyFill="1" applyBorder="1" applyAlignment="1" applyProtection="1">
      <alignment horizontal="center" vertical="center"/>
    </xf>
    <xf numFmtId="0" fontId="62" fillId="21" borderId="0" xfId="0" applyFont="1" applyFill="1" applyAlignment="1">
      <alignment horizontal="center"/>
    </xf>
    <xf numFmtId="0" fontId="97" fillId="21" borderId="8" xfId="0" applyFont="1" applyFill="1" applyBorder="1" applyAlignment="1">
      <alignment horizontal="center"/>
    </xf>
    <xf numFmtId="0" fontId="62" fillId="21" borderId="8" xfId="0" applyFont="1" applyFill="1" applyBorder="1" applyAlignment="1">
      <alignment horizontal="center"/>
    </xf>
    <xf numFmtId="0" fontId="48" fillId="22" borderId="8" xfId="2" applyFont="1" applyFill="1" applyBorder="1" applyAlignment="1" applyProtection="1">
      <alignment wrapText="1"/>
    </xf>
    <xf numFmtId="0" fontId="35" fillId="22" borderId="8" xfId="2" applyFont="1" applyFill="1" applyBorder="1" applyProtection="1"/>
    <xf numFmtId="0" fontId="25" fillId="22" borderId="8" xfId="2" applyFont="1" applyFill="1" applyBorder="1" applyProtection="1"/>
    <xf numFmtId="0" fontId="35" fillId="0" borderId="0" xfId="2" applyFont="1" applyFill="1" applyBorder="1" applyProtection="1"/>
    <xf numFmtId="0" fontId="1" fillId="21" borderId="8" xfId="2" applyFill="1" applyBorder="1" applyProtection="1"/>
    <xf numFmtId="0" fontId="5" fillId="21" borderId="8" xfId="2" applyFont="1" applyFill="1" applyBorder="1" applyProtection="1"/>
    <xf numFmtId="0" fontId="62" fillId="21" borderId="8" xfId="0" applyFont="1" applyFill="1" applyBorder="1" applyAlignment="1">
      <alignment horizontal="left"/>
    </xf>
    <xf numFmtId="0" fontId="7" fillId="21" borderId="8" xfId="2" applyFont="1" applyFill="1" applyBorder="1" applyProtection="1"/>
    <xf numFmtId="0" fontId="48" fillId="2" borderId="21" xfId="2" applyFont="1" applyFill="1" applyBorder="1" applyAlignment="1" applyProtection="1">
      <alignment wrapText="1"/>
    </xf>
    <xf numFmtId="0" fontId="97" fillId="21" borderId="30" xfId="0" applyFont="1" applyFill="1" applyBorder="1" applyAlignment="1">
      <alignment horizontal="center"/>
    </xf>
    <xf numFmtId="0" fontId="48" fillId="2" borderId="21" xfId="2" applyFont="1" applyFill="1" applyBorder="1" applyAlignment="1" applyProtection="1">
      <alignment horizontal="center"/>
    </xf>
    <xf numFmtId="0" fontId="48" fillId="2" borderId="46" xfId="2" applyFont="1" applyFill="1" applyBorder="1" applyAlignment="1" applyProtection="1">
      <alignment wrapText="1"/>
    </xf>
    <xf numFmtId="49" fontId="5" fillId="21" borderId="0" xfId="0" applyNumberFormat="1" applyFont="1" applyFill="1" applyBorder="1" applyAlignment="1">
      <alignment horizontal="center" wrapText="1"/>
    </xf>
    <xf numFmtId="0" fontId="30" fillId="6" borderId="5" xfId="0" applyNumberFormat="1" applyFont="1" applyFill="1" applyBorder="1" applyAlignment="1">
      <alignment horizontal="center" wrapText="1"/>
    </xf>
    <xf numFmtId="0" fontId="100" fillId="2" borderId="45" xfId="2" applyFont="1" applyFill="1" applyBorder="1" applyAlignment="1" applyProtection="1">
      <alignment wrapText="1"/>
    </xf>
    <xf numFmtId="0" fontId="100" fillId="2" borderId="45" xfId="2" applyFont="1" applyFill="1" applyBorder="1" applyAlignment="1" applyProtection="1">
      <alignment horizontal="center"/>
    </xf>
    <xf numFmtId="0" fontId="29" fillId="12" borderId="32" xfId="2" applyFont="1" applyFill="1" applyBorder="1" applyAlignment="1" applyProtection="1">
      <alignment horizontal="center"/>
    </xf>
    <xf numFmtId="2" fontId="43" fillId="12" borderId="32" xfId="2" applyNumberFormat="1" applyFont="1" applyFill="1" applyBorder="1" applyProtection="1"/>
    <xf numFmtId="0" fontId="0" fillId="0" borderId="33" xfId="0" applyFill="1" applyBorder="1" applyProtection="1"/>
    <xf numFmtId="0" fontId="10" fillId="0" borderId="35" xfId="0" applyFont="1" applyFill="1" applyBorder="1" applyAlignment="1" applyProtection="1">
      <alignment wrapText="1"/>
    </xf>
    <xf numFmtId="0" fontId="0" fillId="0" borderId="35" xfId="0" applyFill="1" applyBorder="1" applyProtection="1"/>
    <xf numFmtId="0" fontId="5" fillId="0" borderId="47" xfId="0" applyFont="1" applyFill="1" applyBorder="1" applyProtection="1"/>
    <xf numFmtId="0" fontId="10" fillId="0" borderId="48" xfId="0" applyFont="1" applyFill="1" applyBorder="1" applyAlignment="1" applyProtection="1">
      <alignment wrapText="1"/>
    </xf>
    <xf numFmtId="0" fontId="26" fillId="0" borderId="48" xfId="0" applyFont="1" applyFill="1" applyBorder="1" applyAlignment="1" applyProtection="1">
      <alignment horizontal="center"/>
    </xf>
    <xf numFmtId="0" fontId="23" fillId="12" borderId="43" xfId="0" applyFont="1" applyFill="1" applyBorder="1" applyProtection="1"/>
    <xf numFmtId="0" fontId="37" fillId="23" borderId="8" xfId="0" applyFont="1" applyFill="1" applyBorder="1" applyProtection="1"/>
    <xf numFmtId="0" fontId="39" fillId="23" borderId="8" xfId="0" applyFont="1" applyFill="1" applyBorder="1" applyProtection="1"/>
    <xf numFmtId="0" fontId="30" fillId="6" borderId="5" xfId="0" applyNumberFormat="1" applyFont="1" applyFill="1" applyBorder="1" applyAlignment="1">
      <alignment horizontal="center" vertical="center" wrapText="1"/>
    </xf>
    <xf numFmtId="0" fontId="55" fillId="12" borderId="44" xfId="0" applyFont="1" applyFill="1" applyBorder="1" applyAlignment="1" applyProtection="1">
      <alignment horizontal="right"/>
    </xf>
    <xf numFmtId="0" fontId="0" fillId="0" borderId="35" xfId="0" applyBorder="1" applyProtection="1"/>
    <xf numFmtId="0" fontId="27" fillId="3" borderId="47" xfId="0" applyNumberFormat="1" applyFont="1" applyFill="1" applyBorder="1" applyAlignment="1" applyProtection="1">
      <alignment horizontal="center"/>
    </xf>
    <xf numFmtId="0" fontId="0" fillId="0" borderId="33" xfId="0" applyBorder="1" applyProtection="1"/>
    <xf numFmtId="0" fontId="27" fillId="3" borderId="47" xfId="2" applyNumberFormat="1" applyFont="1" applyFill="1" applyBorder="1" applyAlignment="1" applyProtection="1">
      <alignment horizontal="center" vertical="center"/>
    </xf>
    <xf numFmtId="0" fontId="102" fillId="12" borderId="8" xfId="0" applyFont="1" applyFill="1" applyBorder="1" applyAlignment="1" applyProtection="1">
      <alignment wrapText="1"/>
    </xf>
    <xf numFmtId="0" fontId="103" fillId="12" borderId="8" xfId="0" applyFont="1" applyFill="1" applyBorder="1" applyAlignment="1" applyProtection="1">
      <alignment horizontal="center"/>
    </xf>
    <xf numFmtId="0" fontId="104" fillId="12" borderId="8" xfId="0" applyFont="1" applyFill="1" applyBorder="1" applyAlignment="1" applyProtection="1">
      <alignment horizontal="right"/>
    </xf>
    <xf numFmtId="0" fontId="101" fillId="12" borderId="5" xfId="0" applyFont="1" applyFill="1" applyBorder="1" applyProtection="1"/>
    <xf numFmtId="0" fontId="29" fillId="12" borderId="32" xfId="0" applyFont="1" applyFill="1" applyBorder="1" applyProtection="1"/>
    <xf numFmtId="0" fontId="35" fillId="23" borderId="8" xfId="0" applyFont="1" applyFill="1" applyBorder="1" applyProtection="1"/>
    <xf numFmtId="0" fontId="105" fillId="12" borderId="8" xfId="0" applyFont="1" applyFill="1" applyBorder="1" applyAlignment="1" applyProtection="1">
      <alignment horizontal="center"/>
    </xf>
    <xf numFmtId="0" fontId="106" fillId="0" borderId="20" xfId="2" applyFont="1" applyBorder="1" applyProtection="1"/>
    <xf numFmtId="0" fontId="106" fillId="0" borderId="9" xfId="2" applyFont="1" applyBorder="1" applyAlignment="1" applyProtection="1">
      <alignment horizontal="left"/>
    </xf>
    <xf numFmtId="0" fontId="106" fillId="0" borderId="1" xfId="2" applyFont="1" applyBorder="1" applyProtection="1"/>
    <xf numFmtId="0" fontId="25" fillId="0" borderId="1" xfId="2" applyFont="1" applyBorder="1" applyProtection="1"/>
    <xf numFmtId="0" fontId="35" fillId="0" borderId="1" xfId="2" applyFont="1" applyBorder="1" applyProtection="1"/>
    <xf numFmtId="0" fontId="106" fillId="0" borderId="1" xfId="2" applyFont="1" applyBorder="1" applyAlignment="1" applyProtection="1">
      <alignment horizontal="right"/>
    </xf>
    <xf numFmtId="0" fontId="46" fillId="10" borderId="9" xfId="2" applyFont="1" applyFill="1" applyBorder="1" applyProtection="1"/>
    <xf numFmtId="0" fontId="46" fillId="10" borderId="1" xfId="2" applyFont="1" applyFill="1" applyBorder="1" applyProtection="1"/>
    <xf numFmtId="0" fontId="46" fillId="10" borderId="18" xfId="2" applyFont="1" applyFill="1" applyBorder="1" applyProtection="1"/>
    <xf numFmtId="0" fontId="106" fillId="0" borderId="12" xfId="2" applyFont="1" applyBorder="1" applyAlignment="1" applyProtection="1">
      <alignment wrapText="1"/>
    </xf>
    <xf numFmtId="0" fontId="106" fillId="0" borderId="2" xfId="2" applyFont="1" applyBorder="1" applyProtection="1"/>
    <xf numFmtId="0" fontId="25" fillId="0" borderId="2" xfId="2" applyFont="1" applyBorder="1" applyProtection="1"/>
    <xf numFmtId="0" fontId="35" fillId="0" borderId="2" xfId="2" applyFont="1" applyBorder="1" applyProtection="1"/>
    <xf numFmtId="1" fontId="35" fillId="0" borderId="2" xfId="2" applyNumberFormat="1" applyFont="1" applyBorder="1" applyProtection="1"/>
    <xf numFmtId="0" fontId="46" fillId="10" borderId="6" xfId="2" applyFont="1" applyFill="1" applyBorder="1" applyProtection="1"/>
    <xf numFmtId="0" fontId="46" fillId="10" borderId="2" xfId="2" applyFont="1" applyFill="1" applyBorder="1" applyProtection="1"/>
    <xf numFmtId="0" fontId="46" fillId="10" borderId="3" xfId="2" applyFont="1" applyFill="1" applyBorder="1" applyProtection="1"/>
    <xf numFmtId="0" fontId="46" fillId="0" borderId="9" xfId="2" applyFont="1" applyBorder="1" applyProtection="1"/>
    <xf numFmtId="0" fontId="46" fillId="0" borderId="1" xfId="2" applyFont="1" applyBorder="1" applyAlignment="1" applyProtection="1">
      <alignment horizontal="left"/>
    </xf>
    <xf numFmtId="0" fontId="46" fillId="0" borderId="1" xfId="2" applyFont="1" applyBorder="1" applyProtection="1"/>
    <xf numFmtId="0" fontId="25" fillId="0" borderId="0" xfId="2" applyFont="1" applyBorder="1" applyProtection="1"/>
    <xf numFmtId="0" fontId="46" fillId="0" borderId="4" xfId="2" applyFont="1" applyBorder="1" applyAlignment="1" applyProtection="1">
      <alignment horizontal="right"/>
    </xf>
    <xf numFmtId="0" fontId="46" fillId="0" borderId="6" xfId="2" applyFont="1" applyBorder="1" applyAlignment="1" applyProtection="1">
      <alignment wrapText="1"/>
    </xf>
    <xf numFmtId="0" fontId="46" fillId="0" borderId="2" xfId="2" applyFont="1" applyBorder="1" applyProtection="1"/>
    <xf numFmtId="0" fontId="61" fillId="13" borderId="7" xfId="2" applyFont="1" applyFill="1" applyBorder="1" applyProtection="1"/>
    <xf numFmtId="0" fontId="25" fillId="13" borderId="11" xfId="2" applyFont="1" applyFill="1" applyBorder="1" applyProtection="1"/>
    <xf numFmtId="0" fontId="61" fillId="13" borderId="15" xfId="2" applyFont="1" applyFill="1" applyBorder="1" applyProtection="1"/>
    <xf numFmtId="0" fontId="35" fillId="0" borderId="0" xfId="2" applyFont="1" applyBorder="1" applyProtection="1"/>
    <xf numFmtId="0" fontId="25" fillId="13" borderId="15" xfId="2" applyFont="1" applyFill="1" applyBorder="1" applyProtection="1"/>
    <xf numFmtId="0" fontId="61" fillId="13" borderId="6" xfId="2" applyFont="1" applyFill="1" applyBorder="1" applyProtection="1"/>
    <xf numFmtId="0" fontId="61" fillId="13" borderId="2" xfId="2" applyFont="1" applyFill="1" applyBorder="1" applyProtection="1"/>
    <xf numFmtId="0" fontId="61" fillId="13" borderId="3" xfId="2" applyFont="1" applyFill="1" applyBorder="1" applyProtection="1"/>
    <xf numFmtId="0" fontId="35" fillId="13" borderId="7" xfId="2" applyFont="1" applyFill="1" applyBorder="1" applyProtection="1"/>
    <xf numFmtId="0" fontId="35" fillId="13" borderId="11" xfId="2" applyFont="1" applyFill="1" applyBorder="1" applyProtection="1"/>
    <xf numFmtId="0" fontId="35" fillId="13" borderId="15" xfId="2" applyFont="1" applyFill="1" applyBorder="1" applyProtection="1"/>
    <xf numFmtId="0" fontId="35" fillId="13" borderId="2" xfId="2" applyFont="1" applyFill="1" applyBorder="1" applyProtection="1"/>
    <xf numFmtId="0" fontId="25" fillId="13" borderId="2" xfId="2" applyFont="1" applyFill="1" applyBorder="1" applyProtection="1"/>
    <xf numFmtId="0" fontId="35" fillId="13" borderId="3" xfId="2" applyFont="1" applyFill="1" applyBorder="1" applyProtection="1"/>
    <xf numFmtId="0" fontId="35" fillId="13" borderId="6" xfId="2" applyFont="1" applyFill="1" applyBorder="1" applyProtection="1"/>
    <xf numFmtId="0" fontId="35" fillId="4" borderId="0" xfId="2" applyFont="1" applyFill="1" applyBorder="1" applyProtection="1"/>
    <xf numFmtId="0" fontId="25" fillId="0" borderId="0" xfId="2" applyFont="1" applyBorder="1" applyAlignment="1" applyProtection="1">
      <alignment wrapText="1"/>
    </xf>
    <xf numFmtId="0" fontId="47" fillId="0" borderId="0" xfId="2" applyFont="1" applyFill="1" applyBorder="1" applyAlignment="1" applyProtection="1">
      <alignment horizontal="center"/>
    </xf>
    <xf numFmtId="0" fontId="35" fillId="0" borderId="7" xfId="2" applyFont="1" applyBorder="1" applyAlignment="1" applyProtection="1">
      <alignment wrapText="1"/>
    </xf>
    <xf numFmtId="0" fontId="46" fillId="0" borderId="0" xfId="2" applyFont="1" applyBorder="1" applyProtection="1"/>
    <xf numFmtId="1" fontId="94" fillId="0" borderId="0" xfId="2" applyNumberFormat="1" applyFont="1" applyBorder="1" applyAlignment="1" applyProtection="1"/>
    <xf numFmtId="0" fontId="108" fillId="0" borderId="9" xfId="2" applyFont="1" applyBorder="1" applyProtection="1"/>
    <xf numFmtId="0" fontId="108" fillId="0" borderId="1" xfId="2" applyFont="1" applyBorder="1" applyAlignment="1" applyProtection="1">
      <alignment horizontal="left"/>
    </xf>
    <xf numFmtId="0" fontId="108" fillId="0" borderId="1" xfId="2" applyFont="1" applyBorder="1" applyProtection="1"/>
    <xf numFmtId="0" fontId="108" fillId="0" borderId="18" xfId="2" applyFont="1" applyBorder="1" applyAlignment="1" applyProtection="1">
      <alignment horizontal="right"/>
    </xf>
    <xf numFmtId="0" fontId="108" fillId="0" borderId="6" xfId="2" applyFont="1" applyBorder="1" applyProtection="1"/>
    <xf numFmtId="0" fontId="108" fillId="0" borderId="2" xfId="2" applyFont="1" applyBorder="1" applyProtection="1"/>
    <xf numFmtId="0" fontId="108" fillId="0" borderId="0" xfId="2" applyFont="1" applyBorder="1" applyProtection="1"/>
    <xf numFmtId="1" fontId="96" fillId="0" borderId="0" xfId="2" applyNumberFormat="1" applyFont="1" applyBorder="1" applyAlignment="1" applyProtection="1"/>
    <xf numFmtId="0" fontId="35" fillId="13" borderId="10" xfId="2" applyFont="1" applyFill="1" applyBorder="1" applyProtection="1"/>
    <xf numFmtId="0" fontId="25" fillId="13" borderId="0" xfId="2" applyFont="1" applyFill="1" applyBorder="1" applyProtection="1"/>
    <xf numFmtId="0" fontId="35" fillId="13" borderId="4" xfId="2" applyFont="1" applyFill="1" applyBorder="1" applyProtection="1"/>
    <xf numFmtId="0" fontId="46" fillId="13" borderId="11" xfId="2" applyFont="1" applyFill="1" applyBorder="1" applyProtection="1"/>
    <xf numFmtId="0" fontId="25" fillId="0" borderId="0" xfId="2" applyFont="1" applyFill="1" applyProtection="1"/>
    <xf numFmtId="0" fontId="108" fillId="0" borderId="0" xfId="2" applyFont="1" applyFill="1" applyBorder="1" applyProtection="1"/>
    <xf numFmtId="0" fontId="108" fillId="13" borderId="11" xfId="2" applyFont="1" applyFill="1" applyBorder="1" applyProtection="1"/>
    <xf numFmtId="0" fontId="108" fillId="13" borderId="2" xfId="2" applyFont="1" applyFill="1" applyBorder="1" applyProtection="1"/>
    <xf numFmtId="0" fontId="46" fillId="13" borderId="2" xfId="2" applyFont="1" applyFill="1" applyBorder="1" applyProtection="1"/>
    <xf numFmtId="1" fontId="96" fillId="13" borderId="2" xfId="2" applyNumberFormat="1" applyFont="1" applyFill="1" applyBorder="1" applyAlignment="1" applyProtection="1"/>
    <xf numFmtId="0" fontId="25" fillId="13" borderId="0" xfId="2" applyFont="1" applyFill="1" applyProtection="1"/>
    <xf numFmtId="1" fontId="96" fillId="13" borderId="11" xfId="2" applyNumberFormat="1" applyFont="1" applyFill="1" applyBorder="1" applyAlignment="1" applyProtection="1"/>
    <xf numFmtId="0" fontId="35" fillId="0" borderId="5" xfId="2" applyFont="1" applyBorder="1" applyAlignment="1" applyProtection="1">
      <alignment wrapText="1"/>
    </xf>
    <xf numFmtId="0" fontId="46" fillId="10" borderId="7" xfId="2" applyFont="1" applyFill="1" applyBorder="1" applyProtection="1"/>
    <xf numFmtId="0" fontId="46" fillId="10" borderId="11" xfId="2" applyFont="1" applyFill="1" applyBorder="1" applyProtection="1"/>
    <xf numFmtId="0" fontId="46" fillId="10" borderId="15" xfId="2" applyFont="1" applyFill="1" applyBorder="1" applyProtection="1"/>
    <xf numFmtId="0" fontId="35" fillId="0" borderId="0" xfId="2" applyFont="1" applyBorder="1" applyAlignment="1" applyProtection="1">
      <alignment wrapText="1"/>
    </xf>
    <xf numFmtId="0" fontId="47" fillId="0" borderId="0" xfId="2" applyFont="1" applyFill="1" applyBorder="1" applyProtection="1"/>
    <xf numFmtId="0" fontId="107" fillId="0" borderId="8" xfId="2" applyFont="1" applyFill="1" applyBorder="1" applyAlignment="1" applyProtection="1">
      <alignment horizontal="center"/>
    </xf>
    <xf numFmtId="0" fontId="107" fillId="0" borderId="0" xfId="2" applyFont="1" applyFill="1" applyBorder="1" applyAlignment="1" applyProtection="1">
      <alignment horizontal="center"/>
    </xf>
    <xf numFmtId="0" fontId="25" fillId="0" borderId="0" xfId="2" applyFont="1" applyAlignment="1" applyProtection="1">
      <alignment horizontal="center"/>
    </xf>
    <xf numFmtId="0" fontId="35" fillId="0" borderId="7" xfId="2" applyFont="1" applyBorder="1" applyProtection="1"/>
    <xf numFmtId="0" fontId="30" fillId="6" borderId="49" xfId="2" applyNumberFormat="1" applyFont="1" applyFill="1" applyBorder="1" applyAlignment="1" applyProtection="1">
      <alignment horizontal="center" wrapText="1"/>
    </xf>
    <xf numFmtId="0" fontId="30" fillId="6" borderId="5" xfId="2" applyNumberFormat="1" applyFont="1" applyFill="1" applyBorder="1" applyAlignment="1" applyProtection="1">
      <alignment horizontal="center" wrapText="1"/>
    </xf>
    <xf numFmtId="0" fontId="46" fillId="0" borderId="20" xfId="2" applyFont="1" applyBorder="1" applyProtection="1"/>
    <xf numFmtId="0" fontId="35" fillId="0" borderId="0" xfId="2" applyFont="1" applyFill="1" applyBorder="1" applyAlignment="1" applyProtection="1">
      <alignment horizontal="center"/>
    </xf>
    <xf numFmtId="0" fontId="46" fillId="0" borderId="12" xfId="2" applyFont="1" applyBorder="1" applyAlignment="1" applyProtection="1">
      <alignment wrapText="1"/>
    </xf>
    <xf numFmtId="0" fontId="46" fillId="0" borderId="9" xfId="2" applyFont="1" applyBorder="1" applyAlignment="1" applyProtection="1">
      <alignment horizontal="left"/>
    </xf>
    <xf numFmtId="0" fontId="46" fillId="0" borderId="18" xfId="2" applyFont="1" applyBorder="1" applyAlignment="1" applyProtection="1">
      <alignment horizontal="right"/>
    </xf>
    <xf numFmtId="0" fontId="26" fillId="0" borderId="50" xfId="0" applyFont="1" applyFill="1" applyBorder="1" applyAlignment="1" applyProtection="1">
      <alignment horizontal="center"/>
    </xf>
    <xf numFmtId="0" fontId="0" fillId="0" borderId="50" xfId="0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2" applyFont="1" applyFill="1" applyProtection="1"/>
    <xf numFmtId="0" fontId="1" fillId="12" borderId="51" xfId="0" applyFont="1" applyFill="1" applyBorder="1" applyProtection="1"/>
    <xf numFmtId="0" fontId="87" fillId="0" borderId="32" xfId="0" applyFont="1" applyFill="1" applyBorder="1" applyAlignment="1" applyProtection="1">
      <alignment horizontal="center" vertical="center"/>
    </xf>
    <xf numFmtId="0" fontId="27" fillId="3" borderId="32" xfId="0" applyNumberFormat="1" applyFont="1" applyFill="1" applyBorder="1" applyAlignment="1" applyProtection="1">
      <alignment horizontal="center" vertical="center"/>
    </xf>
    <xf numFmtId="2" fontId="13" fillId="0" borderId="32" xfId="0" applyNumberFormat="1" applyFont="1" applyFill="1" applyBorder="1" applyAlignment="1" applyProtection="1">
      <alignment horizontal="center" vertical="center"/>
    </xf>
    <xf numFmtId="2" fontId="46" fillId="7" borderId="32" xfId="0" applyNumberFormat="1" applyFont="1" applyFill="1" applyBorder="1" applyAlignment="1" applyProtection="1">
      <alignment horizontal="center" vertical="center"/>
    </xf>
    <xf numFmtId="49" fontId="29" fillId="12" borderId="15" xfId="0" applyNumberFormat="1" applyFont="1" applyFill="1" applyBorder="1" applyAlignment="1" applyProtection="1">
      <alignment horizontal="center" wrapText="1"/>
    </xf>
    <xf numFmtId="0" fontId="35" fillId="0" borderId="0" xfId="0" applyFont="1" applyBorder="1" applyAlignment="1" applyProtection="1">
      <alignment horizontal="right"/>
    </xf>
    <xf numFmtId="0" fontId="109" fillId="24" borderId="7" xfId="2" applyFont="1" applyFill="1" applyBorder="1" applyAlignment="1" applyProtection="1">
      <alignment horizontal="center"/>
    </xf>
    <xf numFmtId="0" fontId="109" fillId="24" borderId="11" xfId="2" applyFont="1" applyFill="1" applyBorder="1" applyAlignment="1" applyProtection="1">
      <alignment horizontal="center"/>
    </xf>
    <xf numFmtId="0" fontId="109" fillId="24" borderId="15" xfId="2" applyFont="1" applyFill="1" applyBorder="1" applyAlignment="1" applyProtection="1">
      <alignment horizontal="center"/>
    </xf>
    <xf numFmtId="0" fontId="110" fillId="0" borderId="7" xfId="2" applyFont="1" applyBorder="1" applyAlignment="1" applyProtection="1">
      <alignment horizontal="center"/>
    </xf>
    <xf numFmtId="0" fontId="110" fillId="0" borderId="11" xfId="2" applyFont="1" applyBorder="1" applyAlignment="1" applyProtection="1">
      <alignment horizontal="center"/>
    </xf>
    <xf numFmtId="0" fontId="110" fillId="0" borderId="11" xfId="2" applyFont="1" applyFill="1" applyBorder="1" applyProtection="1"/>
    <xf numFmtId="0" fontId="110" fillId="0" borderId="15" xfId="2" applyFont="1" applyBorder="1" applyAlignment="1" applyProtection="1">
      <alignment horizontal="center"/>
    </xf>
    <xf numFmtId="49" fontId="111" fillId="0" borderId="0" xfId="0" applyNumberFormat="1" applyFont="1" applyFill="1" applyBorder="1" applyAlignment="1" applyProtection="1">
      <alignment horizontal="center" wrapText="1"/>
    </xf>
    <xf numFmtId="0" fontId="110" fillId="0" borderId="11" xfId="2" applyFont="1" applyFill="1" applyBorder="1" applyAlignment="1" applyProtection="1">
      <alignment horizontal="center"/>
    </xf>
    <xf numFmtId="2" fontId="101" fillId="12" borderId="8" xfId="2" applyNumberFormat="1" applyFont="1" applyFill="1" applyBorder="1" applyProtection="1"/>
    <xf numFmtId="0" fontId="101" fillId="12" borderId="8" xfId="2" applyFont="1" applyFill="1" applyBorder="1" applyProtection="1"/>
    <xf numFmtId="0" fontId="87" fillId="0" borderId="32" xfId="0" applyFont="1" applyFill="1" applyBorder="1" applyAlignment="1" applyProtection="1">
      <alignment horizontal="center" vertical="center"/>
    </xf>
    <xf numFmtId="0" fontId="27" fillId="3" borderId="32" xfId="2" applyNumberFormat="1" applyFont="1" applyFill="1" applyBorder="1" applyAlignment="1" applyProtection="1">
      <alignment horizontal="center" vertical="center"/>
    </xf>
    <xf numFmtId="2" fontId="13" fillId="0" borderId="32" xfId="0" applyNumberFormat="1" applyFont="1" applyFill="1" applyBorder="1" applyAlignment="1" applyProtection="1">
      <alignment horizontal="center"/>
    </xf>
    <xf numFmtId="2" fontId="13" fillId="7" borderId="32" xfId="2" applyNumberFormat="1" applyFont="1" applyFill="1" applyBorder="1" applyAlignment="1" applyProtection="1">
      <alignment horizontal="center"/>
    </xf>
    <xf numFmtId="2" fontId="13" fillId="0" borderId="32" xfId="0" applyNumberFormat="1" applyFont="1" applyFill="1" applyBorder="1" applyAlignment="1" applyProtection="1">
      <alignment horizontal="center" vertical="center"/>
    </xf>
    <xf numFmtId="0" fontId="1" fillId="0" borderId="32" xfId="2" applyBorder="1" applyProtection="1"/>
    <xf numFmtId="0" fontId="1" fillId="12" borderId="32" xfId="2" applyFont="1" applyFill="1" applyBorder="1" applyProtection="1"/>
    <xf numFmtId="0" fontId="23" fillId="12" borderId="32" xfId="0" applyFont="1" applyFill="1" applyBorder="1" applyProtection="1"/>
    <xf numFmtId="0" fontId="97" fillId="0" borderId="0" xfId="2" applyFont="1" applyBorder="1" applyAlignment="1" applyProtection="1">
      <alignment horizontal="right"/>
    </xf>
    <xf numFmtId="0" fontId="97" fillId="0" borderId="0" xfId="2" applyFont="1" applyBorder="1" applyProtection="1"/>
    <xf numFmtId="0" fontId="97" fillId="0" borderId="0" xfId="2" applyFont="1" applyBorder="1" applyAlignment="1" applyProtection="1">
      <alignment horizontal="left"/>
    </xf>
    <xf numFmtId="0" fontId="112" fillId="0" borderId="0" xfId="2" applyFont="1" applyBorder="1" applyProtection="1"/>
    <xf numFmtId="0" fontId="5" fillId="0" borderId="52" xfId="0" applyFont="1" applyFill="1" applyBorder="1" applyProtection="1"/>
    <xf numFmtId="0" fontId="0" fillId="0" borderId="50" xfId="0" applyBorder="1" applyProtection="1"/>
    <xf numFmtId="0" fontId="9" fillId="0" borderId="50" xfId="0" applyFont="1" applyFill="1" applyBorder="1" applyAlignment="1" applyProtection="1">
      <alignment horizontal="left"/>
    </xf>
    <xf numFmtId="0" fontId="0" fillId="0" borderId="52" xfId="0" applyBorder="1" applyProtection="1"/>
    <xf numFmtId="0" fontId="9" fillId="0" borderId="50" xfId="0" applyFont="1" applyBorder="1" applyAlignment="1" applyProtection="1">
      <alignment horizontal="left"/>
    </xf>
    <xf numFmtId="0" fontId="97" fillId="12" borderId="53" xfId="0" applyFont="1" applyFill="1" applyBorder="1" applyProtection="1"/>
    <xf numFmtId="0" fontId="97" fillId="12" borderId="54" xfId="0" applyFont="1" applyFill="1" applyBorder="1" applyProtection="1"/>
    <xf numFmtId="1" fontId="96" fillId="0" borderId="2" xfId="2" applyNumberFormat="1" applyFont="1" applyBorder="1" applyAlignment="1" applyProtection="1">
      <alignment horizontal="right"/>
    </xf>
    <xf numFmtId="1" fontId="96" fillId="0" borderId="3" xfId="2" applyNumberFormat="1" applyFont="1" applyBorder="1" applyAlignment="1" applyProtection="1">
      <alignment horizontal="right"/>
    </xf>
    <xf numFmtId="1" fontId="96" fillId="0" borderId="6" xfId="2" applyNumberFormat="1" applyFont="1" applyBorder="1" applyAlignment="1" applyProtection="1">
      <alignment horizontal="left"/>
    </xf>
    <xf numFmtId="1" fontId="96" fillId="0" borderId="2" xfId="2" applyNumberFormat="1" applyFont="1" applyBorder="1" applyAlignment="1" applyProtection="1">
      <alignment horizontal="left"/>
    </xf>
    <xf numFmtId="1" fontId="94" fillId="0" borderId="6" xfId="2" applyNumberFormat="1" applyFont="1" applyBorder="1" applyAlignment="1" applyProtection="1">
      <alignment horizontal="left"/>
    </xf>
    <xf numFmtId="1" fontId="94" fillId="0" borderId="2" xfId="2" applyNumberFormat="1" applyFont="1" applyBorder="1" applyAlignment="1" applyProtection="1">
      <alignment horizontal="left"/>
    </xf>
    <xf numFmtId="1" fontId="94" fillId="0" borderId="2" xfId="2" applyNumberFormat="1" applyFont="1" applyBorder="1" applyAlignment="1" applyProtection="1">
      <alignment horizontal="right"/>
    </xf>
    <xf numFmtId="1" fontId="94" fillId="0" borderId="3" xfId="2" applyNumberFormat="1" applyFont="1" applyBorder="1" applyAlignment="1" applyProtection="1">
      <alignment horizontal="right"/>
    </xf>
    <xf numFmtId="1" fontId="95" fillId="0" borderId="2" xfId="2" applyNumberFormat="1" applyFont="1" applyBorder="1" applyAlignment="1" applyProtection="1">
      <alignment horizontal="right"/>
    </xf>
    <xf numFmtId="1" fontId="95" fillId="0" borderId="3" xfId="2" applyNumberFormat="1" applyFont="1" applyBorder="1" applyAlignment="1" applyProtection="1">
      <alignment horizontal="right"/>
    </xf>
    <xf numFmtId="1" fontId="21" fillId="0" borderId="0" xfId="2" applyNumberFormat="1" applyFont="1" applyBorder="1" applyAlignment="1" applyProtection="1">
      <alignment horizontal="right"/>
    </xf>
    <xf numFmtId="1" fontId="97" fillId="0" borderId="0" xfId="2" applyNumberFormat="1" applyFont="1" applyBorder="1" applyAlignment="1" applyProtection="1">
      <alignment horizontal="center"/>
    </xf>
    <xf numFmtId="0" fontId="14" fillId="0" borderId="0" xfId="2" applyNumberFormat="1" applyFont="1" applyFill="1" applyBorder="1" applyAlignment="1" applyProtection="1">
      <alignment horizontal="center"/>
    </xf>
    <xf numFmtId="49" fontId="29" fillId="17" borderId="20" xfId="2" applyNumberFormat="1" applyFont="1" applyFill="1" applyBorder="1" applyAlignment="1" applyProtection="1">
      <alignment horizontal="center" wrapText="1"/>
    </xf>
    <xf numFmtId="49" fontId="29" fillId="17" borderId="12" xfId="2" applyNumberFormat="1" applyFont="1" applyFill="1" applyBorder="1" applyAlignment="1" applyProtection="1">
      <alignment horizontal="center" wrapText="1"/>
    </xf>
    <xf numFmtId="49" fontId="29" fillId="12" borderId="20" xfId="2" applyNumberFormat="1" applyFont="1" applyFill="1" applyBorder="1" applyAlignment="1" applyProtection="1">
      <alignment horizontal="center" wrapText="1"/>
    </xf>
    <xf numFmtId="49" fontId="29" fillId="12" borderId="12" xfId="2" applyNumberFormat="1" applyFont="1" applyFill="1" applyBorder="1" applyAlignment="1" applyProtection="1">
      <alignment horizontal="center" wrapText="1"/>
    </xf>
    <xf numFmtId="2" fontId="70" fillId="0" borderId="7" xfId="2" applyNumberFormat="1" applyFont="1" applyFill="1" applyBorder="1" applyAlignment="1" applyProtection="1">
      <alignment horizontal="center"/>
    </xf>
    <xf numFmtId="2" fontId="70" fillId="0" borderId="15" xfId="2" applyNumberFormat="1" applyFont="1" applyFill="1" applyBorder="1" applyAlignment="1" applyProtection="1">
      <alignment horizontal="center"/>
    </xf>
    <xf numFmtId="0" fontId="87" fillId="0" borderId="32" xfId="0" applyFont="1" applyFill="1" applyBorder="1" applyAlignment="1" applyProtection="1">
      <alignment horizontal="center" vertical="center"/>
    </xf>
    <xf numFmtId="0" fontId="27" fillId="3" borderId="32" xfId="2" applyNumberFormat="1" applyFont="1" applyFill="1" applyBorder="1" applyAlignment="1" applyProtection="1">
      <alignment horizontal="center" vertical="center"/>
    </xf>
    <xf numFmtId="2" fontId="13" fillId="0" borderId="32" xfId="0" applyNumberFormat="1" applyFont="1" applyFill="1" applyBorder="1" applyAlignment="1" applyProtection="1">
      <alignment horizontal="center"/>
    </xf>
    <xf numFmtId="2" fontId="13" fillId="7" borderId="32" xfId="2" applyNumberFormat="1" applyFont="1" applyFill="1" applyBorder="1" applyAlignment="1" applyProtection="1">
      <alignment horizontal="center"/>
    </xf>
    <xf numFmtId="0" fontId="13" fillId="7" borderId="32" xfId="2" applyFont="1" applyFill="1" applyBorder="1" applyAlignment="1" applyProtection="1">
      <alignment horizontal="center" vertical="center"/>
    </xf>
    <xf numFmtId="49" fontId="5" fillId="15" borderId="7" xfId="2" applyNumberFormat="1" applyFont="1" applyFill="1" applyBorder="1" applyAlignment="1" applyProtection="1">
      <alignment horizontal="center" wrapText="1"/>
    </xf>
    <xf numFmtId="49" fontId="5" fillId="15" borderId="11" xfId="2" applyNumberFormat="1" applyFont="1" applyFill="1" applyBorder="1" applyAlignment="1" applyProtection="1">
      <alignment horizontal="center" wrapText="1"/>
    </xf>
    <xf numFmtId="49" fontId="5" fillId="15" borderId="15" xfId="2" applyNumberFormat="1" applyFont="1" applyFill="1" applyBorder="1" applyAlignment="1" applyProtection="1">
      <alignment horizontal="center" wrapText="1"/>
    </xf>
    <xf numFmtId="2" fontId="13" fillId="0" borderId="32" xfId="2" applyNumberFormat="1" applyFont="1" applyFill="1" applyBorder="1" applyAlignment="1" applyProtection="1">
      <alignment horizontal="center"/>
    </xf>
    <xf numFmtId="0" fontId="5" fillId="0" borderId="33" xfId="2" applyFont="1" applyFill="1" applyBorder="1" applyAlignment="1" applyProtection="1">
      <alignment horizontal="center"/>
    </xf>
    <xf numFmtId="0" fontId="5" fillId="0" borderId="34" xfId="2" applyFont="1" applyFill="1" applyBorder="1" applyAlignment="1" applyProtection="1">
      <alignment horizontal="center"/>
    </xf>
    <xf numFmtId="0" fontId="5" fillId="0" borderId="35" xfId="2" applyFont="1" applyFill="1" applyBorder="1" applyAlignment="1" applyProtection="1">
      <alignment horizontal="center"/>
    </xf>
    <xf numFmtId="1" fontId="95" fillId="0" borderId="6" xfId="2" applyNumberFormat="1" applyFont="1" applyBorder="1" applyAlignment="1" applyProtection="1">
      <alignment horizontal="left"/>
    </xf>
    <xf numFmtId="1" fontId="95" fillId="0" borderId="2" xfId="2" applyNumberFormat="1" applyFont="1" applyBorder="1" applyAlignment="1" applyProtection="1">
      <alignment horizontal="left"/>
    </xf>
    <xf numFmtId="1" fontId="96" fillId="0" borderId="6" xfId="0" applyNumberFormat="1" applyFont="1" applyBorder="1" applyAlignment="1" applyProtection="1">
      <alignment horizontal="left"/>
    </xf>
    <xf numFmtId="1" fontId="96" fillId="0" borderId="2" xfId="0" applyNumberFormat="1" applyFont="1" applyBorder="1" applyAlignment="1" applyProtection="1">
      <alignment horizontal="left"/>
    </xf>
    <xf numFmtId="1" fontId="96" fillId="0" borderId="2" xfId="0" applyNumberFormat="1" applyFont="1" applyBorder="1" applyAlignment="1" applyProtection="1">
      <alignment horizontal="right"/>
    </xf>
    <xf numFmtId="1" fontId="96" fillId="0" borderId="3" xfId="0" applyNumberFormat="1" applyFont="1" applyBorder="1" applyAlignment="1" applyProtection="1">
      <alignment horizontal="right"/>
    </xf>
    <xf numFmtId="1" fontId="94" fillId="0" borderId="2" xfId="0" applyNumberFormat="1" applyFont="1" applyFill="1" applyBorder="1" applyAlignment="1" applyProtection="1">
      <alignment horizontal="right"/>
    </xf>
    <xf numFmtId="1" fontId="94" fillId="0" borderId="3" xfId="0" applyNumberFormat="1" applyFont="1" applyFill="1" applyBorder="1" applyAlignment="1" applyProtection="1">
      <alignment horizontal="right"/>
    </xf>
    <xf numFmtId="1" fontId="94" fillId="0" borderId="6" xfId="0" applyNumberFormat="1" applyFont="1" applyFill="1" applyBorder="1" applyAlignment="1" applyProtection="1">
      <alignment horizontal="left"/>
    </xf>
    <xf numFmtId="1" fontId="94" fillId="0" borderId="2" xfId="0" applyNumberFormat="1" applyFont="1" applyFill="1" applyBorder="1" applyAlignment="1" applyProtection="1">
      <alignment horizontal="left"/>
    </xf>
    <xf numFmtId="1" fontId="95" fillId="0" borderId="2" xfId="0" applyNumberFormat="1" applyFont="1" applyFill="1" applyBorder="1" applyAlignment="1" applyProtection="1">
      <alignment horizontal="right"/>
    </xf>
    <xf numFmtId="1" fontId="95" fillId="0" borderId="3" xfId="0" applyNumberFormat="1" applyFont="1" applyFill="1" applyBorder="1" applyAlignment="1" applyProtection="1">
      <alignment horizontal="right"/>
    </xf>
    <xf numFmtId="49" fontId="5" fillId="14" borderId="7" xfId="2" applyNumberFormat="1" applyFont="1" applyFill="1" applyBorder="1" applyAlignment="1" applyProtection="1">
      <alignment horizontal="center" vertical="center" wrapText="1"/>
    </xf>
    <xf numFmtId="49" fontId="5" fillId="14" borderId="11" xfId="2" applyNumberFormat="1" applyFont="1" applyFill="1" applyBorder="1" applyAlignment="1" applyProtection="1">
      <alignment horizontal="center" vertical="center" wrapText="1"/>
    </xf>
    <xf numFmtId="49" fontId="5" fillId="14" borderId="15" xfId="2" applyNumberFormat="1" applyFont="1" applyFill="1" applyBorder="1" applyAlignment="1" applyProtection="1">
      <alignment horizontal="center" vertical="center" wrapText="1"/>
    </xf>
    <xf numFmtId="1" fontId="97" fillId="0" borderId="0" xfId="0" applyNumberFormat="1" applyFont="1" applyFill="1" applyBorder="1" applyAlignment="1" applyProtection="1">
      <alignment horizontal="center"/>
    </xf>
    <xf numFmtId="49" fontId="29" fillId="5" borderId="20" xfId="0" applyNumberFormat="1" applyFont="1" applyFill="1" applyBorder="1" applyAlignment="1" applyProtection="1">
      <alignment horizontal="center" vertical="center" wrapText="1"/>
    </xf>
    <xf numFmtId="49" fontId="29" fillId="5" borderId="12" xfId="0" applyNumberFormat="1" applyFont="1" applyFill="1" applyBorder="1" applyAlignment="1" applyProtection="1">
      <alignment horizontal="center" vertical="center" wrapText="1"/>
    </xf>
    <xf numFmtId="2" fontId="52" fillId="14" borderId="7" xfId="0" applyNumberFormat="1" applyFont="1" applyFill="1" applyBorder="1" applyAlignment="1" applyProtection="1">
      <alignment horizontal="center"/>
    </xf>
    <xf numFmtId="2" fontId="52" fillId="14" borderId="15" xfId="0" applyNumberFormat="1" applyFont="1" applyFill="1" applyBorder="1" applyAlignment="1" applyProtection="1">
      <alignment horizontal="center"/>
    </xf>
    <xf numFmtId="0" fontId="27" fillId="3" borderId="32" xfId="0" applyNumberFormat="1" applyFont="1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/>
    </xf>
    <xf numFmtId="2" fontId="13" fillId="0" borderId="32" xfId="0" applyNumberFormat="1" applyFont="1" applyFill="1" applyBorder="1" applyAlignment="1" applyProtection="1">
      <alignment horizontal="center" vertical="center"/>
    </xf>
    <xf numFmtId="2" fontId="46" fillId="7" borderId="32" xfId="0" applyNumberFormat="1" applyFont="1" applyFill="1" applyBorder="1" applyAlignment="1" applyProtection="1">
      <alignment horizontal="center" vertical="center"/>
    </xf>
    <xf numFmtId="0" fontId="92" fillId="7" borderId="32" xfId="0" applyFont="1" applyFill="1" applyBorder="1" applyAlignment="1" applyProtection="1">
      <alignment horizontal="center" vertical="center" wrapText="1"/>
    </xf>
    <xf numFmtId="49" fontId="35" fillId="19" borderId="42" xfId="0" applyNumberFormat="1" applyFont="1" applyFill="1" applyBorder="1" applyAlignment="1">
      <alignment horizontal="center" wrapText="1"/>
    </xf>
    <xf numFmtId="0" fontId="46" fillId="0" borderId="33" xfId="0" applyFont="1" applyBorder="1" applyAlignment="1" applyProtection="1">
      <alignment horizontal="center"/>
    </xf>
    <xf numFmtId="0" fontId="46" fillId="0" borderId="34" xfId="0" applyFont="1" applyBorder="1" applyAlignment="1" applyProtection="1">
      <alignment horizontal="center"/>
    </xf>
    <xf numFmtId="0" fontId="46" fillId="0" borderId="35" xfId="0" applyFont="1" applyBorder="1" applyAlignment="1" applyProtection="1">
      <alignment horizontal="center"/>
    </xf>
    <xf numFmtId="1" fontId="95" fillId="0" borderId="6" xfId="0" applyNumberFormat="1" applyFont="1" applyFill="1" applyBorder="1" applyAlignment="1" applyProtection="1">
      <alignment horizontal="left"/>
    </xf>
    <xf numFmtId="1" fontId="95" fillId="0" borderId="2" xfId="0" applyNumberFormat="1" applyFont="1" applyFill="1" applyBorder="1" applyAlignment="1" applyProtection="1">
      <alignment horizontal="left"/>
    </xf>
    <xf numFmtId="1" fontId="94" fillId="0" borderId="2" xfId="0" applyNumberFormat="1" applyFont="1" applyBorder="1" applyAlignment="1" applyProtection="1">
      <alignment horizontal="right"/>
    </xf>
    <xf numFmtId="1" fontId="94" fillId="0" borderId="3" xfId="0" applyNumberFormat="1" applyFont="1" applyBorder="1" applyAlignment="1" applyProtection="1">
      <alignment horizontal="right"/>
    </xf>
    <xf numFmtId="1" fontId="94" fillId="0" borderId="6" xfId="0" applyNumberFormat="1" applyFont="1" applyBorder="1" applyAlignment="1" applyProtection="1">
      <alignment horizontal="left"/>
    </xf>
    <xf numFmtId="1" fontId="94" fillId="0" borderId="2" xfId="0" applyNumberFormat="1" applyFont="1" applyBorder="1" applyAlignment="1" applyProtection="1">
      <alignment horizontal="left"/>
    </xf>
    <xf numFmtId="2" fontId="34" fillId="14" borderId="9" xfId="0" applyNumberFormat="1" applyFont="1" applyFill="1" applyBorder="1" applyAlignment="1" applyProtection="1">
      <alignment horizontal="center"/>
    </xf>
    <xf numFmtId="2" fontId="34" fillId="14" borderId="18" xfId="0" applyNumberFormat="1" applyFont="1" applyFill="1" applyBorder="1" applyAlignment="1" applyProtection="1">
      <alignment horizontal="center"/>
    </xf>
    <xf numFmtId="49" fontId="29" fillId="12" borderId="7" xfId="0" applyNumberFormat="1" applyFont="1" applyFill="1" applyBorder="1" applyAlignment="1" applyProtection="1">
      <alignment horizontal="center" wrapText="1"/>
    </xf>
    <xf numFmtId="49" fontId="29" fillId="12" borderId="15" xfId="0" applyNumberFormat="1" applyFont="1" applyFill="1" applyBorder="1" applyAlignment="1" applyProtection="1">
      <alignment horizontal="center" wrapText="1"/>
    </xf>
    <xf numFmtId="1" fontId="35" fillId="0" borderId="2" xfId="0" applyNumberFormat="1" applyFont="1" applyBorder="1" applyAlignment="1" applyProtection="1">
      <alignment horizontal="center"/>
    </xf>
    <xf numFmtId="49" fontId="29" fillId="5" borderId="20" xfId="0" applyNumberFormat="1" applyFont="1" applyFill="1" applyBorder="1" applyAlignment="1" applyProtection="1">
      <alignment horizontal="center" wrapText="1"/>
    </xf>
    <xf numFmtId="49" fontId="29" fillId="5" borderId="12" xfId="0" applyNumberFormat="1" applyFont="1" applyFill="1" applyBorder="1" applyAlignment="1" applyProtection="1">
      <alignment horizontal="center" wrapText="1"/>
    </xf>
    <xf numFmtId="1" fontId="21" fillId="0" borderId="0" xfId="0" applyNumberFormat="1" applyFont="1" applyBorder="1" applyAlignment="1" applyProtection="1">
      <alignment horizontal="right"/>
    </xf>
    <xf numFmtId="0" fontId="35" fillId="0" borderId="0" xfId="0" applyFont="1" applyBorder="1" applyAlignment="1" applyProtection="1">
      <alignment horizontal="right"/>
    </xf>
    <xf numFmtId="1" fontId="21" fillId="0" borderId="0" xfId="0" applyNumberFormat="1" applyFont="1" applyBorder="1" applyAlignment="1" applyProtection="1">
      <alignment horizontal="left"/>
    </xf>
    <xf numFmtId="0" fontId="13" fillId="7" borderId="32" xfId="0" applyFont="1" applyFill="1" applyBorder="1" applyAlignment="1" applyProtection="1">
      <alignment horizontal="center" vertical="center"/>
    </xf>
    <xf numFmtId="1" fontId="95" fillId="0" borderId="2" xfId="0" applyNumberFormat="1" applyFont="1" applyBorder="1" applyAlignment="1" applyProtection="1">
      <alignment horizontal="right"/>
    </xf>
    <xf numFmtId="1" fontId="95" fillId="0" borderId="3" xfId="0" applyNumberFormat="1" applyFont="1" applyBorder="1" applyAlignment="1" applyProtection="1">
      <alignment horizontal="right"/>
    </xf>
    <xf numFmtId="1" fontId="35" fillId="0" borderId="0" xfId="0" applyNumberFormat="1" applyFont="1" applyBorder="1" applyAlignment="1" applyProtection="1">
      <alignment horizontal="center"/>
    </xf>
    <xf numFmtId="1" fontId="95" fillId="0" borderId="6" xfId="0" applyNumberFormat="1" applyFont="1" applyBorder="1" applyAlignment="1" applyProtection="1">
      <alignment horizontal="left"/>
    </xf>
    <xf numFmtId="1" fontId="95" fillId="0" borderId="2" xfId="0" applyNumberFormat="1" applyFont="1" applyBorder="1" applyAlignment="1" applyProtection="1">
      <alignment horizontal="left"/>
    </xf>
    <xf numFmtId="0" fontId="90" fillId="0" borderId="33" xfId="0" applyFont="1" applyFill="1" applyBorder="1" applyAlignment="1" applyProtection="1">
      <alignment horizontal="center" vertical="center"/>
    </xf>
    <xf numFmtId="0" fontId="90" fillId="0" borderId="34" xfId="0" applyFont="1" applyFill="1" applyBorder="1" applyAlignment="1" applyProtection="1">
      <alignment horizontal="center" vertical="center"/>
    </xf>
    <xf numFmtId="0" fontId="90" fillId="0" borderId="35" xfId="0" applyFont="1" applyFill="1" applyBorder="1" applyAlignment="1" applyProtection="1">
      <alignment horizontal="center" vertical="center"/>
    </xf>
    <xf numFmtId="0" fontId="27" fillId="3" borderId="33" xfId="0" applyNumberFormat="1" applyFont="1" applyFill="1" applyBorder="1" applyAlignment="1" applyProtection="1">
      <alignment horizontal="center" vertical="center"/>
    </xf>
    <xf numFmtId="0" fontId="27" fillId="3" borderId="34" xfId="0" applyNumberFormat="1" applyFont="1" applyFill="1" applyBorder="1" applyAlignment="1" applyProtection="1">
      <alignment horizontal="center" vertical="center"/>
    </xf>
    <xf numFmtId="0" fontId="27" fillId="3" borderId="35" xfId="0" applyNumberFormat="1" applyFont="1" applyFill="1" applyBorder="1" applyAlignment="1" applyProtection="1">
      <alignment horizontal="center" vertical="center"/>
    </xf>
    <xf numFmtId="0" fontId="93" fillId="7" borderId="36" xfId="0" applyFont="1" applyFill="1" applyBorder="1" applyAlignment="1" applyProtection="1">
      <alignment horizontal="center" vertical="center" wrapText="1"/>
    </xf>
    <xf numFmtId="0" fontId="93" fillId="7" borderId="37" xfId="0" applyFont="1" applyFill="1" applyBorder="1" applyAlignment="1" applyProtection="1">
      <alignment horizontal="center" vertical="center" wrapText="1"/>
    </xf>
    <xf numFmtId="0" fontId="93" fillId="7" borderId="38" xfId="0" applyFont="1" applyFill="1" applyBorder="1" applyAlignment="1" applyProtection="1">
      <alignment horizontal="center" vertical="center" wrapText="1"/>
    </xf>
    <xf numFmtId="0" fontId="93" fillId="7" borderId="39" xfId="0" applyFont="1" applyFill="1" applyBorder="1" applyAlignment="1" applyProtection="1">
      <alignment horizontal="center" vertical="center" wrapText="1"/>
    </xf>
    <xf numFmtId="0" fontId="93" fillId="7" borderId="40" xfId="0" applyFont="1" applyFill="1" applyBorder="1" applyAlignment="1" applyProtection="1">
      <alignment horizontal="center" vertical="center" wrapText="1"/>
    </xf>
    <xf numFmtId="0" fontId="93" fillId="7" borderId="41" xfId="0" applyFont="1" applyFill="1" applyBorder="1" applyAlignment="1" applyProtection="1">
      <alignment horizontal="center" vertical="center" wrapText="1"/>
    </xf>
    <xf numFmtId="2" fontId="13" fillId="0" borderId="33" xfId="0" applyNumberFormat="1" applyFont="1" applyFill="1" applyBorder="1" applyAlignment="1" applyProtection="1">
      <alignment horizontal="center" vertical="center"/>
    </xf>
    <xf numFmtId="2" fontId="13" fillId="0" borderId="34" xfId="0" applyNumberFormat="1" applyFont="1" applyFill="1" applyBorder="1" applyAlignment="1" applyProtection="1">
      <alignment horizontal="center" vertical="center"/>
    </xf>
    <xf numFmtId="2" fontId="13" fillId="0" borderId="35" xfId="0" applyNumberFormat="1" applyFont="1" applyFill="1" applyBorder="1" applyAlignment="1" applyProtection="1">
      <alignment horizontal="center" vertical="center"/>
    </xf>
    <xf numFmtId="2" fontId="92" fillId="7" borderId="33" xfId="0" applyNumberFormat="1" applyFont="1" applyFill="1" applyBorder="1" applyAlignment="1" applyProtection="1">
      <alignment horizontal="center" vertical="center"/>
    </xf>
    <xf numFmtId="2" fontId="92" fillId="7" borderId="34" xfId="0" applyNumberFormat="1" applyFont="1" applyFill="1" applyBorder="1" applyAlignment="1" applyProtection="1">
      <alignment horizontal="center" vertical="center"/>
    </xf>
    <xf numFmtId="2" fontId="92" fillId="7" borderId="35" xfId="0" applyNumberFormat="1" applyFont="1" applyFill="1" applyBorder="1" applyAlignment="1" applyProtection="1">
      <alignment horizontal="center" vertical="center"/>
    </xf>
    <xf numFmtId="0" fontId="46" fillId="0" borderId="33" xfId="0" applyFont="1" applyBorder="1" applyAlignment="1" applyProtection="1">
      <alignment horizontal="center" vertical="center"/>
    </xf>
    <xf numFmtId="0" fontId="46" fillId="0" borderId="34" xfId="0" applyFont="1" applyBorder="1" applyAlignment="1" applyProtection="1">
      <alignment horizontal="center" vertical="center"/>
    </xf>
    <xf numFmtId="0" fontId="46" fillId="0" borderId="35" xfId="0" applyFont="1" applyBorder="1" applyAlignment="1" applyProtection="1">
      <alignment horizontal="center" vertical="center"/>
    </xf>
  </cellXfs>
  <cellStyles count="4">
    <cellStyle name="Normal 2" xfId="1"/>
    <cellStyle name="Normal 3" xfId="2"/>
    <cellStyle name="Standard" xfId="0" builtinId="0"/>
    <cellStyle name="Style 22" xfId="3"/>
  </cellStyles>
  <dxfs count="370"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 patternType="none">
          <bgColor auto="1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4.9989318521683403E-2"/>
      </font>
      <fill>
        <patternFill patternType="solid">
          <fgColor indexed="64"/>
          <bgColor theme="0" tint="-4.9989318521683403E-2"/>
        </patternFill>
      </fill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9"/>
        </patternFill>
      </fill>
    </dxf>
    <dxf>
      <font>
        <condense val="0"/>
        <extend val="0"/>
        <color auto="1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theme="3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indexed="1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 patternType="none">
          <bgColor auto="1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4.9989318521683403E-2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9"/>
        </patternFill>
      </fill>
    </dxf>
    <dxf>
      <font>
        <condense val="0"/>
        <extend val="0"/>
        <color auto="1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b/>
        <i val="0"/>
        <color rgb="FFC0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ill>
        <patternFill>
          <bgColor indexed="2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 patternType="none">
          <bgColor auto="1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4.9989318521683403E-2"/>
      </font>
      <fill>
        <patternFill patternType="none">
          <fgColor indexed="64"/>
          <bgColor auto="1"/>
        </patternFill>
      </fill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9"/>
        </patternFill>
      </fill>
    </dxf>
    <dxf>
      <font>
        <condense val="0"/>
        <extend val="0"/>
        <color auto="1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b/>
        <i/>
        <color theme="3"/>
      </font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indexed="10"/>
        </patternFill>
      </fill>
    </dxf>
    <dxf>
      <font>
        <color theme="0" tint="-0.14996795556505021"/>
      </font>
      <fill>
        <patternFill>
          <fgColor theme="0" tint="-0.14996795556505021"/>
          <bgColor theme="0" tint="-0.14996795556505021"/>
        </patternFill>
      </fill>
    </dxf>
    <dxf>
      <font>
        <b/>
        <i val="0"/>
        <color rgb="FF00B050"/>
      </font>
    </dxf>
    <dxf>
      <fill>
        <patternFill patternType="none">
          <bgColor auto="1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</dxf>
    <dxf>
      <font>
        <b/>
        <i/>
        <color theme="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4.9989318521683403E-2"/>
      </font>
      <fill>
        <patternFill patternType="none">
          <fgColor indexed="64"/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condense val="0"/>
        <extend val="0"/>
        <color auto="1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FF"/>
      <color rgb="FF0066FF"/>
      <color rgb="FFFFFFCC"/>
      <color rgb="FFFF33CC"/>
      <color rgb="FFFFFF99"/>
      <color rgb="FFFF9933"/>
    </mruColors>
  </colors>
  <extLst>
    <ext xmlns:x14="http://schemas.microsoft.com/office/spreadsheetml/2009/9/main" uri="{46F421CA-312F-682f-3DD2-61675219B42D}">
      <x14:dxfs count="3">
        <dxf>
          <fill>
            <patternFill>
              <bgColor theme="0" tint="-4.9989318521683403E-2"/>
            </patternFill>
          </fill>
        </dxf>
        <dxf>
          <fill>
            <patternFill>
              <bgColor theme="0" tint="-4.9989318521683403E-2"/>
            </patternFill>
          </fill>
        </dxf>
        <dxf>
          <fill>
            <patternFill>
              <bgColor theme="0" tint="-4.9989318521683403E-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2581644</xdr:colOff>
      <xdr:row>79</xdr:row>
      <xdr:rowOff>103909</xdr:rowOff>
    </xdr:from>
    <xdr:to>
      <xdr:col>110</xdr:col>
      <xdr:colOff>130276</xdr:colOff>
      <xdr:row>99</xdr:row>
      <xdr:rowOff>447798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5235" y="4606636"/>
          <a:ext cx="15888586" cy="3443844"/>
        </a:xfrm>
        <a:prstGeom prst="rect">
          <a:avLst/>
        </a:prstGeom>
      </xdr:spPr>
    </xdr:pic>
    <xdr:clientData/>
  </xdr:twoCellAnchor>
  <xdr:twoCellAnchor editAs="oneCell">
    <xdr:from>
      <xdr:col>6</xdr:col>
      <xdr:colOff>39584</xdr:colOff>
      <xdr:row>94</xdr:row>
      <xdr:rowOff>268432</xdr:rowOff>
    </xdr:from>
    <xdr:to>
      <xdr:col>47</xdr:col>
      <xdr:colOff>460655</xdr:colOff>
      <xdr:row>101</xdr:row>
      <xdr:rowOff>199160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629" y="10105159"/>
          <a:ext cx="5633844" cy="2822865"/>
        </a:xfrm>
        <a:prstGeom prst="rect">
          <a:avLst/>
        </a:prstGeom>
      </xdr:spPr>
    </xdr:pic>
    <xdr:clientData/>
  </xdr:twoCellAnchor>
  <xdr:oneCellAnchor>
    <xdr:from>
      <xdr:col>65</xdr:col>
      <xdr:colOff>362444</xdr:colOff>
      <xdr:row>98</xdr:row>
      <xdr:rowOff>17318</xdr:rowOff>
    </xdr:from>
    <xdr:ext cx="3306535" cy="748394"/>
    <xdr:sp macro="" textlink="">
      <xdr:nvSpPr>
        <xdr:cNvPr id="3" name="TextBox 2"/>
        <xdr:cNvSpPr txBox="1"/>
      </xdr:nvSpPr>
      <xdr:spPr>
        <a:xfrm>
          <a:off x="14459444" y="7083136"/>
          <a:ext cx="3306535" cy="74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Using Exbar TR to add additional flying points between hole 8 and hole 9.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</xdr:col>
      <xdr:colOff>2298373</xdr:colOff>
      <xdr:row>80</xdr:row>
      <xdr:rowOff>160811</xdr:rowOff>
    </xdr:from>
    <xdr:to>
      <xdr:col>127</xdr:col>
      <xdr:colOff>157102</xdr:colOff>
      <xdr:row>102</xdr:row>
      <xdr:rowOff>524493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3191" y="4992584"/>
          <a:ext cx="15869638" cy="3740727"/>
        </a:xfrm>
        <a:prstGeom prst="rect">
          <a:avLst/>
        </a:prstGeom>
      </xdr:spPr>
    </xdr:pic>
    <xdr:clientData/>
  </xdr:twoCellAnchor>
  <xdr:twoCellAnchor editAs="oneCell">
    <xdr:from>
      <xdr:col>5</xdr:col>
      <xdr:colOff>225133</xdr:colOff>
      <xdr:row>100</xdr:row>
      <xdr:rowOff>190500</xdr:rowOff>
    </xdr:from>
    <xdr:to>
      <xdr:col>58</xdr:col>
      <xdr:colOff>592465</xdr:colOff>
      <xdr:row>105</xdr:row>
      <xdr:rowOff>435244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06" y="7187045"/>
          <a:ext cx="4852741" cy="2755880"/>
        </a:xfrm>
        <a:prstGeom prst="rect">
          <a:avLst/>
        </a:prstGeom>
      </xdr:spPr>
    </xdr:pic>
    <xdr:clientData/>
  </xdr:twoCellAnchor>
  <xdr:oneCellAnchor>
    <xdr:from>
      <xdr:col>75</xdr:col>
      <xdr:colOff>294410</xdr:colOff>
      <xdr:row>101</xdr:row>
      <xdr:rowOff>103910</xdr:rowOff>
    </xdr:from>
    <xdr:ext cx="3306535" cy="748394"/>
    <xdr:sp macro="" textlink="">
      <xdr:nvSpPr>
        <xdr:cNvPr id="4" name="TextBox 3"/>
        <xdr:cNvSpPr txBox="1"/>
      </xdr:nvSpPr>
      <xdr:spPr>
        <a:xfrm>
          <a:off x="14183592" y="7758546"/>
          <a:ext cx="3306535" cy="74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Using Exbar TR to add additional flying points between hole 8 and hole 9.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56903</xdr:colOff>
      <xdr:row>80</xdr:row>
      <xdr:rowOff>49480</xdr:rowOff>
    </xdr:from>
    <xdr:to>
      <xdr:col>108</xdr:col>
      <xdr:colOff>61852</xdr:colOff>
      <xdr:row>88</xdr:row>
      <xdr:rowOff>476199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3358" y="4708071"/>
          <a:ext cx="15833767" cy="3405446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85</xdr:row>
      <xdr:rowOff>424034</xdr:rowOff>
    </xdr:from>
    <xdr:to>
      <xdr:col>51</xdr:col>
      <xdr:colOff>1712025</xdr:colOff>
      <xdr:row>89</xdr:row>
      <xdr:rowOff>465118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79" y="5703605"/>
          <a:ext cx="4774870" cy="2307291"/>
        </a:xfrm>
        <a:prstGeom prst="rect">
          <a:avLst/>
        </a:prstGeom>
      </xdr:spPr>
    </xdr:pic>
    <xdr:clientData/>
  </xdr:twoCellAnchor>
  <xdr:oneCellAnchor>
    <xdr:from>
      <xdr:col>56</xdr:col>
      <xdr:colOff>101434</xdr:colOff>
      <xdr:row>86</xdr:row>
      <xdr:rowOff>455221</xdr:rowOff>
    </xdr:from>
    <xdr:ext cx="3306535" cy="748394"/>
    <xdr:sp macro="" textlink="">
      <xdr:nvSpPr>
        <xdr:cNvPr id="4" name="TextBox 3"/>
        <xdr:cNvSpPr txBox="1"/>
      </xdr:nvSpPr>
      <xdr:spPr>
        <a:xfrm>
          <a:off x="11011889" y="7001494"/>
          <a:ext cx="3306535" cy="74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Using Exbar TR to add additional flying points between hole 8 and hole 9.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2248888</xdr:colOff>
      <xdr:row>82</xdr:row>
      <xdr:rowOff>89065</xdr:rowOff>
    </xdr:from>
    <xdr:to>
      <xdr:col>129</xdr:col>
      <xdr:colOff>29456</xdr:colOff>
      <xdr:row>125</xdr:row>
      <xdr:rowOff>367391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388" y="4609110"/>
          <a:ext cx="15947341" cy="3534145"/>
        </a:xfrm>
        <a:prstGeom prst="rect">
          <a:avLst/>
        </a:prstGeom>
      </xdr:spPr>
    </xdr:pic>
    <xdr:clientData/>
  </xdr:twoCellAnchor>
  <xdr:twoCellAnchor editAs="oneCell">
    <xdr:from>
      <xdr:col>6</xdr:col>
      <xdr:colOff>54429</xdr:colOff>
      <xdr:row>123</xdr:row>
      <xdr:rowOff>571501</xdr:rowOff>
    </xdr:from>
    <xdr:to>
      <xdr:col>59</xdr:col>
      <xdr:colOff>21099</xdr:colOff>
      <xdr:row>128</xdr:row>
      <xdr:rowOff>458933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3" y="6422572"/>
          <a:ext cx="4607942" cy="2636074"/>
        </a:xfrm>
        <a:prstGeom prst="rect">
          <a:avLst/>
        </a:prstGeom>
      </xdr:spPr>
    </xdr:pic>
    <xdr:clientData/>
  </xdr:twoCellAnchor>
  <xdr:oneCellAnchor>
    <xdr:from>
      <xdr:col>76</xdr:col>
      <xdr:colOff>274617</xdr:colOff>
      <xdr:row>124</xdr:row>
      <xdr:rowOff>51955</xdr:rowOff>
    </xdr:from>
    <xdr:ext cx="3306535" cy="748394"/>
    <xdr:sp macro="" textlink="">
      <xdr:nvSpPr>
        <xdr:cNvPr id="4" name="TextBox 3"/>
        <xdr:cNvSpPr txBox="1"/>
      </xdr:nvSpPr>
      <xdr:spPr>
        <a:xfrm>
          <a:off x="14527481" y="7135091"/>
          <a:ext cx="3306535" cy="74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Using Exbar TR to add additional flying points between hole 8 and hole 9.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179"/>
  <sheetViews>
    <sheetView tabSelected="1" zoomScale="55" zoomScaleNormal="55" workbookViewId="0">
      <selection activeCell="B104" sqref="B104"/>
    </sheetView>
  </sheetViews>
  <sheetFormatPr baseColWidth="10" defaultColWidth="9.140625" defaultRowHeight="15.75" x14ac:dyDescent="0.25"/>
  <cols>
    <col min="1" max="1" width="3.42578125" style="13" customWidth="1"/>
    <col min="2" max="2" width="27.28515625" style="397" customWidth="1"/>
    <col min="3" max="3" width="12.28515625" style="397" hidden="1" customWidth="1"/>
    <col min="4" max="4" width="27.28515625" style="398" customWidth="1"/>
    <col min="5" max="11" width="4.85546875" style="398" customWidth="1"/>
    <col min="12" max="12" width="24" style="398" hidden="1" customWidth="1"/>
    <col min="13" max="13" width="43" style="398" hidden="1" customWidth="1"/>
    <col min="14" max="14" width="3" style="398" hidden="1" customWidth="1"/>
    <col min="15" max="15" width="9" style="13" hidden="1" customWidth="1"/>
    <col min="16" max="16" width="11" style="13" hidden="1" customWidth="1"/>
    <col min="17" max="18" width="11.5703125" style="13" hidden="1" customWidth="1"/>
    <col min="19" max="21" width="12.5703125" style="13" hidden="1" customWidth="1"/>
    <col min="22" max="22" width="5.85546875" style="13" hidden="1" customWidth="1"/>
    <col min="23" max="24" width="12.5703125" style="13" hidden="1" customWidth="1"/>
    <col min="25" max="25" width="17.85546875" style="13" hidden="1" customWidth="1"/>
    <col min="26" max="26" width="12.5703125" style="13" hidden="1" customWidth="1"/>
    <col min="27" max="27" width="15.7109375" style="13" hidden="1" customWidth="1"/>
    <col min="28" max="28" width="2.85546875" style="13" hidden="1" customWidth="1"/>
    <col min="29" max="29" width="16.28515625" style="13" hidden="1" customWidth="1"/>
    <col min="30" max="30" width="44" style="13" customWidth="1"/>
    <col min="31" max="31" width="56.28515625" style="13" hidden="1" customWidth="1"/>
    <col min="32" max="32" width="12" style="13" hidden="1" customWidth="1"/>
    <col min="33" max="35" width="16.28515625" style="13" hidden="1" customWidth="1"/>
    <col min="36" max="36" width="13.42578125" style="13" hidden="1" customWidth="1"/>
    <col min="37" max="38" width="16.28515625" style="13" hidden="1" customWidth="1"/>
    <col min="39" max="39" width="29.42578125" style="13" hidden="1" customWidth="1"/>
    <col min="40" max="40" width="16.28515625" style="13" hidden="1" customWidth="1"/>
    <col min="41" max="41" width="17.28515625" style="13" hidden="1" customWidth="1"/>
    <col min="42" max="42" width="16.28515625" style="13" hidden="1" customWidth="1"/>
    <col min="43" max="44" width="17" style="13" hidden="1" customWidth="1"/>
    <col min="45" max="45" width="10" style="13" hidden="1" customWidth="1"/>
    <col min="46" max="46" width="11" style="13" hidden="1" customWidth="1"/>
    <col min="47" max="48" width="9.7109375" style="13" customWidth="1"/>
    <col min="49" max="49" width="22" style="13" hidden="1" customWidth="1"/>
    <col min="50" max="50" width="7.140625" style="13" hidden="1" customWidth="1"/>
    <col min="51" max="53" width="10.42578125" style="13" hidden="1" customWidth="1"/>
    <col min="54" max="54" width="13" style="13" hidden="1" customWidth="1"/>
    <col min="55" max="57" width="10.42578125" style="13" hidden="1" customWidth="1"/>
    <col min="58" max="58" width="18.7109375" style="13" hidden="1" customWidth="1"/>
    <col min="59" max="59" width="19.28515625" style="13" hidden="1" customWidth="1"/>
    <col min="60" max="60" width="18.5703125" style="13" hidden="1" customWidth="1"/>
    <col min="61" max="61" width="2.85546875" style="13" hidden="1" customWidth="1"/>
    <col min="62" max="62" width="39.42578125" style="13" customWidth="1"/>
    <col min="63" max="75" width="5.42578125" style="13" customWidth="1"/>
    <col min="76" max="76" width="6.42578125" style="13" customWidth="1"/>
    <col min="77" max="105" width="5.42578125" style="13" customWidth="1"/>
    <col min="106" max="106" width="4" style="13" hidden="1" customWidth="1"/>
    <col min="107" max="107" width="15.42578125" style="13" hidden="1" customWidth="1"/>
    <col min="108" max="108" width="16.85546875" style="13" hidden="1" customWidth="1"/>
    <col min="109" max="110" width="0" style="13" hidden="1" customWidth="1"/>
    <col min="111" max="16384" width="9.140625" style="13"/>
  </cols>
  <sheetData>
    <row r="1" spans="2:107" s="7" customFormat="1" ht="21" thickBot="1" x14ac:dyDescent="0.35">
      <c r="B1" s="394"/>
      <c r="C1" s="394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AY1" s="396"/>
      <c r="AZ1" s="396"/>
      <c r="BA1" s="396"/>
      <c r="BJ1" s="693" t="s">
        <v>27</v>
      </c>
      <c r="BK1" s="715">
        <f>+D24</f>
        <v>27.4</v>
      </c>
      <c r="BL1" s="715"/>
      <c r="BM1" s="694" t="s">
        <v>17</v>
      </c>
      <c r="BN1" s="694"/>
      <c r="BO1" s="695" t="s">
        <v>124</v>
      </c>
      <c r="BP1" s="696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</row>
    <row r="2" spans="2:107" ht="27.75" customHeight="1" x14ac:dyDescent="0.35">
      <c r="AY2" s="54"/>
      <c r="AZ2" s="399"/>
      <c r="BA2" s="399"/>
      <c r="BB2" s="400"/>
      <c r="BC2" s="400"/>
      <c r="BD2" s="400"/>
      <c r="BE2" s="400"/>
      <c r="BF2" s="12"/>
      <c r="BG2" s="12"/>
      <c r="BH2" s="12"/>
      <c r="BI2" s="12"/>
      <c r="BJ2" s="581" t="s">
        <v>29</v>
      </c>
      <c r="BK2" s="582" t="s">
        <v>30</v>
      </c>
      <c r="BL2" s="583"/>
      <c r="BM2" s="583"/>
      <c r="BN2" s="583"/>
      <c r="BO2" s="583"/>
      <c r="BP2" s="583"/>
      <c r="BQ2" s="583"/>
      <c r="BR2" s="583"/>
      <c r="BS2" s="583"/>
      <c r="BT2" s="583"/>
      <c r="BU2" s="583"/>
      <c r="BV2" s="583"/>
      <c r="BW2" s="583"/>
      <c r="BX2" s="583"/>
      <c r="BY2" s="583"/>
      <c r="BZ2" s="583"/>
      <c r="CA2" s="583"/>
      <c r="CB2" s="583"/>
      <c r="CC2" s="584"/>
      <c r="CD2" s="585"/>
      <c r="CE2" s="585"/>
      <c r="CF2" s="585"/>
      <c r="CG2" s="585"/>
      <c r="CH2" s="585"/>
      <c r="CI2" s="584"/>
      <c r="CJ2" s="584"/>
      <c r="CK2" s="584"/>
      <c r="CL2" s="584"/>
      <c r="CM2" s="584"/>
      <c r="CN2" s="586" t="s">
        <v>31</v>
      </c>
      <c r="CO2" s="587"/>
      <c r="CP2" s="588"/>
      <c r="CQ2" s="588"/>
      <c r="CR2" s="588"/>
      <c r="CS2" s="588"/>
      <c r="CT2" s="588"/>
      <c r="CU2" s="588"/>
      <c r="CV2" s="588"/>
      <c r="CW2" s="588"/>
      <c r="CX2" s="588"/>
      <c r="CY2" s="588"/>
      <c r="CZ2" s="588"/>
      <c r="DA2" s="589"/>
    </row>
    <row r="3" spans="2:107" ht="32.25" customHeight="1" thickBot="1" x14ac:dyDescent="0.4">
      <c r="AY3" s="716"/>
      <c r="AZ3" s="716"/>
      <c r="BA3" s="532"/>
      <c r="BB3" s="400"/>
      <c r="BC3" s="400"/>
      <c r="BD3" s="400"/>
      <c r="BE3" s="400"/>
      <c r="BF3" s="12"/>
      <c r="BG3" s="12"/>
      <c r="BH3" s="684">
        <f>+IF(AND(CM3&gt;0,BK3&gt;0),BK3)</f>
        <v>12.708857334584094</v>
      </c>
      <c r="BI3" s="12"/>
      <c r="BJ3" s="590" t="s">
        <v>104</v>
      </c>
      <c r="BK3" s="735">
        <f>+((E20-E21)/E20)*D24</f>
        <v>12.708857334584094</v>
      </c>
      <c r="BL3" s="736"/>
      <c r="BM3" s="591"/>
      <c r="BN3" s="591"/>
      <c r="BO3" s="591"/>
      <c r="BP3" s="591"/>
      <c r="BQ3" s="591"/>
      <c r="BR3" s="591"/>
      <c r="BS3" s="591"/>
      <c r="BT3" s="591"/>
      <c r="BU3" s="591"/>
      <c r="BV3" s="591"/>
      <c r="BW3" s="591"/>
      <c r="BX3" s="591"/>
      <c r="BY3" s="591"/>
      <c r="BZ3" s="591"/>
      <c r="CA3" s="591"/>
      <c r="CB3" s="591"/>
      <c r="CC3" s="592"/>
      <c r="CD3" s="593"/>
      <c r="CE3" s="593"/>
      <c r="CF3" s="593"/>
      <c r="CG3" s="593"/>
      <c r="CH3" s="594"/>
      <c r="CI3" s="592"/>
      <c r="CJ3" s="592"/>
      <c r="CK3" s="592"/>
      <c r="CL3" s="592"/>
      <c r="CM3" s="712">
        <f>+(E21/E20)*D24</f>
        <v>14.691142665415903</v>
      </c>
      <c r="CN3" s="713"/>
      <c r="CO3" s="595"/>
      <c r="CP3" s="596"/>
      <c r="CQ3" s="596"/>
      <c r="CR3" s="596"/>
      <c r="CS3" s="596"/>
      <c r="CT3" s="596"/>
      <c r="CU3" s="596"/>
      <c r="CV3" s="596"/>
      <c r="CW3" s="596"/>
      <c r="CX3" s="596"/>
      <c r="CY3" s="596"/>
      <c r="CZ3" s="596"/>
      <c r="DA3" s="597"/>
      <c r="DC3" s="684">
        <f>+IF(AND(BK3&gt;0,CM3&gt;0),CM3)</f>
        <v>14.691142665415903</v>
      </c>
    </row>
    <row r="4" spans="2:107" ht="27.75" customHeight="1" x14ac:dyDescent="0.35">
      <c r="AY4" s="508"/>
      <c r="AZ4" s="508"/>
      <c r="BA4" s="532"/>
      <c r="BB4" s="400"/>
      <c r="BC4" s="400"/>
      <c r="BD4" s="400"/>
      <c r="BE4" s="400"/>
      <c r="BF4" s="12"/>
      <c r="BG4" s="12"/>
      <c r="BI4" s="12"/>
      <c r="BJ4" s="598" t="s">
        <v>29</v>
      </c>
      <c r="BK4" s="587"/>
      <c r="BL4" s="588"/>
      <c r="BM4" s="588"/>
      <c r="BN4" s="588"/>
      <c r="BO4" s="588"/>
      <c r="BP4" s="588"/>
      <c r="BQ4" s="588"/>
      <c r="BR4" s="588"/>
      <c r="BS4" s="588"/>
      <c r="BT4" s="588"/>
      <c r="BU4" s="588"/>
      <c r="BV4" s="588"/>
      <c r="BW4" s="589"/>
      <c r="BX4" s="599" t="s">
        <v>30</v>
      </c>
      <c r="BY4" s="600"/>
      <c r="BZ4" s="600"/>
      <c r="CA4" s="600"/>
      <c r="CB4" s="600"/>
      <c r="CC4" s="600"/>
      <c r="CD4" s="600"/>
      <c r="CE4" s="600"/>
      <c r="CF4" s="600"/>
      <c r="CG4" s="600"/>
      <c r="CH4" s="584"/>
      <c r="CI4" s="584"/>
      <c r="CJ4" s="584"/>
      <c r="CK4" s="584"/>
      <c r="CL4" s="584"/>
      <c r="CM4" s="584"/>
      <c r="CN4" s="584"/>
      <c r="CO4" s="601"/>
      <c r="CP4" s="601"/>
      <c r="CQ4" s="601"/>
      <c r="CR4" s="601"/>
      <c r="CS4" s="601"/>
      <c r="CT4" s="601"/>
      <c r="CU4" s="601"/>
      <c r="CV4" s="601"/>
      <c r="CW4" s="601"/>
      <c r="CX4" s="601"/>
      <c r="CY4" s="601"/>
      <c r="CZ4" s="601"/>
      <c r="DA4" s="602" t="s">
        <v>31</v>
      </c>
    </row>
    <row r="5" spans="2:107" ht="26.25" customHeight="1" thickBot="1" x14ac:dyDescent="0.4">
      <c r="AZ5" s="401"/>
      <c r="BA5" s="401"/>
      <c r="BF5" s="12"/>
      <c r="BG5" s="12"/>
      <c r="BH5" s="684">
        <f>+IF(AND(CZ5&gt;0,BX5&gt;0),BX5)</f>
        <v>24.991615955273751</v>
      </c>
      <c r="BJ5" s="603" t="s">
        <v>103</v>
      </c>
      <c r="BK5" s="595"/>
      <c r="BL5" s="596"/>
      <c r="BM5" s="596"/>
      <c r="BN5" s="596"/>
      <c r="BO5" s="596"/>
      <c r="BP5" s="596"/>
      <c r="BQ5" s="596"/>
      <c r="BR5" s="596"/>
      <c r="BS5" s="596"/>
      <c r="BT5" s="596"/>
      <c r="BU5" s="596"/>
      <c r="BV5" s="596"/>
      <c r="BW5" s="597"/>
      <c r="BX5" s="708">
        <f>+((E20-E19)/E20)*D24</f>
        <v>24.991615955273751</v>
      </c>
      <c r="BY5" s="709"/>
      <c r="BZ5" s="604"/>
      <c r="CA5" s="604"/>
      <c r="CB5" s="604"/>
      <c r="CC5" s="604"/>
      <c r="CD5" s="604"/>
      <c r="CE5" s="604"/>
      <c r="CF5" s="604"/>
      <c r="CG5" s="604"/>
      <c r="CH5" s="592"/>
      <c r="CI5" s="592"/>
      <c r="CJ5" s="592"/>
      <c r="CK5" s="592"/>
      <c r="CL5" s="592"/>
      <c r="CM5" s="592"/>
      <c r="CN5" s="592"/>
      <c r="CO5" s="592"/>
      <c r="CP5" s="592"/>
      <c r="CQ5" s="592"/>
      <c r="CR5" s="592"/>
      <c r="CS5" s="592"/>
      <c r="CT5" s="592"/>
      <c r="CU5" s="592"/>
      <c r="CV5" s="592"/>
      <c r="CW5" s="592"/>
      <c r="CX5" s="592"/>
      <c r="CY5" s="592"/>
      <c r="CZ5" s="710">
        <f>+(E19/E20)*D24</f>
        <v>2.4083840447262497</v>
      </c>
      <c r="DA5" s="711"/>
      <c r="DC5" s="684">
        <f>+IF(AND(BX5&gt;0,CZ5&gt;0),CZ5)</f>
        <v>2.4083840447262497</v>
      </c>
    </row>
    <row r="6" spans="2:107" ht="18.75" thickBot="1" x14ac:dyDescent="0.3">
      <c r="BB6" s="402"/>
      <c r="BC6" s="402"/>
      <c r="BD6" s="402"/>
      <c r="BE6" s="402"/>
      <c r="BF6" s="12"/>
      <c r="BI6" s="12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  <c r="CB6" s="434"/>
      <c r="CC6" s="434"/>
      <c r="CD6" s="434"/>
      <c r="CE6" s="434"/>
      <c r="CF6" s="434"/>
      <c r="CG6" s="434"/>
      <c r="CH6" s="434"/>
      <c r="CI6" s="434"/>
      <c r="CJ6" s="434"/>
      <c r="CK6" s="434"/>
      <c r="CL6" s="434"/>
      <c r="CM6" s="434"/>
      <c r="CN6" s="434"/>
      <c r="CO6" s="434"/>
      <c r="CP6" s="434"/>
      <c r="CQ6" s="434"/>
      <c r="CR6" s="434"/>
      <c r="CS6" s="434"/>
      <c r="CT6" s="434"/>
      <c r="CU6" s="434"/>
      <c r="CV6" s="434"/>
      <c r="CW6" s="434"/>
      <c r="CX6" s="434"/>
      <c r="CY6" s="434"/>
      <c r="CZ6" s="434"/>
      <c r="DA6" s="434"/>
    </row>
    <row r="7" spans="2:107" ht="18.75" hidden="1" thickBot="1" x14ac:dyDescent="0.3"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BB7" s="22"/>
      <c r="BC7" s="22"/>
      <c r="BD7" s="22"/>
      <c r="BE7" s="22"/>
      <c r="BF7" s="22"/>
      <c r="BI7" s="22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  <c r="CB7" s="434"/>
      <c r="CC7" s="434"/>
      <c r="CD7" s="434"/>
      <c r="CE7" s="434"/>
      <c r="CF7" s="434"/>
      <c r="CG7" s="434"/>
      <c r="CH7" s="434"/>
      <c r="CI7" s="434"/>
      <c r="CJ7" s="434"/>
      <c r="CK7" s="434"/>
      <c r="CL7" s="434"/>
      <c r="CM7" s="434"/>
      <c r="CN7" s="434"/>
      <c r="CO7" s="434"/>
      <c r="CP7" s="434"/>
      <c r="CQ7" s="434"/>
      <c r="CR7" s="434"/>
      <c r="CS7" s="434"/>
      <c r="CT7" s="434"/>
      <c r="CU7" s="434"/>
      <c r="CV7" s="434"/>
      <c r="CW7" s="434"/>
      <c r="CX7" s="434"/>
      <c r="CY7" s="434"/>
      <c r="CZ7" s="434"/>
      <c r="DA7" s="434"/>
    </row>
    <row r="8" spans="2:107" ht="18.75" hidden="1" thickBot="1" x14ac:dyDescent="0.3"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BB8" s="12"/>
      <c r="BC8" s="12"/>
      <c r="BD8" s="12"/>
      <c r="BE8" s="12"/>
      <c r="BF8" s="12"/>
      <c r="BI8" s="12"/>
      <c r="BJ8" s="434">
        <v>26</v>
      </c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  <c r="CB8" s="434"/>
      <c r="CC8" s="434"/>
      <c r="CD8" s="434"/>
      <c r="CE8" s="434"/>
      <c r="CF8" s="434"/>
      <c r="CG8" s="434"/>
      <c r="CH8" s="434"/>
      <c r="CI8" s="434"/>
      <c r="CJ8" s="434"/>
      <c r="CK8" s="434"/>
      <c r="CL8" s="434"/>
      <c r="CM8" s="434"/>
      <c r="CN8" s="434"/>
      <c r="CO8" s="434"/>
      <c r="CP8" s="434"/>
      <c r="CQ8" s="434"/>
      <c r="CR8" s="434"/>
      <c r="CS8" s="434"/>
      <c r="CT8" s="434"/>
      <c r="CU8" s="434"/>
      <c r="CV8" s="434"/>
      <c r="CW8" s="434"/>
      <c r="CX8" s="434"/>
      <c r="CY8" s="605" t="b">
        <f>IF(CZ74=26,25)</f>
        <v>0</v>
      </c>
      <c r="CZ8" s="606"/>
      <c r="DA8" s="607" t="b">
        <f>IF(CZ74=26,27)</f>
        <v>0</v>
      </c>
    </row>
    <row r="9" spans="2:107" ht="18.75" hidden="1" thickBot="1" x14ac:dyDescent="0.3">
      <c r="BB9" s="12"/>
      <c r="BC9" s="12"/>
      <c r="BD9" s="12"/>
      <c r="BE9" s="12"/>
      <c r="BF9" s="12"/>
      <c r="BI9" s="12"/>
      <c r="BJ9" s="434">
        <v>25</v>
      </c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605" t="b">
        <f>IF(CY74=25,23)</f>
        <v>0</v>
      </c>
      <c r="CX9" s="606"/>
      <c r="CY9" s="606"/>
      <c r="CZ9" s="606"/>
      <c r="DA9" s="607" t="b">
        <f>IF(CY74=25,27)</f>
        <v>0</v>
      </c>
    </row>
    <row r="10" spans="2:107" ht="18.75" hidden="1" thickBot="1" x14ac:dyDescent="0.3">
      <c r="BB10" s="12"/>
      <c r="BC10" s="12"/>
      <c r="BD10" s="12"/>
      <c r="BE10" s="12"/>
      <c r="BF10" s="12"/>
      <c r="BI10" s="12"/>
      <c r="BJ10" s="434">
        <v>24</v>
      </c>
      <c r="BK10" s="608"/>
      <c r="BL10" s="608"/>
      <c r="BM10" s="608"/>
      <c r="BN10" s="608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434"/>
      <c r="CL10" s="434"/>
      <c r="CM10" s="434"/>
      <c r="CN10" s="434"/>
      <c r="CO10" s="434"/>
      <c r="CP10" s="434"/>
      <c r="CQ10" s="434"/>
      <c r="CR10" s="434"/>
      <c r="CS10" s="434"/>
      <c r="CT10" s="434"/>
      <c r="CU10" s="605" t="b">
        <f>IF(CX74=24,21)</f>
        <v>0</v>
      </c>
      <c r="CV10" s="606"/>
      <c r="CW10" s="606"/>
      <c r="CX10" s="606"/>
      <c r="CY10" s="606"/>
      <c r="CZ10" s="609"/>
      <c r="DA10" s="607" t="b">
        <f>IF(CX74=24,27)</f>
        <v>0</v>
      </c>
    </row>
    <row r="11" spans="2:107" ht="18.75" hidden="1" thickBot="1" x14ac:dyDescent="0.3">
      <c r="BB11" s="12"/>
      <c r="BC11" s="12"/>
      <c r="BD11" s="12"/>
      <c r="BE11" s="12"/>
      <c r="BF11" s="12"/>
      <c r="BI11" s="12"/>
      <c r="BJ11" s="434">
        <v>23</v>
      </c>
      <c r="BK11" s="608"/>
      <c r="BL11" s="608"/>
      <c r="BM11" s="608"/>
      <c r="BN11" s="608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L11" s="434"/>
      <c r="CM11" s="434"/>
      <c r="CN11" s="434"/>
      <c r="CO11" s="434"/>
      <c r="CP11" s="434"/>
      <c r="CQ11" s="434"/>
      <c r="CR11" s="434"/>
      <c r="CS11" s="605" t="b">
        <f>IF(CW74=23,19)</f>
        <v>0</v>
      </c>
      <c r="CT11" s="606"/>
      <c r="CU11" s="606"/>
      <c r="CV11" s="606"/>
      <c r="CW11" s="606"/>
      <c r="CX11" s="606"/>
      <c r="CY11" s="606"/>
      <c r="CZ11" s="606"/>
      <c r="DA11" s="607" t="b">
        <f>IF(CW74=23,27)</f>
        <v>0</v>
      </c>
    </row>
    <row r="12" spans="2:107" ht="18.75" hidden="1" thickBot="1" x14ac:dyDescent="0.3"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X12" s="403"/>
      <c r="AY12" s="404"/>
      <c r="AZ12" s="404"/>
      <c r="BA12" s="404"/>
      <c r="BB12" s="12"/>
      <c r="BC12" s="12"/>
      <c r="BD12" s="12"/>
      <c r="BE12" s="12"/>
      <c r="BF12" s="12"/>
      <c r="BI12" s="12"/>
      <c r="BJ12" s="434">
        <v>22</v>
      </c>
      <c r="BK12" s="608"/>
      <c r="BL12" s="608"/>
      <c r="BM12" s="608"/>
      <c r="BN12" s="608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605" t="b">
        <f>IF(CV74=22,17)</f>
        <v>0</v>
      </c>
      <c r="CR12" s="606"/>
      <c r="CS12" s="606"/>
      <c r="CT12" s="606"/>
      <c r="CU12" s="606"/>
      <c r="CV12" s="606"/>
      <c r="CW12" s="606"/>
      <c r="CX12" s="606"/>
      <c r="CY12" s="606"/>
      <c r="CZ12" s="606"/>
      <c r="DA12" s="607" t="b">
        <f>IF(CV74=22,27)</f>
        <v>0</v>
      </c>
    </row>
    <row r="13" spans="2:107" ht="18.75" hidden="1" thickBot="1" x14ac:dyDescent="0.3">
      <c r="P13" s="398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X13" s="403"/>
      <c r="AY13" s="404"/>
      <c r="AZ13" s="404"/>
      <c r="BA13" s="404"/>
      <c r="BB13" s="12"/>
      <c r="BC13" s="12"/>
      <c r="BD13" s="12"/>
      <c r="BE13" s="12"/>
      <c r="BF13" s="12"/>
      <c r="BI13" s="12"/>
      <c r="BJ13" s="434">
        <v>21</v>
      </c>
      <c r="BK13" s="608"/>
      <c r="BL13" s="608"/>
      <c r="BM13" s="608"/>
      <c r="BN13" s="608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605" t="b">
        <f>IF(CU74=21,15)</f>
        <v>0</v>
      </c>
      <c r="CP13" s="606"/>
      <c r="CQ13" s="606"/>
      <c r="CR13" s="606"/>
      <c r="CS13" s="606"/>
      <c r="CT13" s="606"/>
      <c r="CU13" s="606"/>
      <c r="CV13" s="606"/>
      <c r="CW13" s="606"/>
      <c r="CX13" s="606"/>
      <c r="CY13" s="606"/>
      <c r="CZ13" s="606"/>
      <c r="DA13" s="607" t="b">
        <f>IF(CU74=21,27)</f>
        <v>0</v>
      </c>
    </row>
    <row r="14" spans="2:107" ht="18.75" hidden="1" thickBot="1" x14ac:dyDescent="0.3"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X14" s="403"/>
      <c r="AY14" s="404"/>
      <c r="AZ14" s="404"/>
      <c r="BA14" s="404"/>
      <c r="BB14" s="12"/>
      <c r="BC14" s="12"/>
      <c r="BD14" s="12"/>
      <c r="BE14" s="12"/>
      <c r="BF14" s="12"/>
      <c r="BI14" s="12"/>
      <c r="BJ14" s="434">
        <v>20</v>
      </c>
      <c r="BK14" s="608"/>
      <c r="BL14" s="608"/>
      <c r="BM14" s="608"/>
      <c r="BN14" s="608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605" t="b">
        <f>IF(CT74=20,13)</f>
        <v>0</v>
      </c>
      <c r="CN14" s="606"/>
      <c r="CO14" s="606"/>
      <c r="CP14" s="606"/>
      <c r="CQ14" s="606"/>
      <c r="CR14" s="606"/>
      <c r="CS14" s="606"/>
      <c r="CT14" s="606"/>
      <c r="CU14" s="606"/>
      <c r="CV14" s="606"/>
      <c r="CW14" s="606"/>
      <c r="CX14" s="606"/>
      <c r="CY14" s="606"/>
      <c r="CZ14" s="606"/>
      <c r="DA14" s="607" t="b">
        <f>IF(CT74=20,27)</f>
        <v>0</v>
      </c>
    </row>
    <row r="15" spans="2:107" ht="18.75" hidden="1" thickBot="1" x14ac:dyDescent="0.3"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X15" s="403"/>
      <c r="AY15" s="404"/>
      <c r="AZ15" s="404"/>
      <c r="BA15" s="404"/>
      <c r="BB15" s="12"/>
      <c r="BC15" s="12"/>
      <c r="BD15" s="12"/>
      <c r="BE15" s="12"/>
      <c r="BF15" s="12"/>
      <c r="BI15" s="12"/>
      <c r="BJ15" s="434">
        <v>19</v>
      </c>
      <c r="BK15" s="608"/>
      <c r="BL15" s="608"/>
      <c r="BM15" s="608"/>
      <c r="BN15" s="608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605" t="b">
        <f>IF(CS74=19,11)</f>
        <v>0</v>
      </c>
      <c r="CL15" s="606"/>
      <c r="CM15" s="606"/>
      <c r="CN15" s="606"/>
      <c r="CO15" s="606"/>
      <c r="CP15" s="606"/>
      <c r="CQ15" s="606"/>
      <c r="CR15" s="606"/>
      <c r="CS15" s="606"/>
      <c r="CT15" s="606"/>
      <c r="CU15" s="606"/>
      <c r="CV15" s="606"/>
      <c r="CW15" s="606"/>
      <c r="CX15" s="606"/>
      <c r="CY15" s="606"/>
      <c r="CZ15" s="606"/>
      <c r="DA15" s="607" t="b">
        <f>IF(CS74=19,27)</f>
        <v>0</v>
      </c>
    </row>
    <row r="16" spans="2:107" ht="18.75" hidden="1" thickBot="1" x14ac:dyDescent="0.3"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X16" s="403"/>
      <c r="AY16" s="404"/>
      <c r="AZ16" s="404"/>
      <c r="BA16" s="404"/>
      <c r="BB16" s="12"/>
      <c r="BC16" s="12"/>
      <c r="BD16" s="12"/>
      <c r="BE16" s="12"/>
      <c r="BF16" s="12"/>
      <c r="BI16" s="12"/>
      <c r="BJ16" s="434">
        <v>18</v>
      </c>
      <c r="BK16" s="608"/>
      <c r="BL16" s="608"/>
      <c r="BM16" s="608"/>
      <c r="BN16" s="608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  <c r="CB16" s="434"/>
      <c r="CC16" s="434"/>
      <c r="CD16" s="434"/>
      <c r="CE16" s="434"/>
      <c r="CF16" s="434"/>
      <c r="CG16" s="434"/>
      <c r="CH16" s="434"/>
      <c r="CI16" s="605" t="b">
        <f>IF(CR74=18,9)</f>
        <v>0</v>
      </c>
      <c r="CJ16" s="606"/>
      <c r="CK16" s="606"/>
      <c r="CL16" s="606"/>
      <c r="CM16" s="606"/>
      <c r="CN16" s="606"/>
      <c r="CO16" s="606"/>
      <c r="CP16" s="606"/>
      <c r="CQ16" s="606"/>
      <c r="CR16" s="606"/>
      <c r="CS16" s="606"/>
      <c r="CT16" s="606"/>
      <c r="CU16" s="606"/>
      <c r="CV16" s="606"/>
      <c r="CW16" s="606"/>
      <c r="CX16" s="606"/>
      <c r="CY16" s="606"/>
      <c r="CZ16" s="606"/>
      <c r="DA16" s="607" t="b">
        <f>IF(CR74=18,27)</f>
        <v>0</v>
      </c>
    </row>
    <row r="17" spans="2:105" ht="21" hidden="1" thickBot="1" x14ac:dyDescent="0.35">
      <c r="B17" s="405" t="s">
        <v>92</v>
      </c>
      <c r="C17" s="406"/>
      <c r="D17" s="407"/>
      <c r="E17" s="538" t="s">
        <v>158</v>
      </c>
      <c r="F17" s="538" t="s">
        <v>159</v>
      </c>
      <c r="G17" s="538" t="s">
        <v>160</v>
      </c>
      <c r="H17" s="407"/>
      <c r="I17" s="407"/>
      <c r="J17" s="407"/>
      <c r="K17" s="407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X17" s="403"/>
      <c r="AY17" s="404"/>
      <c r="AZ17" s="404"/>
      <c r="BA17" s="404"/>
      <c r="BB17" s="12"/>
      <c r="BC17" s="12"/>
      <c r="BD17" s="12"/>
      <c r="BE17" s="12"/>
      <c r="BF17" s="12"/>
      <c r="BI17" s="12"/>
      <c r="BJ17" s="434">
        <v>17</v>
      </c>
      <c r="BK17" s="608"/>
      <c r="BL17" s="608"/>
      <c r="BM17" s="608"/>
      <c r="BN17" s="608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610" t="b">
        <f>IF(CQ74=17,9)</f>
        <v>0</v>
      </c>
      <c r="CJ17" s="611"/>
      <c r="CK17" s="611"/>
      <c r="CL17" s="611"/>
      <c r="CM17" s="611"/>
      <c r="CN17" s="611"/>
      <c r="CO17" s="611"/>
      <c r="CP17" s="611"/>
      <c r="CQ17" s="611"/>
      <c r="CR17" s="611"/>
      <c r="CS17" s="611"/>
      <c r="CT17" s="611"/>
      <c r="CU17" s="611"/>
      <c r="CV17" s="611"/>
      <c r="CW17" s="611"/>
      <c r="CX17" s="611"/>
      <c r="CY17" s="612" t="b">
        <f>IF(CQ74=17,25)</f>
        <v>0</v>
      </c>
      <c r="CZ17" s="434"/>
      <c r="DA17" s="434"/>
    </row>
    <row r="18" spans="2:105" ht="21" hidden="1" thickBot="1" x14ac:dyDescent="0.35">
      <c r="B18" s="408" t="s">
        <v>28</v>
      </c>
      <c r="C18" s="408"/>
      <c r="D18" s="409">
        <v>408</v>
      </c>
      <c r="E18" s="539">
        <f>+COS(($B$100*-1)*3.14159265358979/180)*D18</f>
        <v>408</v>
      </c>
      <c r="F18" s="540">
        <f>+COS(($B$100*-1)*3.14159265358979/180)*25.5</f>
        <v>25.5</v>
      </c>
      <c r="G18" s="540">
        <f>+COS((($B$100*-1)+58.4416265)*3.14159265358979/180)*45.856925</f>
        <v>23.999999960764171</v>
      </c>
      <c r="H18" s="410"/>
      <c r="I18" s="410"/>
      <c r="J18" s="410"/>
      <c r="K18" s="41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X18" s="403"/>
      <c r="AY18" s="404"/>
      <c r="AZ18" s="404"/>
      <c r="BA18" s="404"/>
      <c r="BB18" s="12"/>
      <c r="BC18" s="12"/>
      <c r="BD18" s="12"/>
      <c r="BE18" s="12"/>
      <c r="BF18" s="12"/>
      <c r="BI18" s="12"/>
      <c r="BJ18" s="434">
        <v>16</v>
      </c>
      <c r="BK18" s="608"/>
      <c r="BL18" s="608"/>
      <c r="BM18" s="608"/>
      <c r="BN18" s="608"/>
      <c r="BO18" s="608"/>
      <c r="BP18" s="608"/>
      <c r="BQ18" s="608"/>
      <c r="BR18" s="608"/>
      <c r="BS18" s="608"/>
      <c r="BT18" s="608"/>
      <c r="BU18" s="608"/>
      <c r="BV18" s="608"/>
      <c r="BW18" s="608"/>
      <c r="BX18" s="608"/>
      <c r="BY18" s="608"/>
      <c r="BZ18" s="608"/>
      <c r="CA18" s="608"/>
      <c r="CB18" s="608"/>
      <c r="CC18" s="608"/>
      <c r="CD18" s="608"/>
      <c r="CE18" s="613" t="b">
        <f>IF(CP74=16,8)</f>
        <v>0</v>
      </c>
      <c r="CF18" s="614"/>
      <c r="CG18" s="614"/>
      <c r="CH18" s="614"/>
      <c r="CI18" s="606"/>
      <c r="CJ18" s="606"/>
      <c r="CK18" s="606"/>
      <c r="CL18" s="606"/>
      <c r="CM18" s="606"/>
      <c r="CN18" s="606"/>
      <c r="CO18" s="606"/>
      <c r="CP18" s="606"/>
      <c r="CQ18" s="606"/>
      <c r="CR18" s="606"/>
      <c r="CS18" s="606"/>
      <c r="CT18" s="606"/>
      <c r="CU18" s="606"/>
      <c r="CV18" s="606"/>
      <c r="CW18" s="606"/>
      <c r="CX18" s="606"/>
      <c r="CY18" s="606"/>
      <c r="CZ18" s="606"/>
      <c r="DA18" s="615" t="b">
        <f>IF(CP74=16,27)</f>
        <v>0</v>
      </c>
    </row>
    <row r="19" spans="2:105" ht="21" hidden="1" thickBot="1" x14ac:dyDescent="0.35">
      <c r="B19" s="408" t="s">
        <v>93</v>
      </c>
      <c r="C19" s="408"/>
      <c r="D19" s="409">
        <f>+D28-24</f>
        <v>65</v>
      </c>
      <c r="E19" s="539">
        <f>+D28-G18</f>
        <v>65.000000039235829</v>
      </c>
      <c r="F19" s="410"/>
      <c r="G19" s="410"/>
      <c r="H19" s="410"/>
      <c r="I19" s="410"/>
      <c r="J19" s="410"/>
      <c r="K19" s="41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X19" s="403"/>
      <c r="AY19" s="404"/>
      <c r="AZ19" s="404"/>
      <c r="BA19" s="404"/>
      <c r="BB19" s="12"/>
      <c r="BC19" s="12"/>
      <c r="BD19" s="12"/>
      <c r="BE19" s="12"/>
      <c r="BF19" s="12"/>
      <c r="BI19" s="12"/>
      <c r="BJ19" s="434">
        <v>15</v>
      </c>
      <c r="BK19" s="608"/>
      <c r="BL19" s="608"/>
      <c r="BM19" s="608"/>
      <c r="BN19" s="608"/>
      <c r="BO19" s="608"/>
      <c r="BP19" s="608"/>
      <c r="BQ19" s="608"/>
      <c r="BR19" s="608"/>
      <c r="BS19" s="608"/>
      <c r="BT19" s="608"/>
      <c r="BU19" s="608"/>
      <c r="BV19" s="608"/>
      <c r="BW19" s="608"/>
      <c r="BX19" s="608"/>
      <c r="BY19" s="608"/>
      <c r="BZ19" s="608"/>
      <c r="CA19" s="608"/>
      <c r="CB19" s="608"/>
      <c r="CC19" s="613" t="b">
        <f>IF(CO74=15,6)</f>
        <v>0</v>
      </c>
      <c r="CD19" s="614"/>
      <c r="CE19" s="614"/>
      <c r="CF19" s="614"/>
      <c r="CG19" s="614"/>
      <c r="CH19" s="614"/>
      <c r="CI19" s="606"/>
      <c r="CJ19" s="606"/>
      <c r="CK19" s="606"/>
      <c r="CL19" s="606"/>
      <c r="CM19" s="606"/>
      <c r="CN19" s="606"/>
      <c r="CO19" s="606"/>
      <c r="CP19" s="606"/>
      <c r="CQ19" s="606"/>
      <c r="CR19" s="606"/>
      <c r="CS19" s="606"/>
      <c r="CT19" s="606"/>
      <c r="CU19" s="606"/>
      <c r="CV19" s="606"/>
      <c r="CW19" s="606"/>
      <c r="CX19" s="606"/>
      <c r="CY19" s="606"/>
      <c r="CZ19" s="606"/>
      <c r="DA19" s="615" t="b">
        <f>IF(CO74=15,27)</f>
        <v>0</v>
      </c>
    </row>
    <row r="20" spans="2:105" ht="55.5" hidden="1" thickBot="1" x14ac:dyDescent="0.35">
      <c r="B20" s="549" t="s">
        <v>76</v>
      </c>
      <c r="C20" s="411"/>
      <c r="D20" s="551">
        <v>739.5</v>
      </c>
      <c r="E20" s="539">
        <f>+COS(($B$100*-1)*3.14159265358979/180)*D20</f>
        <v>739.5</v>
      </c>
      <c r="F20" s="412"/>
      <c r="G20" s="412"/>
      <c r="H20" s="412"/>
      <c r="I20" s="412"/>
      <c r="J20" s="412"/>
      <c r="K20" s="41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X20" s="403"/>
      <c r="AY20" s="404"/>
      <c r="AZ20" s="404"/>
      <c r="BA20" s="404"/>
      <c r="BB20" s="12"/>
      <c r="BC20" s="12"/>
      <c r="BD20" s="12"/>
      <c r="BE20" s="12"/>
      <c r="BF20" s="12"/>
      <c r="BI20" s="12"/>
      <c r="BJ20" s="434">
        <v>14</v>
      </c>
      <c r="BK20" s="608"/>
      <c r="BL20" s="608"/>
      <c r="BM20" s="608"/>
      <c r="BN20" s="608"/>
      <c r="BO20" s="608"/>
      <c r="BP20" s="608"/>
      <c r="BQ20" s="608"/>
      <c r="BR20" s="608"/>
      <c r="BS20" s="608"/>
      <c r="BT20" s="608"/>
      <c r="BU20" s="608"/>
      <c r="BV20" s="608"/>
      <c r="BW20" s="608"/>
      <c r="BX20" s="608"/>
      <c r="BY20" s="608"/>
      <c r="BZ20" s="608"/>
      <c r="CA20" s="613" t="b">
        <f>IF(CN74=14,4)</f>
        <v>0</v>
      </c>
      <c r="CB20" s="614"/>
      <c r="CC20" s="614"/>
      <c r="CD20" s="614"/>
      <c r="CE20" s="614"/>
      <c r="CF20" s="614"/>
      <c r="CG20" s="614"/>
      <c r="CH20" s="614"/>
      <c r="CI20" s="606"/>
      <c r="CJ20" s="606"/>
      <c r="CK20" s="606"/>
      <c r="CL20" s="606"/>
      <c r="CM20" s="606"/>
      <c r="CN20" s="606"/>
      <c r="CO20" s="606"/>
      <c r="CP20" s="606"/>
      <c r="CQ20" s="606"/>
      <c r="CR20" s="606"/>
      <c r="CS20" s="606"/>
      <c r="CT20" s="606"/>
      <c r="CU20" s="606"/>
      <c r="CV20" s="606"/>
      <c r="CW20" s="606"/>
      <c r="CX20" s="606"/>
      <c r="CY20" s="606"/>
      <c r="CZ20" s="606"/>
      <c r="DA20" s="615" t="b">
        <f>IF(CN74=14,27)</f>
        <v>0</v>
      </c>
    </row>
    <row r="21" spans="2:105" ht="55.5" hidden="1" thickBot="1" x14ac:dyDescent="0.35">
      <c r="B21" s="555" t="s">
        <v>161</v>
      </c>
      <c r="C21" s="552"/>
      <c r="D21" s="556">
        <f>+D28+307.5</f>
        <v>396.5</v>
      </c>
      <c r="E21" s="550">
        <f>+(COS(($B$100*-1)*3.14159265358979/180)*331.5)+$E$19</f>
        <v>396.50000003923583</v>
      </c>
      <c r="F21" s="412"/>
      <c r="G21" s="412"/>
      <c r="H21" s="412"/>
      <c r="I21" s="412"/>
      <c r="J21" s="412"/>
      <c r="K21" s="41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X21" s="403"/>
      <c r="AY21" s="404"/>
      <c r="AZ21" s="404"/>
      <c r="BA21" s="404"/>
      <c r="BB21" s="12"/>
      <c r="BC21" s="12"/>
      <c r="BD21" s="12"/>
      <c r="BE21" s="12"/>
      <c r="BF21" s="12"/>
      <c r="BI21" s="12"/>
      <c r="BJ21" s="434">
        <v>13</v>
      </c>
      <c r="BK21" s="608"/>
      <c r="BL21" s="608"/>
      <c r="BM21" s="608"/>
      <c r="BN21" s="608"/>
      <c r="BO21" s="608"/>
      <c r="BP21" s="608"/>
      <c r="BQ21" s="608"/>
      <c r="BR21" s="608"/>
      <c r="BS21" s="608"/>
      <c r="BT21" s="608"/>
      <c r="BU21" s="608"/>
      <c r="BV21" s="608"/>
      <c r="BW21" s="608"/>
      <c r="BX21" s="608"/>
      <c r="BY21" s="613" t="b">
        <f>IF(CM74=13,2)</f>
        <v>0</v>
      </c>
      <c r="BZ21" s="614"/>
      <c r="CA21" s="614"/>
      <c r="CB21" s="614"/>
      <c r="CC21" s="614"/>
      <c r="CD21" s="614"/>
      <c r="CE21" s="614"/>
      <c r="CF21" s="614"/>
      <c r="CG21" s="614"/>
      <c r="CH21" s="614"/>
      <c r="CI21" s="606"/>
      <c r="CJ21" s="606"/>
      <c r="CK21" s="606"/>
      <c r="CL21" s="606"/>
      <c r="CM21" s="606"/>
      <c r="CN21" s="606"/>
      <c r="CO21" s="606"/>
      <c r="CP21" s="606"/>
      <c r="CQ21" s="606"/>
      <c r="CR21" s="606"/>
      <c r="CS21" s="606"/>
      <c r="CT21" s="606"/>
      <c r="CU21" s="606"/>
      <c r="CV21" s="606"/>
      <c r="CW21" s="606"/>
      <c r="CX21" s="606"/>
      <c r="CY21" s="606"/>
      <c r="CZ21" s="606"/>
      <c r="DA21" s="615" t="b">
        <f>IF(CM74=13,27)</f>
        <v>0</v>
      </c>
    </row>
    <row r="22" spans="2:105" ht="18.75" hidden="1" thickBot="1" x14ac:dyDescent="0.3">
      <c r="B22" s="406"/>
      <c r="C22" s="406"/>
      <c r="D22" s="407"/>
      <c r="E22" s="407"/>
      <c r="F22" s="407"/>
      <c r="G22" s="407"/>
      <c r="H22" s="407"/>
      <c r="I22" s="407"/>
      <c r="J22" s="407"/>
      <c r="K22" s="407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X22" s="403"/>
      <c r="AY22" s="404"/>
      <c r="AZ22" s="404"/>
      <c r="BA22" s="404"/>
      <c r="BB22" s="12"/>
      <c r="BC22" s="12"/>
      <c r="BD22" s="12"/>
      <c r="BE22" s="12"/>
      <c r="BF22" s="12"/>
      <c r="BI22" s="12"/>
      <c r="BJ22" s="434">
        <v>12</v>
      </c>
      <c r="BK22" s="608"/>
      <c r="BL22" s="608"/>
      <c r="BM22" s="608"/>
      <c r="BN22" s="608"/>
      <c r="BO22" s="608"/>
      <c r="BP22" s="608"/>
      <c r="BQ22" s="608"/>
      <c r="BR22" s="608"/>
      <c r="BS22" s="608"/>
      <c r="BT22" s="608"/>
      <c r="BU22" s="608"/>
      <c r="BV22" s="608"/>
      <c r="BW22" s="608"/>
      <c r="BX22" s="613" t="b">
        <f>IF(CL74=12,1)</f>
        <v>0</v>
      </c>
      <c r="BY22" s="614"/>
      <c r="BZ22" s="614"/>
      <c r="CA22" s="614"/>
      <c r="CB22" s="614"/>
      <c r="CC22" s="614"/>
      <c r="CD22" s="614"/>
      <c r="CE22" s="614"/>
      <c r="CF22" s="614"/>
      <c r="CG22" s="614"/>
      <c r="CH22" s="614"/>
      <c r="CI22" s="606"/>
      <c r="CJ22" s="606"/>
      <c r="CK22" s="606"/>
      <c r="CL22" s="606"/>
      <c r="CM22" s="606"/>
      <c r="CN22" s="606"/>
      <c r="CO22" s="606"/>
      <c r="CP22" s="606"/>
      <c r="CQ22" s="606"/>
      <c r="CR22" s="606"/>
      <c r="CS22" s="606"/>
      <c r="CT22" s="606"/>
      <c r="CU22" s="606"/>
      <c r="CV22" s="606"/>
      <c r="CW22" s="606"/>
      <c r="CX22" s="606"/>
      <c r="CY22" s="606"/>
      <c r="CZ22" s="615" t="b">
        <f>IF(CL74=12,26)</f>
        <v>0</v>
      </c>
      <c r="DA22" s="434"/>
    </row>
    <row r="23" spans="2:105" ht="18.75" hidden="1" thickBot="1" x14ac:dyDescent="0.3">
      <c r="B23" s="406"/>
      <c r="C23" s="406"/>
      <c r="D23" s="407"/>
      <c r="E23" s="407"/>
      <c r="F23" s="407"/>
      <c r="G23" s="407"/>
      <c r="H23" s="407"/>
      <c r="I23" s="407"/>
      <c r="J23" s="407"/>
      <c r="K23" s="407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X23" s="403"/>
      <c r="AY23" s="404"/>
      <c r="AZ23" s="404"/>
      <c r="BA23" s="404"/>
      <c r="BB23" s="12"/>
      <c r="BC23" s="12"/>
      <c r="BD23" s="12"/>
      <c r="BE23" s="12"/>
      <c r="BF23" s="12"/>
      <c r="BI23" s="12"/>
      <c r="BJ23" s="608"/>
      <c r="BK23" s="608"/>
      <c r="BL23" s="608"/>
      <c r="BM23" s="608"/>
      <c r="BN23" s="608"/>
      <c r="BO23" s="608"/>
      <c r="BP23" s="608"/>
      <c r="BQ23" s="608"/>
      <c r="BR23" s="608"/>
      <c r="BS23" s="608"/>
      <c r="BT23" s="608"/>
      <c r="BU23" s="608"/>
      <c r="BV23" s="608"/>
      <c r="BW23" s="608"/>
      <c r="BX23" s="608"/>
      <c r="BY23" s="608"/>
      <c r="BZ23" s="608"/>
      <c r="CA23" s="608"/>
      <c r="CB23" s="608"/>
      <c r="CC23" s="608"/>
      <c r="CD23" s="608"/>
      <c r="CE23" s="608"/>
      <c r="CF23" s="608"/>
      <c r="CG23" s="608"/>
      <c r="CH23" s="608"/>
      <c r="CI23" s="434"/>
      <c r="CJ23" s="434"/>
      <c r="CK23" s="434"/>
      <c r="CL23" s="434"/>
      <c r="CM23" s="434"/>
      <c r="CN23" s="434"/>
      <c r="CO23" s="434"/>
      <c r="CP23" s="434"/>
      <c r="CQ23" s="434"/>
      <c r="CR23" s="434"/>
      <c r="CS23" s="434"/>
      <c r="CT23" s="434"/>
      <c r="CU23" s="434"/>
      <c r="CV23" s="434"/>
      <c r="CW23" s="434"/>
      <c r="CX23" s="434"/>
      <c r="CY23" s="434"/>
      <c r="CZ23" s="434"/>
      <c r="DA23" s="434"/>
    </row>
    <row r="24" spans="2:105" ht="36.75" hidden="1" thickBot="1" x14ac:dyDescent="0.3">
      <c r="B24" s="541" t="s">
        <v>94</v>
      </c>
      <c r="C24" s="542" t="s">
        <v>16</v>
      </c>
      <c r="D24" s="542">
        <f>+(B103*9.9)+6+1.5+10</f>
        <v>27.4</v>
      </c>
      <c r="E24" s="544"/>
      <c r="F24" s="544"/>
      <c r="G24" s="544"/>
      <c r="H24" s="544"/>
      <c r="I24" s="544"/>
      <c r="J24" s="544"/>
      <c r="K24" s="544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X24" s="403"/>
      <c r="AY24" s="404"/>
      <c r="AZ24" s="404"/>
      <c r="BA24" s="404"/>
      <c r="BB24" s="12"/>
      <c r="BC24" s="12"/>
      <c r="BD24" s="12"/>
      <c r="BE24" s="12"/>
      <c r="BF24" s="12"/>
      <c r="BI24" s="12"/>
      <c r="BJ24" s="608">
        <v>81</v>
      </c>
      <c r="BK24" s="608"/>
      <c r="BL24" s="608"/>
      <c r="BM24" s="608"/>
      <c r="BN24" s="608"/>
      <c r="BO24" s="608"/>
      <c r="BP24" s="608"/>
      <c r="BQ24" s="608"/>
      <c r="BR24" s="608"/>
      <c r="BS24" s="608"/>
      <c r="BT24" s="608"/>
      <c r="BU24" s="608"/>
      <c r="BV24" s="608"/>
      <c r="BW24" s="608"/>
      <c r="BX24" s="613" t="b">
        <f>IF(CF74=81,1)</f>
        <v>0</v>
      </c>
      <c r="BY24" s="614"/>
      <c r="BZ24" s="614"/>
      <c r="CA24" s="614"/>
      <c r="CB24" s="614"/>
      <c r="CC24" s="614"/>
      <c r="CD24" s="614"/>
      <c r="CE24" s="614"/>
      <c r="CF24" s="614"/>
      <c r="CG24" s="614"/>
      <c r="CH24" s="614"/>
      <c r="CI24" s="606"/>
      <c r="CJ24" s="606"/>
      <c r="CK24" s="606"/>
      <c r="CL24" s="606"/>
      <c r="CM24" s="606"/>
      <c r="CN24" s="615" t="b">
        <f>IF(CF74=81,14)</f>
        <v>0</v>
      </c>
      <c r="CO24" s="434"/>
      <c r="CP24" s="434"/>
      <c r="CQ24" s="434"/>
      <c r="CR24" s="434"/>
      <c r="CS24" s="434"/>
      <c r="CT24" s="434"/>
      <c r="CU24" s="434"/>
      <c r="CV24" s="434"/>
      <c r="CW24" s="434"/>
      <c r="CX24" s="434"/>
      <c r="CY24" s="434"/>
      <c r="CZ24" s="434"/>
      <c r="DA24" s="434"/>
    </row>
    <row r="25" spans="2:105" ht="18.75" hidden="1" thickBot="1" x14ac:dyDescent="0.3">
      <c r="B25" s="543" t="s">
        <v>85</v>
      </c>
      <c r="C25" s="543" t="s">
        <v>15</v>
      </c>
      <c r="D25" s="542">
        <v>214.4</v>
      </c>
      <c r="E25" s="544"/>
      <c r="F25" s="544"/>
      <c r="G25" s="544"/>
      <c r="H25" s="544"/>
      <c r="I25" s="544"/>
      <c r="J25" s="544"/>
      <c r="K25" s="544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X25" s="403"/>
      <c r="AY25" s="404"/>
      <c r="AZ25" s="404"/>
      <c r="BA25" s="404"/>
      <c r="BB25" s="12"/>
      <c r="BC25" s="12"/>
      <c r="BD25" s="12"/>
      <c r="BE25" s="12"/>
      <c r="BF25" s="12"/>
      <c r="BI25" s="12"/>
      <c r="BJ25" s="608">
        <v>8</v>
      </c>
      <c r="BK25" s="608"/>
      <c r="BL25" s="608"/>
      <c r="BM25" s="608"/>
      <c r="BN25" s="608"/>
      <c r="BO25" s="608"/>
      <c r="BP25" s="608"/>
      <c r="BQ25" s="608"/>
      <c r="BR25" s="608"/>
      <c r="BS25" s="608"/>
      <c r="BT25" s="608"/>
      <c r="BU25" s="608"/>
      <c r="BV25" s="613" t="b">
        <f>IF(CE74=8,-2)</f>
        <v>0</v>
      </c>
      <c r="BW25" s="614"/>
      <c r="BX25" s="614"/>
      <c r="BY25" s="614"/>
      <c r="BZ25" s="614"/>
      <c r="CA25" s="614"/>
      <c r="CB25" s="614"/>
      <c r="CC25" s="614"/>
      <c r="CD25" s="614"/>
      <c r="CE25" s="614"/>
      <c r="CF25" s="614"/>
      <c r="CG25" s="614"/>
      <c r="CH25" s="614"/>
      <c r="CI25" s="606"/>
      <c r="CJ25" s="606"/>
      <c r="CK25" s="606"/>
      <c r="CL25" s="606"/>
      <c r="CM25" s="606"/>
      <c r="CN25" s="615" t="b">
        <f>IF(CE74=8,14)</f>
        <v>0</v>
      </c>
      <c r="CO25" s="434"/>
      <c r="CP25" s="434"/>
      <c r="CQ25" s="434"/>
      <c r="CR25" s="434"/>
      <c r="CS25" s="434"/>
      <c r="CT25" s="434"/>
      <c r="CU25" s="434"/>
      <c r="CV25" s="434"/>
      <c r="CW25" s="434"/>
      <c r="CX25" s="434"/>
      <c r="CY25" s="434"/>
      <c r="CZ25" s="434"/>
      <c r="DA25" s="434"/>
    </row>
    <row r="26" spans="2:105" ht="18.75" hidden="1" thickBot="1" x14ac:dyDescent="0.3">
      <c r="B26" s="543"/>
      <c r="C26" s="543"/>
      <c r="D26" s="542"/>
      <c r="E26" s="544"/>
      <c r="F26" s="544"/>
      <c r="G26" s="544"/>
      <c r="H26" s="544"/>
      <c r="I26" s="544"/>
      <c r="J26" s="544"/>
      <c r="K26" s="544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X26" s="403"/>
      <c r="AY26" s="404"/>
      <c r="AZ26" s="404"/>
      <c r="BA26" s="404"/>
      <c r="BB26" s="12"/>
      <c r="BC26" s="12"/>
      <c r="BD26" s="12"/>
      <c r="BE26" s="12"/>
      <c r="BF26" s="12"/>
      <c r="BI26" s="12"/>
      <c r="BJ26" s="608">
        <v>7</v>
      </c>
      <c r="BK26" s="608"/>
      <c r="BL26" s="608"/>
      <c r="BM26" s="608"/>
      <c r="BN26" s="608"/>
      <c r="BO26" s="608"/>
      <c r="BP26" s="608"/>
      <c r="BQ26" s="608"/>
      <c r="BR26" s="608"/>
      <c r="BS26" s="608"/>
      <c r="BT26" s="613" t="b">
        <f>IF(CD74=7,-4)</f>
        <v>0</v>
      </c>
      <c r="BU26" s="614"/>
      <c r="BV26" s="614"/>
      <c r="BW26" s="614"/>
      <c r="BX26" s="614"/>
      <c r="BY26" s="614"/>
      <c r="BZ26" s="614"/>
      <c r="CA26" s="614"/>
      <c r="CB26" s="614"/>
      <c r="CC26" s="614"/>
      <c r="CD26" s="614"/>
      <c r="CE26" s="614"/>
      <c r="CF26" s="614"/>
      <c r="CG26" s="614"/>
      <c r="CH26" s="614"/>
      <c r="CI26" s="606"/>
      <c r="CJ26" s="606"/>
      <c r="CK26" s="606"/>
      <c r="CL26" s="606"/>
      <c r="CM26" s="606"/>
      <c r="CN26" s="615" t="b">
        <f>IF(CD74=7,14)</f>
        <v>0</v>
      </c>
      <c r="CO26" s="434"/>
      <c r="CP26" s="434"/>
      <c r="CQ26" s="434"/>
      <c r="CR26" s="434"/>
      <c r="CS26" s="434"/>
      <c r="CT26" s="434"/>
      <c r="CU26" s="434"/>
      <c r="CV26" s="434"/>
      <c r="CW26" s="434"/>
      <c r="CX26" s="434"/>
      <c r="CY26" s="434"/>
      <c r="CZ26" s="434"/>
      <c r="DA26" s="434"/>
    </row>
    <row r="27" spans="2:105" ht="18.75" hidden="1" thickBot="1" x14ac:dyDescent="0.3">
      <c r="B27" s="543">
        <f>+B103</f>
        <v>1</v>
      </c>
      <c r="C27" s="543"/>
      <c r="D27" s="542">
        <f>IF(B27&lt;=24,B27)</f>
        <v>1</v>
      </c>
      <c r="E27" s="544"/>
      <c r="F27" s="544"/>
      <c r="G27" s="544"/>
      <c r="H27" s="544"/>
      <c r="I27" s="544"/>
      <c r="J27" s="544"/>
      <c r="K27" s="544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X27" s="403"/>
      <c r="AY27" s="404"/>
      <c r="AZ27" s="404"/>
      <c r="BA27" s="404"/>
      <c r="BB27" s="12"/>
      <c r="BC27" s="12"/>
      <c r="BD27" s="12"/>
      <c r="BE27" s="12"/>
      <c r="BF27" s="12"/>
      <c r="BI27" s="12"/>
      <c r="BJ27" s="608">
        <v>6</v>
      </c>
      <c r="BK27" s="608"/>
      <c r="BL27" s="608"/>
      <c r="BM27" s="608"/>
      <c r="BN27" s="608"/>
      <c r="BO27" s="434"/>
      <c r="BP27" s="434"/>
      <c r="BQ27" s="434"/>
      <c r="BR27" s="613" t="b">
        <f>IF(CC74=6,-6)</f>
        <v>0</v>
      </c>
      <c r="BS27" s="606"/>
      <c r="BT27" s="606"/>
      <c r="BU27" s="606"/>
      <c r="BV27" s="606"/>
      <c r="BW27" s="606"/>
      <c r="BX27" s="606"/>
      <c r="BY27" s="606"/>
      <c r="BZ27" s="606"/>
      <c r="CA27" s="606"/>
      <c r="CB27" s="606"/>
      <c r="CC27" s="606"/>
      <c r="CD27" s="606"/>
      <c r="CE27" s="606"/>
      <c r="CF27" s="606"/>
      <c r="CG27" s="606"/>
      <c r="CH27" s="606"/>
      <c r="CI27" s="606"/>
      <c r="CJ27" s="606"/>
      <c r="CK27" s="606"/>
      <c r="CL27" s="606"/>
      <c r="CM27" s="606"/>
      <c r="CN27" s="615" t="b">
        <f>IF(CC74=6,14)</f>
        <v>0</v>
      </c>
      <c r="CO27" s="434"/>
      <c r="CP27" s="434"/>
      <c r="CQ27" s="434"/>
      <c r="CR27" s="434"/>
      <c r="CS27" s="434"/>
      <c r="CT27" s="434"/>
      <c r="CU27" s="434"/>
      <c r="CV27" s="434"/>
      <c r="CW27" s="434"/>
      <c r="CX27" s="434"/>
      <c r="CY27" s="434"/>
      <c r="CZ27" s="434"/>
      <c r="DA27" s="434"/>
    </row>
    <row r="28" spans="2:105" ht="54.75" hidden="1" thickBot="1" x14ac:dyDescent="0.3">
      <c r="B28" s="541" t="s">
        <v>66</v>
      </c>
      <c r="C28" s="543" t="s">
        <v>14</v>
      </c>
      <c r="D28" s="542">
        <f>SUM(AC106:AC129)/D27</f>
        <v>89</v>
      </c>
      <c r="E28" s="544"/>
      <c r="F28" s="544"/>
      <c r="G28" s="544"/>
      <c r="H28" s="544"/>
      <c r="I28" s="544"/>
      <c r="J28" s="544"/>
      <c r="K28" s="544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X28" s="403"/>
      <c r="AY28" s="404"/>
      <c r="AZ28" s="404"/>
      <c r="BA28" s="404"/>
      <c r="BB28" s="12"/>
      <c r="BC28" s="12"/>
      <c r="BD28" s="12"/>
      <c r="BE28" s="12"/>
      <c r="BF28" s="12"/>
      <c r="BI28" s="12"/>
      <c r="BJ28" s="608">
        <v>5</v>
      </c>
      <c r="BK28" s="608"/>
      <c r="BL28" s="608"/>
      <c r="BM28" s="608"/>
      <c r="BN28" s="608"/>
      <c r="BO28" s="608"/>
      <c r="BP28" s="613" t="b">
        <f>IF(CB74=5,-8)</f>
        <v>0</v>
      </c>
      <c r="BQ28" s="614"/>
      <c r="BR28" s="614"/>
      <c r="BS28" s="614"/>
      <c r="BT28" s="614"/>
      <c r="BU28" s="614"/>
      <c r="BV28" s="614"/>
      <c r="BW28" s="614"/>
      <c r="BX28" s="614"/>
      <c r="BY28" s="606"/>
      <c r="BZ28" s="614"/>
      <c r="CA28" s="614"/>
      <c r="CB28" s="614"/>
      <c r="CC28" s="614"/>
      <c r="CD28" s="614"/>
      <c r="CE28" s="606"/>
      <c r="CF28" s="614"/>
      <c r="CG28" s="614"/>
      <c r="CH28" s="614"/>
      <c r="CI28" s="606"/>
      <c r="CJ28" s="606"/>
      <c r="CK28" s="606"/>
      <c r="CL28" s="606"/>
      <c r="CM28" s="606"/>
      <c r="CN28" s="615" t="b">
        <f>IF(CB74=5,14)</f>
        <v>0</v>
      </c>
      <c r="CO28" s="434"/>
      <c r="CP28" s="434"/>
      <c r="CQ28" s="434"/>
      <c r="CR28" s="434"/>
      <c r="CS28" s="434"/>
      <c r="CT28" s="434"/>
      <c r="CU28" s="434"/>
      <c r="CV28" s="434"/>
      <c r="CW28" s="434"/>
      <c r="CX28" s="434"/>
      <c r="CY28" s="434"/>
      <c r="CZ28" s="434"/>
      <c r="DA28" s="434"/>
    </row>
    <row r="29" spans="2:105" ht="18.75" hidden="1" thickBot="1" x14ac:dyDescent="0.3"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X29" s="403"/>
      <c r="AY29" s="404"/>
      <c r="AZ29" s="404"/>
      <c r="BA29" s="404"/>
      <c r="BB29" s="12"/>
      <c r="BC29" s="12"/>
      <c r="BD29" s="12"/>
      <c r="BE29" s="12"/>
      <c r="BF29" s="12"/>
      <c r="BI29" s="12"/>
      <c r="BJ29" s="608">
        <v>4</v>
      </c>
      <c r="BK29" s="608"/>
      <c r="BL29" s="608"/>
      <c r="BM29" s="608"/>
      <c r="BN29" s="613">
        <f>IF(CA74=4,-10)</f>
        <v>-10</v>
      </c>
      <c r="BO29" s="614"/>
      <c r="BP29" s="614"/>
      <c r="BQ29" s="614"/>
      <c r="BR29" s="614"/>
      <c r="BS29" s="614"/>
      <c r="BT29" s="606"/>
      <c r="BU29" s="614"/>
      <c r="BV29" s="614"/>
      <c r="BW29" s="614"/>
      <c r="BX29" s="614"/>
      <c r="BY29" s="614"/>
      <c r="BZ29" s="614"/>
      <c r="CA29" s="614"/>
      <c r="CB29" s="614"/>
      <c r="CC29" s="614"/>
      <c r="CD29" s="614"/>
      <c r="CE29" s="614"/>
      <c r="CF29" s="614"/>
      <c r="CG29" s="614"/>
      <c r="CH29" s="606"/>
      <c r="CI29" s="606"/>
      <c r="CJ29" s="606"/>
      <c r="CK29" s="606"/>
      <c r="CL29" s="606"/>
      <c r="CM29" s="606"/>
      <c r="CN29" s="615">
        <f>IF(CA74=4,14)</f>
        <v>14</v>
      </c>
      <c r="CO29" s="434"/>
      <c r="CP29" s="434"/>
      <c r="CQ29" s="434"/>
      <c r="CR29" s="434"/>
      <c r="CS29" s="434"/>
      <c r="CT29" s="434"/>
      <c r="CU29" s="434"/>
      <c r="CV29" s="434"/>
      <c r="CW29" s="434"/>
      <c r="CX29" s="434"/>
      <c r="CY29" s="434"/>
      <c r="CZ29" s="434"/>
      <c r="DA29" s="434"/>
    </row>
    <row r="30" spans="2:105" ht="18.75" hidden="1" thickBot="1" x14ac:dyDescent="0.3"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X30" s="403"/>
      <c r="AY30" s="404"/>
      <c r="AZ30" s="404"/>
      <c r="BA30" s="404"/>
      <c r="BB30" s="12"/>
      <c r="BC30" s="12"/>
      <c r="BD30" s="12"/>
      <c r="BE30" s="12"/>
      <c r="BF30" s="12"/>
      <c r="BI30" s="12"/>
      <c r="BJ30" s="608">
        <v>3</v>
      </c>
      <c r="BK30" s="608"/>
      <c r="BL30" s="613" t="b">
        <f>IF(BZ74=3,-12)</f>
        <v>0</v>
      </c>
      <c r="BM30" s="614"/>
      <c r="BN30" s="614"/>
      <c r="BO30" s="614"/>
      <c r="BP30" s="614"/>
      <c r="BQ30" s="614"/>
      <c r="BR30" s="606"/>
      <c r="BS30" s="614"/>
      <c r="BT30" s="614"/>
      <c r="BU30" s="614"/>
      <c r="BV30" s="614"/>
      <c r="BW30" s="614"/>
      <c r="BX30" s="614"/>
      <c r="BY30" s="614"/>
      <c r="BZ30" s="614"/>
      <c r="CA30" s="614"/>
      <c r="CB30" s="614"/>
      <c r="CC30" s="614"/>
      <c r="CD30" s="614"/>
      <c r="CE30" s="614"/>
      <c r="CF30" s="614"/>
      <c r="CG30" s="614"/>
      <c r="CH30" s="606"/>
      <c r="CI30" s="606"/>
      <c r="CJ30" s="606"/>
      <c r="CK30" s="606"/>
      <c r="CL30" s="606"/>
      <c r="CM30" s="606"/>
      <c r="CN30" s="615" t="b">
        <f>IF(BZ74=3,14)</f>
        <v>0</v>
      </c>
      <c r="CO30" s="434"/>
      <c r="CP30" s="434"/>
      <c r="CQ30" s="434"/>
      <c r="CR30" s="434"/>
      <c r="CS30" s="434"/>
      <c r="CT30" s="434"/>
      <c r="CU30" s="434"/>
      <c r="CV30" s="434"/>
      <c r="CW30" s="434"/>
      <c r="CX30" s="434"/>
      <c r="CY30" s="434"/>
      <c r="CZ30" s="434"/>
      <c r="DA30" s="434"/>
    </row>
    <row r="31" spans="2:105" ht="18.75" hidden="1" thickBot="1" x14ac:dyDescent="0.3"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X31" s="403"/>
      <c r="AY31" s="404"/>
      <c r="AZ31" s="404"/>
      <c r="BA31" s="404"/>
      <c r="BB31" s="12"/>
      <c r="BC31" s="12"/>
      <c r="BD31" s="12"/>
      <c r="BE31" s="12"/>
      <c r="BF31" s="12"/>
      <c r="BI31" s="12"/>
      <c r="BJ31" s="608">
        <v>2</v>
      </c>
      <c r="BK31" s="613" t="b">
        <f>IF(BY74=2,-13)</f>
        <v>0</v>
      </c>
      <c r="BL31" s="616"/>
      <c r="BM31" s="616"/>
      <c r="BN31" s="616"/>
      <c r="BO31" s="616"/>
      <c r="BP31" s="616"/>
      <c r="BQ31" s="616"/>
      <c r="BR31" s="616"/>
      <c r="BS31" s="616"/>
      <c r="BT31" s="616"/>
      <c r="BU31" s="617"/>
      <c r="BV31" s="616"/>
      <c r="BW31" s="616"/>
      <c r="BX31" s="616"/>
      <c r="BY31" s="616"/>
      <c r="BZ31" s="616"/>
      <c r="CA31" s="616"/>
      <c r="CB31" s="616"/>
      <c r="CC31" s="617"/>
      <c r="CD31" s="616"/>
      <c r="CE31" s="616"/>
      <c r="CF31" s="616"/>
      <c r="CG31" s="616"/>
      <c r="CH31" s="616"/>
      <c r="CI31" s="617"/>
      <c r="CJ31" s="617"/>
      <c r="CK31" s="617"/>
      <c r="CL31" s="617"/>
      <c r="CM31" s="618" t="b">
        <f>IF(BY74=2,13)</f>
        <v>0</v>
      </c>
      <c r="CN31" s="434"/>
      <c r="CO31" s="434"/>
      <c r="CP31" s="434"/>
      <c r="CQ31" s="434"/>
      <c r="CR31" s="434"/>
      <c r="CS31" s="434"/>
      <c r="CT31" s="434"/>
      <c r="CU31" s="434"/>
      <c r="CV31" s="434"/>
      <c r="CW31" s="434"/>
      <c r="CX31" s="434"/>
      <c r="CY31" s="434"/>
      <c r="CZ31" s="434"/>
      <c r="DA31" s="434"/>
    </row>
    <row r="32" spans="2:105" ht="18.75" hidden="1" thickBot="1" x14ac:dyDescent="0.3"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X32" s="403"/>
      <c r="AY32" s="404"/>
      <c r="AZ32" s="404"/>
      <c r="BA32" s="404"/>
      <c r="BB32" s="12"/>
      <c r="BC32" s="12"/>
      <c r="BD32" s="12"/>
      <c r="BE32" s="12"/>
      <c r="BF32" s="12"/>
      <c r="BI32" s="12"/>
      <c r="BJ32" s="608">
        <v>1</v>
      </c>
      <c r="BK32" s="619" t="b">
        <f>IF(BX74=1,-13)</f>
        <v>0</v>
      </c>
      <c r="BL32" s="616"/>
      <c r="BM32" s="616"/>
      <c r="BN32" s="616"/>
      <c r="BO32" s="616"/>
      <c r="BP32" s="616"/>
      <c r="BQ32" s="616"/>
      <c r="BR32" s="616"/>
      <c r="BS32" s="617"/>
      <c r="BT32" s="616"/>
      <c r="BU32" s="616"/>
      <c r="BV32" s="616"/>
      <c r="BW32" s="616"/>
      <c r="BX32" s="616"/>
      <c r="BY32" s="616"/>
      <c r="BZ32" s="616"/>
      <c r="CA32" s="616"/>
      <c r="CB32" s="616"/>
      <c r="CC32" s="617"/>
      <c r="CD32" s="616"/>
      <c r="CE32" s="616"/>
      <c r="CF32" s="616"/>
      <c r="CG32" s="616"/>
      <c r="CH32" s="616"/>
      <c r="CI32" s="617"/>
      <c r="CJ32" s="617"/>
      <c r="CK32" s="618" t="b">
        <f>IF(BX74=1,11)</f>
        <v>0</v>
      </c>
      <c r="CL32" s="434"/>
      <c r="CM32" s="434"/>
      <c r="CN32" s="434"/>
      <c r="CO32" s="434"/>
      <c r="CP32" s="434"/>
      <c r="CQ32" s="434"/>
      <c r="CR32" s="434"/>
      <c r="CS32" s="434"/>
      <c r="CT32" s="434"/>
      <c r="CU32" s="434"/>
      <c r="CV32" s="434"/>
      <c r="CW32" s="434"/>
      <c r="CX32" s="434"/>
      <c r="CY32" s="434"/>
      <c r="CZ32" s="434"/>
      <c r="DA32" s="434"/>
    </row>
    <row r="33" spans="27:107" ht="18.75" hidden="1" thickBot="1" x14ac:dyDescent="0.3"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X33" s="403"/>
      <c r="AY33" s="404"/>
      <c r="AZ33" s="404"/>
      <c r="BA33" s="404"/>
      <c r="BB33" s="12"/>
      <c r="BC33" s="12"/>
      <c r="BD33" s="12"/>
      <c r="BE33" s="12"/>
      <c r="BF33" s="12"/>
      <c r="BI33" s="12"/>
      <c r="BJ33" s="608">
        <v>-1</v>
      </c>
      <c r="BK33" s="619" t="b">
        <f>IF(BW74=-1,-13)</f>
        <v>0</v>
      </c>
      <c r="BL33" s="616"/>
      <c r="BM33" s="616"/>
      <c r="BN33" s="616"/>
      <c r="BO33" s="616"/>
      <c r="BP33" s="616"/>
      <c r="BQ33" s="617"/>
      <c r="BR33" s="616"/>
      <c r="BS33" s="616"/>
      <c r="BT33" s="616"/>
      <c r="BU33" s="616"/>
      <c r="BV33" s="616"/>
      <c r="BW33" s="616"/>
      <c r="BX33" s="616"/>
      <c r="BY33" s="616"/>
      <c r="BZ33" s="616"/>
      <c r="CA33" s="616"/>
      <c r="CB33" s="616"/>
      <c r="CC33" s="617"/>
      <c r="CD33" s="616"/>
      <c r="CE33" s="616"/>
      <c r="CF33" s="616"/>
      <c r="CG33" s="616"/>
      <c r="CH33" s="616"/>
      <c r="CI33" s="618" t="b">
        <f>IF(BW74=-1,9)</f>
        <v>0</v>
      </c>
      <c r="CJ33" s="434"/>
      <c r="CK33" s="434"/>
      <c r="CL33" s="434"/>
      <c r="CM33" s="434"/>
      <c r="CN33" s="434"/>
      <c r="CO33" s="434"/>
      <c r="CP33" s="434"/>
      <c r="CQ33" s="434"/>
      <c r="CR33" s="434"/>
      <c r="CS33" s="434"/>
      <c r="CT33" s="434"/>
      <c r="CU33" s="434"/>
      <c r="CV33" s="434"/>
      <c r="CW33" s="434"/>
      <c r="CX33" s="434"/>
      <c r="CY33" s="434"/>
      <c r="CZ33" s="434"/>
      <c r="DA33" s="434"/>
    </row>
    <row r="34" spans="27:107" ht="18.75" hidden="1" thickBot="1" x14ac:dyDescent="0.3"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X34" s="403"/>
      <c r="AY34" s="404"/>
      <c r="AZ34" s="404"/>
      <c r="BA34" s="404"/>
      <c r="BB34" s="12"/>
      <c r="BC34" s="12"/>
      <c r="BD34" s="12"/>
      <c r="BE34" s="12"/>
      <c r="BF34" s="12"/>
      <c r="BI34" s="12"/>
      <c r="BJ34" s="608">
        <v>-2</v>
      </c>
      <c r="BK34" s="608"/>
      <c r="BL34" s="434"/>
      <c r="BM34" s="619" t="b">
        <f>IF(BV74=-2,-11)</f>
        <v>0</v>
      </c>
      <c r="BN34" s="616"/>
      <c r="BO34" s="617"/>
      <c r="BP34" s="616"/>
      <c r="BQ34" s="616"/>
      <c r="BR34" s="616"/>
      <c r="BS34" s="616"/>
      <c r="BT34" s="616"/>
      <c r="BU34" s="616"/>
      <c r="BV34" s="616"/>
      <c r="BW34" s="616"/>
      <c r="BX34" s="616"/>
      <c r="BY34" s="616"/>
      <c r="BZ34" s="616"/>
      <c r="CA34" s="616"/>
      <c r="CB34" s="616"/>
      <c r="CC34" s="617"/>
      <c r="CD34" s="616"/>
      <c r="CE34" s="618" t="b">
        <f>IF(BV74=-2,8)</f>
        <v>0</v>
      </c>
      <c r="CF34" s="608"/>
      <c r="CG34" s="608"/>
      <c r="CH34" s="608"/>
      <c r="CI34" s="434"/>
      <c r="CJ34" s="434"/>
      <c r="CK34" s="434"/>
      <c r="CL34" s="434"/>
      <c r="CM34" s="434"/>
      <c r="CN34" s="434"/>
      <c r="CO34" s="434"/>
      <c r="CP34" s="434"/>
      <c r="CQ34" s="434"/>
      <c r="CR34" s="434"/>
      <c r="CS34" s="434"/>
      <c r="CT34" s="434"/>
      <c r="CU34" s="434"/>
      <c r="CV34" s="434"/>
      <c r="CW34" s="434"/>
      <c r="CX34" s="434"/>
      <c r="CY34" s="434"/>
      <c r="CZ34" s="434"/>
      <c r="DA34" s="434"/>
    </row>
    <row r="35" spans="27:107" ht="18.75" hidden="1" thickBot="1" x14ac:dyDescent="0.3"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X35" s="403"/>
      <c r="AY35" s="404"/>
      <c r="AZ35" s="404"/>
      <c r="BA35" s="404"/>
      <c r="BB35" s="12"/>
      <c r="BC35" s="12"/>
      <c r="BD35" s="12"/>
      <c r="BE35" s="12"/>
      <c r="BF35" s="12"/>
      <c r="BI35" s="12"/>
      <c r="BJ35" s="608">
        <v>-3</v>
      </c>
      <c r="BK35" s="613" t="b">
        <f>IF(BU74=-3,-13)</f>
        <v>0</v>
      </c>
      <c r="BL35" s="614"/>
      <c r="BM35" s="606"/>
      <c r="BN35" s="614"/>
      <c r="BO35" s="614"/>
      <c r="BP35" s="614"/>
      <c r="BQ35" s="614"/>
      <c r="BR35" s="614"/>
      <c r="BS35" s="614"/>
      <c r="BT35" s="614"/>
      <c r="BU35" s="614"/>
      <c r="BV35" s="614"/>
      <c r="BW35" s="614"/>
      <c r="BX35" s="614"/>
      <c r="BY35" s="614"/>
      <c r="BZ35" s="614"/>
      <c r="CA35" s="614"/>
      <c r="CB35" s="614"/>
      <c r="CC35" s="606"/>
      <c r="CD35" s="606"/>
      <c r="CE35" s="615" t="b">
        <f>IF(BU74=-3,8)</f>
        <v>0</v>
      </c>
      <c r="CF35" s="608"/>
      <c r="CG35" s="608"/>
      <c r="CH35" s="608"/>
      <c r="CI35" s="434"/>
      <c r="CJ35" s="434"/>
      <c r="CK35" s="434"/>
      <c r="CL35" s="434"/>
      <c r="CM35" s="434"/>
      <c r="CN35" s="434"/>
      <c r="CO35" s="434"/>
      <c r="CP35" s="434"/>
      <c r="CQ35" s="434"/>
      <c r="CR35" s="434"/>
      <c r="CS35" s="434"/>
      <c r="CT35" s="434"/>
      <c r="CU35" s="434"/>
      <c r="CV35" s="434"/>
      <c r="CW35" s="434"/>
      <c r="CX35" s="434"/>
      <c r="CY35" s="434"/>
      <c r="CZ35" s="434"/>
      <c r="DA35" s="434"/>
    </row>
    <row r="36" spans="27:107" ht="18.75" hidden="1" thickBot="1" x14ac:dyDescent="0.3"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X36" s="403"/>
      <c r="AY36" s="404"/>
      <c r="AZ36" s="404"/>
      <c r="BA36" s="404"/>
      <c r="BB36" s="12"/>
      <c r="BC36" s="12"/>
      <c r="BD36" s="12"/>
      <c r="BE36" s="12"/>
      <c r="BF36" s="12"/>
      <c r="BI36" s="12"/>
      <c r="BJ36" s="608">
        <v>-4</v>
      </c>
      <c r="BK36" s="619" t="b">
        <f>IF(BT74=-4,-13)</f>
        <v>0</v>
      </c>
      <c r="BL36" s="616"/>
      <c r="BM36" s="616"/>
      <c r="BN36" s="616"/>
      <c r="BO36" s="616"/>
      <c r="BP36" s="616"/>
      <c r="BQ36" s="616"/>
      <c r="BR36" s="616"/>
      <c r="BS36" s="616"/>
      <c r="BT36" s="616"/>
      <c r="BU36" s="616"/>
      <c r="BV36" s="616"/>
      <c r="BW36" s="616"/>
      <c r="BX36" s="616"/>
      <c r="BY36" s="616"/>
      <c r="BZ36" s="616"/>
      <c r="CA36" s="616"/>
      <c r="CB36" s="616"/>
      <c r="CC36" s="618" t="b">
        <f>IF(BT74=-4,6)</f>
        <v>0</v>
      </c>
      <c r="CD36" s="608"/>
      <c r="CE36" s="608"/>
      <c r="CF36" s="608"/>
      <c r="CG36" s="608"/>
      <c r="CH36" s="608"/>
      <c r="CI36" s="434"/>
      <c r="CJ36" s="434"/>
      <c r="CK36" s="434"/>
      <c r="CL36" s="434"/>
      <c r="CM36" s="434"/>
      <c r="CN36" s="434"/>
      <c r="CO36" s="434"/>
      <c r="CP36" s="434"/>
      <c r="CQ36" s="434"/>
      <c r="CR36" s="434"/>
      <c r="CS36" s="434"/>
      <c r="CT36" s="434"/>
      <c r="CU36" s="434"/>
      <c r="CV36" s="434"/>
      <c r="CW36" s="434"/>
      <c r="CX36" s="434"/>
      <c r="CY36" s="434"/>
      <c r="CZ36" s="434"/>
      <c r="DA36" s="434"/>
    </row>
    <row r="37" spans="27:107" ht="18.75" hidden="1" thickBot="1" x14ac:dyDescent="0.3"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X37" s="403"/>
      <c r="AY37" s="404"/>
      <c r="AZ37" s="404"/>
      <c r="BA37" s="404"/>
      <c r="BC37" s="12"/>
      <c r="BD37" s="12"/>
      <c r="BE37" s="12"/>
      <c r="BF37" s="12"/>
      <c r="BI37" s="12"/>
      <c r="BJ37" s="608">
        <v>-5</v>
      </c>
      <c r="BK37" s="619" t="b">
        <f>IF(BS74=-5,-13)</f>
        <v>0</v>
      </c>
      <c r="BL37" s="616"/>
      <c r="BM37" s="616"/>
      <c r="BN37" s="616"/>
      <c r="BO37" s="616"/>
      <c r="BP37" s="616"/>
      <c r="BQ37" s="616"/>
      <c r="BR37" s="616"/>
      <c r="BS37" s="616"/>
      <c r="BT37" s="616"/>
      <c r="BU37" s="616"/>
      <c r="BV37" s="616"/>
      <c r="BW37" s="616"/>
      <c r="BX37" s="616"/>
      <c r="BY37" s="616"/>
      <c r="BZ37" s="616"/>
      <c r="CA37" s="618" t="b">
        <f>IF(BS74=-5,4)</f>
        <v>0</v>
      </c>
      <c r="CB37" s="608"/>
      <c r="CC37" s="608"/>
      <c r="CD37" s="608"/>
      <c r="CE37" s="608"/>
      <c r="CF37" s="608"/>
      <c r="CG37" s="608"/>
      <c r="CH37" s="608"/>
      <c r="CI37" s="434"/>
      <c r="CJ37" s="434"/>
      <c r="CK37" s="434"/>
      <c r="CL37" s="434"/>
      <c r="CM37" s="434"/>
      <c r="CN37" s="434"/>
      <c r="CO37" s="434"/>
      <c r="CP37" s="434"/>
      <c r="CQ37" s="434"/>
      <c r="CR37" s="434"/>
      <c r="CS37" s="434"/>
      <c r="CT37" s="434"/>
      <c r="CU37" s="434"/>
      <c r="CV37" s="434"/>
      <c r="CW37" s="434"/>
      <c r="CX37" s="434"/>
      <c r="CY37" s="434"/>
      <c r="CZ37" s="434"/>
      <c r="DA37" s="434"/>
    </row>
    <row r="38" spans="27:107" ht="18.75" hidden="1" thickBot="1" x14ac:dyDescent="0.3"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X38" s="403"/>
      <c r="AY38" s="404"/>
      <c r="AZ38" s="404"/>
      <c r="BA38" s="404"/>
      <c r="BB38" s="12"/>
      <c r="BC38" s="12"/>
      <c r="BD38" s="12"/>
      <c r="BE38" s="12"/>
      <c r="BF38" s="12"/>
      <c r="BI38" s="12"/>
      <c r="BJ38" s="608">
        <v>-6</v>
      </c>
      <c r="BK38" s="619" t="b">
        <f>IF(BR74=-6,-13)</f>
        <v>0</v>
      </c>
      <c r="BL38" s="616"/>
      <c r="BM38" s="616"/>
      <c r="BN38" s="616"/>
      <c r="BO38" s="616"/>
      <c r="BP38" s="616"/>
      <c r="BQ38" s="616"/>
      <c r="BR38" s="616"/>
      <c r="BS38" s="616"/>
      <c r="BT38" s="616"/>
      <c r="BU38" s="616"/>
      <c r="BV38" s="616"/>
      <c r="BW38" s="616"/>
      <c r="BX38" s="616"/>
      <c r="BY38" s="618" t="b">
        <f>IF(BR74=-6,2)</f>
        <v>0</v>
      </c>
      <c r="BZ38" s="608"/>
      <c r="CA38" s="608"/>
      <c r="CB38" s="608"/>
      <c r="CC38" s="608"/>
      <c r="CD38" s="608"/>
      <c r="CE38" s="608"/>
      <c r="CF38" s="608"/>
      <c r="CG38" s="608"/>
      <c r="CH38" s="608"/>
      <c r="CI38" s="434"/>
      <c r="CJ38" s="434"/>
      <c r="CK38" s="434"/>
      <c r="CL38" s="434"/>
      <c r="CM38" s="434"/>
      <c r="CN38" s="434"/>
      <c r="CO38" s="434"/>
      <c r="CP38" s="434"/>
      <c r="CQ38" s="434"/>
      <c r="CR38" s="434"/>
      <c r="CS38" s="434"/>
      <c r="CT38" s="434"/>
      <c r="CU38" s="434"/>
      <c r="CV38" s="434"/>
      <c r="CW38" s="434"/>
      <c r="CX38" s="434"/>
      <c r="CY38" s="434"/>
      <c r="CZ38" s="434"/>
      <c r="DA38" s="434"/>
    </row>
    <row r="39" spans="27:107" ht="18.75" hidden="1" thickBot="1" x14ac:dyDescent="0.3"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X39" s="403"/>
      <c r="AY39" s="404"/>
      <c r="AZ39" s="404"/>
      <c r="BA39" s="404"/>
      <c r="BC39" s="12"/>
      <c r="BD39" s="12"/>
      <c r="BE39" s="12"/>
      <c r="BF39" s="12"/>
      <c r="BI39" s="12"/>
      <c r="BJ39" s="608">
        <v>-7</v>
      </c>
      <c r="BK39" s="619" t="b">
        <f>IF(BQ74=-7,-13)</f>
        <v>0</v>
      </c>
      <c r="BL39" s="617"/>
      <c r="BM39" s="616"/>
      <c r="BN39" s="616"/>
      <c r="BO39" s="616"/>
      <c r="BP39" s="616"/>
      <c r="BQ39" s="616"/>
      <c r="BR39" s="616"/>
      <c r="BS39" s="616"/>
      <c r="BT39" s="616"/>
      <c r="BU39" s="617"/>
      <c r="BV39" s="616"/>
      <c r="BW39" s="618" t="b">
        <f>IF(BQ74=-7,-1)</f>
        <v>0</v>
      </c>
      <c r="BX39" s="608"/>
      <c r="BY39" s="608"/>
      <c r="BZ39" s="608"/>
      <c r="CA39" s="608"/>
      <c r="CB39" s="608"/>
      <c r="CC39" s="608"/>
      <c r="CD39" s="608"/>
      <c r="CE39" s="608"/>
      <c r="CF39" s="608"/>
      <c r="CG39" s="608"/>
      <c r="CH39" s="608"/>
      <c r="CI39" s="434"/>
      <c r="CJ39" s="434"/>
      <c r="CK39" s="434"/>
      <c r="CL39" s="434"/>
      <c r="CM39" s="434"/>
      <c r="CN39" s="434"/>
      <c r="CO39" s="434"/>
      <c r="CP39" s="434"/>
      <c r="CQ39" s="434"/>
      <c r="CR39" s="434"/>
      <c r="CS39" s="434"/>
      <c r="CT39" s="434"/>
      <c r="CU39" s="434"/>
      <c r="CV39" s="434"/>
      <c r="CW39" s="434"/>
      <c r="CX39" s="434"/>
      <c r="CY39" s="434"/>
      <c r="CZ39" s="434"/>
      <c r="DA39" s="434"/>
    </row>
    <row r="40" spans="27:107" ht="18.75" hidden="1" thickBot="1" x14ac:dyDescent="0.3"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X40" s="403"/>
      <c r="AY40" s="404"/>
      <c r="AZ40" s="404"/>
      <c r="BA40" s="404"/>
      <c r="BC40" s="12"/>
      <c r="BD40" s="12"/>
      <c r="BE40" s="12"/>
      <c r="BF40" s="12"/>
      <c r="BH40" s="13">
        <v>11</v>
      </c>
      <c r="BI40" s="12"/>
      <c r="BJ40" s="608">
        <v>-8</v>
      </c>
      <c r="BK40" s="619" t="b">
        <f>IF(BP74=-8,-13)</f>
        <v>0</v>
      </c>
      <c r="BL40" s="616"/>
      <c r="BM40" s="616"/>
      <c r="BN40" s="616"/>
      <c r="BO40" s="616"/>
      <c r="BP40" s="616"/>
      <c r="BQ40" s="616"/>
      <c r="BR40" s="616"/>
      <c r="BS40" s="616"/>
      <c r="BT40" s="616"/>
      <c r="BU40" s="618" t="b">
        <f>IF(BP74=-8,-3)</f>
        <v>0</v>
      </c>
      <c r="BV40" s="434"/>
      <c r="BW40" s="608"/>
      <c r="BX40" s="613" t="b">
        <f>IF(CK74=11,1)</f>
        <v>0</v>
      </c>
      <c r="BY40" s="614"/>
      <c r="BZ40" s="614"/>
      <c r="CA40" s="614"/>
      <c r="CB40" s="614"/>
      <c r="CC40" s="614"/>
      <c r="CD40" s="614"/>
      <c r="CE40" s="614"/>
      <c r="CF40" s="614"/>
      <c r="CG40" s="614"/>
      <c r="CH40" s="614"/>
      <c r="CI40" s="606"/>
      <c r="CJ40" s="606"/>
      <c r="CK40" s="606"/>
      <c r="CL40" s="606"/>
      <c r="CM40" s="606"/>
      <c r="CN40" s="606"/>
      <c r="CO40" s="606"/>
      <c r="CP40" s="606"/>
      <c r="CQ40" s="606"/>
      <c r="CR40" s="606"/>
      <c r="CS40" s="606"/>
      <c r="CT40" s="606"/>
      <c r="CU40" s="606"/>
      <c r="CV40" s="606"/>
      <c r="CW40" s="606"/>
      <c r="CX40" s="615" t="b">
        <f>IF(CK74=11,24)</f>
        <v>0</v>
      </c>
      <c r="CY40" s="434"/>
      <c r="CZ40" s="434"/>
      <c r="DA40" s="434"/>
      <c r="DC40" s="13">
        <v>11</v>
      </c>
    </row>
    <row r="41" spans="27:107" ht="18.75" hidden="1" thickBot="1" x14ac:dyDescent="0.3"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X41" s="403"/>
      <c r="AY41" s="404"/>
      <c r="AZ41" s="404"/>
      <c r="BA41" s="404"/>
      <c r="BB41" s="12"/>
      <c r="BC41" s="12"/>
      <c r="BD41" s="12"/>
      <c r="BE41" s="12"/>
      <c r="BF41" s="12"/>
      <c r="BH41" s="13">
        <v>10</v>
      </c>
      <c r="BI41" s="12"/>
      <c r="BJ41" s="608">
        <v>-9</v>
      </c>
      <c r="BK41" s="619" t="b">
        <f>IF(BO74=-9,-13)</f>
        <v>0</v>
      </c>
      <c r="BL41" s="617"/>
      <c r="BM41" s="616"/>
      <c r="BN41" s="616"/>
      <c r="BO41" s="616"/>
      <c r="BP41" s="616"/>
      <c r="BQ41" s="616"/>
      <c r="BR41" s="617"/>
      <c r="BS41" s="618" t="b">
        <f>IF(BO74=-9,-5)</f>
        <v>0</v>
      </c>
      <c r="BT41" s="608"/>
      <c r="BU41" s="608"/>
      <c r="BV41" s="608"/>
      <c r="BW41" s="608"/>
      <c r="BX41" s="619" t="b">
        <f>IF(CJ74=10,1)</f>
        <v>0</v>
      </c>
      <c r="BY41" s="616"/>
      <c r="BZ41" s="616"/>
      <c r="CA41" s="616"/>
      <c r="CB41" s="616"/>
      <c r="CC41" s="616"/>
      <c r="CD41" s="616"/>
      <c r="CE41" s="616"/>
      <c r="CF41" s="616"/>
      <c r="CG41" s="616"/>
      <c r="CH41" s="616"/>
      <c r="CI41" s="617"/>
      <c r="CJ41" s="617"/>
      <c r="CK41" s="617"/>
      <c r="CL41" s="617"/>
      <c r="CM41" s="617"/>
      <c r="CN41" s="617"/>
      <c r="CO41" s="617"/>
      <c r="CP41" s="617"/>
      <c r="CQ41" s="617"/>
      <c r="CR41" s="617"/>
      <c r="CS41" s="617"/>
      <c r="CT41" s="617"/>
      <c r="CU41" s="617"/>
      <c r="CV41" s="618" t="b">
        <f>IF(CJ74=10,22)</f>
        <v>0</v>
      </c>
      <c r="CW41" s="434"/>
      <c r="CX41" s="434"/>
      <c r="CY41" s="434"/>
      <c r="CZ41" s="434"/>
      <c r="DA41" s="434"/>
      <c r="DC41" s="13">
        <v>10</v>
      </c>
    </row>
    <row r="42" spans="27:107" ht="18.75" hidden="1" thickBot="1" x14ac:dyDescent="0.3"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X42" s="403"/>
      <c r="AY42" s="404"/>
      <c r="AZ42" s="404"/>
      <c r="BA42" s="404"/>
      <c r="BC42" s="12"/>
      <c r="BD42" s="12"/>
      <c r="BE42" s="12"/>
      <c r="BF42" s="12"/>
      <c r="BH42" s="13">
        <v>9</v>
      </c>
      <c r="BI42" s="12"/>
      <c r="BJ42" s="608">
        <v>-10</v>
      </c>
      <c r="BK42" s="619" t="b">
        <f>IF(BN74=-10,-13)</f>
        <v>0</v>
      </c>
      <c r="BL42" s="616"/>
      <c r="BM42" s="616"/>
      <c r="BN42" s="616"/>
      <c r="BO42" s="616"/>
      <c r="BP42" s="616"/>
      <c r="BQ42" s="618" t="b">
        <f>IF(BN74=-10,-7)</f>
        <v>0</v>
      </c>
      <c r="BR42" s="608"/>
      <c r="BS42" s="620"/>
      <c r="BT42" s="620"/>
      <c r="BU42" s="608"/>
      <c r="BV42" s="620"/>
      <c r="BW42" s="608"/>
      <c r="BX42" s="619" t="b">
        <f>IF(CI74=9,1)</f>
        <v>0</v>
      </c>
      <c r="BY42" s="616"/>
      <c r="BZ42" s="616"/>
      <c r="CA42" s="616"/>
      <c r="CB42" s="616"/>
      <c r="CC42" s="616"/>
      <c r="CD42" s="616"/>
      <c r="CE42" s="616"/>
      <c r="CF42" s="616"/>
      <c r="CG42" s="616"/>
      <c r="CH42" s="616"/>
      <c r="CI42" s="617"/>
      <c r="CJ42" s="617"/>
      <c r="CK42" s="617"/>
      <c r="CL42" s="617"/>
      <c r="CM42" s="617"/>
      <c r="CN42" s="617"/>
      <c r="CO42" s="617"/>
      <c r="CP42" s="617"/>
      <c r="CQ42" s="617"/>
      <c r="CR42" s="617"/>
      <c r="CS42" s="617"/>
      <c r="CT42" s="618" t="b">
        <f>IF(CI74=9,20)</f>
        <v>0</v>
      </c>
      <c r="CU42" s="434"/>
      <c r="CV42" s="434"/>
      <c r="CW42" s="434"/>
      <c r="CX42" s="434"/>
      <c r="CY42" s="434"/>
      <c r="CZ42" s="434"/>
      <c r="DA42" s="434"/>
      <c r="DC42" s="13">
        <v>9</v>
      </c>
    </row>
    <row r="43" spans="27:107" ht="18.75" hidden="1" thickBot="1" x14ac:dyDescent="0.3"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X43" s="403"/>
      <c r="AY43" s="404"/>
      <c r="AZ43" s="404"/>
      <c r="BA43" s="404"/>
      <c r="BB43" s="12"/>
      <c r="BC43" s="12"/>
      <c r="BD43" s="12"/>
      <c r="BE43" s="12"/>
      <c r="BF43" s="12"/>
      <c r="BH43" s="18">
        <v>83</v>
      </c>
      <c r="BI43" s="12"/>
      <c r="BJ43" s="608">
        <v>-11</v>
      </c>
      <c r="BK43" s="619" t="b">
        <f>IF(BM74=-11,-13)</f>
        <v>0</v>
      </c>
      <c r="BL43" s="616"/>
      <c r="BM43" s="616"/>
      <c r="BN43" s="616"/>
      <c r="BO43" s="618" t="b">
        <f>IF(BM74=-11,-9)</f>
        <v>0</v>
      </c>
      <c r="BP43" s="608"/>
      <c r="BQ43" s="608"/>
      <c r="BR43" s="608"/>
      <c r="BS43" s="608"/>
      <c r="BT43" s="608"/>
      <c r="BU43" s="608"/>
      <c r="BV43" s="608"/>
      <c r="BW43" s="608"/>
      <c r="BX43" s="619" t="b">
        <f>IF(CH74=83,1)</f>
        <v>0</v>
      </c>
      <c r="BY43" s="616"/>
      <c r="BZ43" s="617"/>
      <c r="CA43" s="616"/>
      <c r="CB43" s="616"/>
      <c r="CC43" s="616"/>
      <c r="CD43" s="616"/>
      <c r="CE43" s="616"/>
      <c r="CF43" s="616"/>
      <c r="CG43" s="616"/>
      <c r="CH43" s="617"/>
      <c r="CI43" s="617"/>
      <c r="CJ43" s="617"/>
      <c r="CK43" s="617"/>
      <c r="CL43" s="617"/>
      <c r="CM43" s="617"/>
      <c r="CN43" s="617"/>
      <c r="CO43" s="617"/>
      <c r="CP43" s="617"/>
      <c r="CQ43" s="617"/>
      <c r="CR43" s="618" t="b">
        <f>IF(CH74=83,18)</f>
        <v>0</v>
      </c>
      <c r="CS43" s="434"/>
      <c r="CT43" s="434"/>
      <c r="CU43" s="434"/>
      <c r="CV43" s="434"/>
      <c r="CW43" s="434"/>
      <c r="CX43" s="434"/>
      <c r="CY43" s="434"/>
      <c r="CZ43" s="434"/>
      <c r="DA43" s="434"/>
      <c r="DC43" s="18">
        <v>83</v>
      </c>
    </row>
    <row r="44" spans="27:107" ht="18.75" hidden="1" thickBot="1" x14ac:dyDescent="0.3"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X44" s="403"/>
      <c r="AY44" s="404"/>
      <c r="AZ44" s="404"/>
      <c r="BA44" s="404"/>
      <c r="BB44" s="12"/>
      <c r="BC44" s="12"/>
      <c r="BD44" s="12"/>
      <c r="BE44" s="12"/>
      <c r="BF44" s="12"/>
      <c r="BH44" s="18">
        <v>82</v>
      </c>
      <c r="BI44" s="12"/>
      <c r="BJ44" s="608">
        <v>-12</v>
      </c>
      <c r="BK44" s="619" t="b">
        <f>IF(BL74=-12,-13)</f>
        <v>0</v>
      </c>
      <c r="BL44" s="616"/>
      <c r="BM44" s="618" t="b">
        <f>IF(BL74=-12,-11)</f>
        <v>0</v>
      </c>
      <c r="BN44" s="608"/>
      <c r="BO44" s="608"/>
      <c r="BP44" s="608"/>
      <c r="BQ44" s="608"/>
      <c r="BR44" s="608"/>
      <c r="BS44" s="608"/>
      <c r="BT44" s="608"/>
      <c r="BU44" s="608"/>
      <c r="BV44" s="608"/>
      <c r="BW44" s="608"/>
      <c r="BX44" s="619" t="b">
        <f>IF(CG74=82,1)</f>
        <v>0</v>
      </c>
      <c r="BY44" s="617"/>
      <c r="BZ44" s="616"/>
      <c r="CA44" s="616"/>
      <c r="CB44" s="616"/>
      <c r="CC44" s="616"/>
      <c r="CD44" s="616"/>
      <c r="CE44" s="616"/>
      <c r="CF44" s="616"/>
      <c r="CG44" s="617"/>
      <c r="CH44" s="616"/>
      <c r="CI44" s="617"/>
      <c r="CJ44" s="617"/>
      <c r="CK44" s="617"/>
      <c r="CL44" s="617"/>
      <c r="CM44" s="617"/>
      <c r="CN44" s="617"/>
      <c r="CO44" s="617"/>
      <c r="CP44" s="618" t="b">
        <f>IF(CG74=82,16)</f>
        <v>0</v>
      </c>
      <c r="CQ44" s="434"/>
      <c r="CR44" s="434"/>
      <c r="CS44" s="434"/>
      <c r="CT44" s="434"/>
      <c r="CU44" s="434"/>
      <c r="CV44" s="434"/>
      <c r="CW44" s="434"/>
      <c r="CX44" s="434"/>
      <c r="CY44" s="434"/>
      <c r="CZ44" s="434"/>
      <c r="DA44" s="434"/>
      <c r="DC44" s="18">
        <v>82</v>
      </c>
    </row>
    <row r="45" spans="27:107" ht="18" hidden="1" x14ac:dyDescent="0.25"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X45" s="403"/>
      <c r="AY45" s="404"/>
      <c r="AZ45" s="404"/>
      <c r="BA45" s="404"/>
      <c r="BB45" s="12"/>
      <c r="BC45" s="12"/>
      <c r="BD45" s="12"/>
      <c r="BE45" s="12"/>
      <c r="BF45" s="12"/>
      <c r="BI45" s="12"/>
      <c r="BJ45" s="608"/>
      <c r="BK45" s="608"/>
      <c r="BL45" s="608"/>
      <c r="BM45" s="608"/>
      <c r="BN45" s="608"/>
      <c r="BO45" s="608"/>
      <c r="BP45" s="608"/>
      <c r="BQ45" s="608"/>
      <c r="BR45" s="608"/>
      <c r="BS45" s="608"/>
      <c r="BT45" s="608"/>
      <c r="BU45" s="608"/>
      <c r="BV45" s="608"/>
      <c r="BW45" s="608"/>
      <c r="BX45" s="608"/>
      <c r="BY45" s="608"/>
      <c r="BZ45" s="608"/>
      <c r="CA45" s="608"/>
      <c r="CB45" s="608"/>
      <c r="CC45" s="608"/>
      <c r="CD45" s="608"/>
      <c r="CE45" s="608"/>
      <c r="CF45" s="608"/>
      <c r="CG45" s="608"/>
      <c r="CH45" s="608"/>
      <c r="CI45" s="434"/>
      <c r="CJ45" s="434"/>
      <c r="CK45" s="434"/>
      <c r="CL45" s="434"/>
      <c r="CM45" s="434"/>
      <c r="CN45" s="434"/>
      <c r="CO45" s="434"/>
      <c r="CP45" s="434"/>
      <c r="CQ45" s="434"/>
      <c r="CR45" s="434"/>
      <c r="CS45" s="434"/>
      <c r="CT45" s="434"/>
      <c r="CU45" s="434"/>
      <c r="CV45" s="434"/>
      <c r="CW45" s="434"/>
      <c r="CX45" s="434"/>
      <c r="CY45" s="434"/>
      <c r="CZ45" s="434"/>
      <c r="DA45" s="434"/>
    </row>
    <row r="46" spans="27:107" ht="36.75" hidden="1" thickBot="1" x14ac:dyDescent="0.3"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X46" s="403"/>
      <c r="AY46" s="404"/>
      <c r="AZ46" s="404"/>
      <c r="BA46" s="404"/>
      <c r="BB46" s="12"/>
      <c r="BC46" s="12"/>
      <c r="BD46" s="12"/>
      <c r="BE46" s="12"/>
      <c r="BF46" s="12"/>
      <c r="BI46" s="12"/>
      <c r="BJ46" s="621" t="s">
        <v>81</v>
      </c>
      <c r="BK46" s="622">
        <f t="shared" ref="BK46:DA46" si="0">SUM(BK7:BK44)</f>
        <v>0</v>
      </c>
      <c r="BL46" s="622">
        <f t="shared" si="0"/>
        <v>0</v>
      </c>
      <c r="BM46" s="622">
        <f t="shared" si="0"/>
        <v>0</v>
      </c>
      <c r="BN46" s="622">
        <f t="shared" si="0"/>
        <v>-10</v>
      </c>
      <c r="BO46" s="622">
        <f t="shared" si="0"/>
        <v>0</v>
      </c>
      <c r="BP46" s="622">
        <f t="shared" si="0"/>
        <v>0</v>
      </c>
      <c r="BQ46" s="622">
        <f t="shared" si="0"/>
        <v>0</v>
      </c>
      <c r="BR46" s="622">
        <f t="shared" si="0"/>
        <v>0</v>
      </c>
      <c r="BS46" s="622">
        <f t="shared" si="0"/>
        <v>0</v>
      </c>
      <c r="BT46" s="622">
        <f t="shared" si="0"/>
        <v>0</v>
      </c>
      <c r="BU46" s="622">
        <f t="shared" si="0"/>
        <v>0</v>
      </c>
      <c r="BV46" s="622">
        <f t="shared" si="0"/>
        <v>0</v>
      </c>
      <c r="BW46" s="622">
        <f t="shared" si="0"/>
        <v>0</v>
      </c>
      <c r="BX46" s="622">
        <f t="shared" si="0"/>
        <v>0</v>
      </c>
      <c r="BY46" s="622">
        <f t="shared" si="0"/>
        <v>0</v>
      </c>
      <c r="BZ46" s="622">
        <f t="shared" si="0"/>
        <v>0</v>
      </c>
      <c r="CA46" s="622">
        <f t="shared" si="0"/>
        <v>0</v>
      </c>
      <c r="CB46" s="622">
        <f t="shared" si="0"/>
        <v>0</v>
      </c>
      <c r="CC46" s="622">
        <f t="shared" si="0"/>
        <v>0</v>
      </c>
      <c r="CD46" s="622">
        <f t="shared" si="0"/>
        <v>0</v>
      </c>
      <c r="CE46" s="622">
        <f t="shared" si="0"/>
        <v>0</v>
      </c>
      <c r="CF46" s="622">
        <f t="shared" si="0"/>
        <v>0</v>
      </c>
      <c r="CG46" s="622">
        <f t="shared" si="0"/>
        <v>0</v>
      </c>
      <c r="CH46" s="622">
        <f t="shared" si="0"/>
        <v>0</v>
      </c>
      <c r="CI46" s="622">
        <f t="shared" si="0"/>
        <v>0</v>
      </c>
      <c r="CJ46" s="622">
        <f t="shared" si="0"/>
        <v>0</v>
      </c>
      <c r="CK46" s="622">
        <f t="shared" si="0"/>
        <v>0</v>
      </c>
      <c r="CL46" s="622">
        <f t="shared" si="0"/>
        <v>0</v>
      </c>
      <c r="CM46" s="622">
        <f t="shared" si="0"/>
        <v>0</v>
      </c>
      <c r="CN46" s="622">
        <f t="shared" si="0"/>
        <v>14</v>
      </c>
      <c r="CO46" s="622">
        <f t="shared" si="0"/>
        <v>0</v>
      </c>
      <c r="CP46" s="622">
        <f t="shared" si="0"/>
        <v>0</v>
      </c>
      <c r="CQ46" s="622">
        <f t="shared" si="0"/>
        <v>0</v>
      </c>
      <c r="CR46" s="622">
        <f t="shared" si="0"/>
        <v>0</v>
      </c>
      <c r="CS46" s="622">
        <f t="shared" si="0"/>
        <v>0</v>
      </c>
      <c r="CT46" s="622">
        <f t="shared" si="0"/>
        <v>0</v>
      </c>
      <c r="CU46" s="622">
        <f t="shared" si="0"/>
        <v>0</v>
      </c>
      <c r="CV46" s="622">
        <f t="shared" si="0"/>
        <v>0</v>
      </c>
      <c r="CW46" s="622">
        <f t="shared" si="0"/>
        <v>0</v>
      </c>
      <c r="CX46" s="622">
        <f t="shared" si="0"/>
        <v>0</v>
      </c>
      <c r="CY46" s="622">
        <f t="shared" si="0"/>
        <v>0</v>
      </c>
      <c r="CZ46" s="622">
        <f t="shared" si="0"/>
        <v>0</v>
      </c>
      <c r="DA46" s="622">
        <f t="shared" si="0"/>
        <v>0</v>
      </c>
    </row>
    <row r="47" spans="27:107" ht="38.25" thickBot="1" x14ac:dyDescent="0.4"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X47" s="403"/>
      <c r="AY47" s="404"/>
      <c r="AZ47" s="404"/>
      <c r="BA47" s="404"/>
      <c r="BB47" s="12"/>
      <c r="BC47" s="12"/>
      <c r="BD47" s="12"/>
      <c r="BE47" s="12"/>
      <c r="BI47" s="12"/>
      <c r="BJ47" s="623" t="s">
        <v>102</v>
      </c>
      <c r="BK47" s="674" t="str">
        <f>IF(BK46=-13,"A ","")</f>
        <v/>
      </c>
      <c r="BL47" s="675" t="str">
        <f>IF(BL46=-12,"B ","")</f>
        <v/>
      </c>
      <c r="BM47" s="675" t="str">
        <f>IF(BM46=-11,"C ","")</f>
        <v/>
      </c>
      <c r="BN47" s="675" t="str">
        <f>IF(BN46=-10,"D ","")</f>
        <v xml:space="preserve">D </v>
      </c>
      <c r="BO47" s="675" t="str">
        <f>IF(BO46=-9,"E ","")</f>
        <v/>
      </c>
      <c r="BP47" s="675" t="str">
        <f>IF(BP46=-8,"F ","")</f>
        <v/>
      </c>
      <c r="BQ47" s="675" t="str">
        <f>IF(BQ46=-7,"G ","")</f>
        <v/>
      </c>
      <c r="BR47" s="675" t="str">
        <f>IF(BR46=-6,"H ","")</f>
        <v/>
      </c>
      <c r="BS47" s="675" t="str">
        <f>IF(BS46=-5,"I ","")</f>
        <v/>
      </c>
      <c r="BT47" s="675" t="str">
        <f>IF(BT46=-4,"J ","")</f>
        <v/>
      </c>
      <c r="BU47" s="675" t="str">
        <f>IF(BU46=-3,"K ","")</f>
        <v/>
      </c>
      <c r="BV47" s="675" t="str">
        <f>IF(BV46=-2,"L ","")</f>
        <v/>
      </c>
      <c r="BW47" s="675" t="str">
        <f>IF(BW46=-1,"M ","")</f>
        <v/>
      </c>
      <c r="BX47" s="675">
        <f t="shared" ref="BX47:CE47" si="1">+BX46</f>
        <v>0</v>
      </c>
      <c r="BY47" s="675">
        <f t="shared" si="1"/>
        <v>0</v>
      </c>
      <c r="BZ47" s="675">
        <f t="shared" si="1"/>
        <v>0</v>
      </c>
      <c r="CA47" s="675">
        <f t="shared" si="1"/>
        <v>0</v>
      </c>
      <c r="CB47" s="675">
        <f t="shared" si="1"/>
        <v>0</v>
      </c>
      <c r="CC47" s="675">
        <f t="shared" si="1"/>
        <v>0</v>
      </c>
      <c r="CD47" s="675">
        <f t="shared" si="1"/>
        <v>0</v>
      </c>
      <c r="CE47" s="675">
        <f t="shared" si="1"/>
        <v>0</v>
      </c>
      <c r="CF47" s="675" t="str">
        <f>IF(CF46=81,"L ","")</f>
        <v/>
      </c>
      <c r="CG47" s="675" t="str">
        <f>IF(CG46=82,"K ","")</f>
        <v/>
      </c>
      <c r="CH47" s="675" t="str">
        <f>IF(CH46=83,"J ","")</f>
        <v/>
      </c>
      <c r="CI47" s="675">
        <f t="shared" ref="CI47:CN47" si="2">+CI46</f>
        <v>0</v>
      </c>
      <c r="CJ47" s="675">
        <f t="shared" si="2"/>
        <v>0</v>
      </c>
      <c r="CK47" s="675">
        <f t="shared" si="2"/>
        <v>0</v>
      </c>
      <c r="CL47" s="675">
        <f t="shared" si="2"/>
        <v>0</v>
      </c>
      <c r="CM47" s="675">
        <f t="shared" si="2"/>
        <v>0</v>
      </c>
      <c r="CN47" s="675">
        <f t="shared" si="2"/>
        <v>14</v>
      </c>
      <c r="CO47" s="675" t="str">
        <f>IF(CO46=15,"M ","")</f>
        <v/>
      </c>
      <c r="CP47" s="675" t="str">
        <f>IF(CP46=16,"L ","")</f>
        <v/>
      </c>
      <c r="CQ47" s="675" t="str">
        <f>IF(CQ46=17,"K ","")</f>
        <v/>
      </c>
      <c r="CR47" s="675" t="str">
        <f>IF(CR46=18,"J ","")</f>
        <v/>
      </c>
      <c r="CS47" s="675" t="str">
        <f>IF(CS46=19,"I ","")</f>
        <v/>
      </c>
      <c r="CT47" s="675" t="str">
        <f>IF(CT46=20,"H ","")</f>
        <v/>
      </c>
      <c r="CU47" s="675" t="str">
        <f>IF(CU46=21,"G ","")</f>
        <v/>
      </c>
      <c r="CV47" s="675" t="str">
        <f>IF(CV46=22,"F ","")</f>
        <v/>
      </c>
      <c r="CW47" s="675" t="str">
        <f>IF(CW46=23,"E ","")</f>
        <v/>
      </c>
      <c r="CX47" s="675" t="str">
        <f>IF(CX46=24,"D ","")</f>
        <v/>
      </c>
      <c r="CY47" s="675" t="str">
        <f>IF(CY46=25,"C ","")</f>
        <v/>
      </c>
      <c r="CZ47" s="675" t="str">
        <f>IF(CZ46=26,"B ","")</f>
        <v/>
      </c>
      <c r="DA47" s="676" t="str">
        <f>IF(DA46=27,"A ","")</f>
        <v/>
      </c>
    </row>
    <row r="48" spans="27:107" ht="15.75" customHeight="1" thickBot="1" x14ac:dyDescent="0.3"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X48" s="403"/>
      <c r="AY48" s="404"/>
      <c r="AZ48" s="404"/>
      <c r="BA48" s="404"/>
      <c r="BB48" s="12"/>
      <c r="BC48" s="12"/>
      <c r="BD48" s="12"/>
      <c r="BE48" s="12"/>
      <c r="BF48" s="12"/>
      <c r="BG48" s="12"/>
      <c r="BI48" s="12"/>
      <c r="BJ48" s="434"/>
      <c r="BK48" s="434"/>
      <c r="BL48" s="434"/>
      <c r="BM48" s="434"/>
      <c r="BN48" s="434"/>
      <c r="BO48" s="434"/>
      <c r="BP48" s="434"/>
      <c r="BQ48" s="434"/>
      <c r="BR48" s="434"/>
      <c r="BS48" s="434"/>
      <c r="BT48" s="434"/>
      <c r="BU48" s="434"/>
      <c r="BV48" s="434"/>
      <c r="BW48" s="434"/>
      <c r="BX48" s="434"/>
      <c r="BY48" s="434"/>
      <c r="BZ48" s="434"/>
      <c r="CA48" s="434"/>
      <c r="CB48" s="434"/>
      <c r="CC48" s="434"/>
      <c r="CD48" s="624"/>
      <c r="CE48" s="624"/>
      <c r="CF48" s="624"/>
      <c r="CG48" s="624"/>
      <c r="CH48" s="625"/>
      <c r="CI48" s="434"/>
      <c r="CJ48" s="434"/>
      <c r="CK48" s="434"/>
      <c r="CL48" s="434"/>
      <c r="CM48" s="434"/>
      <c r="CN48" s="434"/>
      <c r="CO48" s="434"/>
      <c r="CP48" s="434"/>
      <c r="CQ48" s="434"/>
      <c r="CR48" s="434"/>
      <c r="CS48" s="434"/>
      <c r="CT48" s="434"/>
      <c r="CU48" s="434"/>
      <c r="CV48" s="434"/>
      <c r="CW48" s="434"/>
      <c r="CX48" s="434"/>
      <c r="CY48" s="434"/>
      <c r="CZ48" s="434"/>
      <c r="DA48" s="434"/>
    </row>
    <row r="49" spans="27:109" ht="18" x14ac:dyDescent="0.25"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X49" s="403"/>
      <c r="AY49" s="404"/>
      <c r="AZ49" s="404"/>
      <c r="BA49" s="404"/>
      <c r="BB49" s="12"/>
      <c r="BC49" s="12"/>
      <c r="BD49" s="12"/>
      <c r="BE49" s="12"/>
      <c r="BF49" s="12"/>
      <c r="BG49" s="12"/>
      <c r="BI49" s="12"/>
      <c r="BJ49" s="626" t="s">
        <v>29</v>
      </c>
      <c r="BK49" s="587"/>
      <c r="BL49" s="588"/>
      <c r="BM49" s="588"/>
      <c r="BN49" s="588"/>
      <c r="BO49" s="588"/>
      <c r="BP49" s="588"/>
      <c r="BQ49" s="588"/>
      <c r="BR49" s="588"/>
      <c r="BS49" s="588"/>
      <c r="BT49" s="588"/>
      <c r="BU49" s="588"/>
      <c r="BV49" s="588"/>
      <c r="BW49" s="589"/>
      <c r="BX49" s="627" t="s">
        <v>30</v>
      </c>
      <c r="BY49" s="628"/>
      <c r="BZ49" s="628"/>
      <c r="CA49" s="628"/>
      <c r="CB49" s="628"/>
      <c r="CC49" s="584"/>
      <c r="CD49" s="600"/>
      <c r="CE49" s="600"/>
      <c r="CF49" s="600"/>
      <c r="CG49" s="600"/>
      <c r="CH49" s="584"/>
      <c r="CI49" s="584"/>
      <c r="CJ49" s="584"/>
      <c r="CK49" s="584"/>
      <c r="CL49" s="584"/>
      <c r="CM49" s="584"/>
      <c r="CN49" s="629" t="s">
        <v>31</v>
      </c>
      <c r="CO49" s="587"/>
      <c r="CP49" s="588"/>
      <c r="CQ49" s="588"/>
      <c r="CR49" s="588"/>
      <c r="CS49" s="588"/>
      <c r="CT49" s="588"/>
      <c r="CU49" s="588"/>
      <c r="CV49" s="588"/>
      <c r="CW49" s="588"/>
      <c r="CX49" s="588"/>
      <c r="CY49" s="588"/>
      <c r="CZ49" s="588"/>
      <c r="DA49" s="589"/>
    </row>
    <row r="50" spans="27:109" ht="24" customHeight="1" thickBot="1" x14ac:dyDescent="0.4"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X50" s="403"/>
      <c r="AY50" s="404"/>
      <c r="AZ50" s="404"/>
      <c r="BA50" s="404"/>
      <c r="BB50" s="12"/>
      <c r="BC50" s="12"/>
      <c r="BD50" s="12"/>
      <c r="BE50" s="12"/>
      <c r="BF50" s="683" t="s">
        <v>163</v>
      </c>
      <c r="BG50" s="683">
        <f>+MAX(BH3,BH5,BH50)</f>
        <v>24.991615955273751</v>
      </c>
      <c r="BH50" s="684">
        <f>+IF(AND(CM50&gt;0,BX50&gt;0),BX50)</f>
        <v>23.034803918933669</v>
      </c>
      <c r="BI50" s="12"/>
      <c r="BJ50" s="630" t="s">
        <v>101</v>
      </c>
      <c r="BK50" s="595"/>
      <c r="BL50" s="596"/>
      <c r="BM50" s="596"/>
      <c r="BN50" s="596"/>
      <c r="BO50" s="596"/>
      <c r="BP50" s="596"/>
      <c r="BQ50" s="596"/>
      <c r="BR50" s="596"/>
      <c r="BS50" s="596"/>
      <c r="BT50" s="596"/>
      <c r="BU50" s="596"/>
      <c r="BV50" s="596"/>
      <c r="BW50" s="597"/>
      <c r="BX50" s="706">
        <f>+((E18-E19)/E18)*D24</f>
        <v>23.034803918933669</v>
      </c>
      <c r="BY50" s="707"/>
      <c r="BZ50" s="631"/>
      <c r="CA50" s="631"/>
      <c r="CB50" s="631"/>
      <c r="CC50" s="592"/>
      <c r="CD50" s="604"/>
      <c r="CE50" s="604"/>
      <c r="CF50" s="604"/>
      <c r="CG50" s="604"/>
      <c r="CH50" s="592"/>
      <c r="CI50" s="592"/>
      <c r="CJ50" s="592"/>
      <c r="CK50" s="592"/>
      <c r="CL50" s="592"/>
      <c r="CM50" s="704">
        <f>+(E19/E18)*D24</f>
        <v>4.3651960810663279</v>
      </c>
      <c r="CN50" s="705"/>
      <c r="CO50" s="595"/>
      <c r="CP50" s="596"/>
      <c r="CQ50" s="596"/>
      <c r="CR50" s="596"/>
      <c r="CS50" s="596"/>
      <c r="CT50" s="596"/>
      <c r="CU50" s="596"/>
      <c r="CV50" s="596"/>
      <c r="CW50" s="596"/>
      <c r="CX50" s="596"/>
      <c r="CY50" s="596"/>
      <c r="CZ50" s="596"/>
      <c r="DA50" s="597"/>
      <c r="DC50" s="684">
        <f>+IF(AND(BX50&gt;0,CM50&gt;0),CM50)</f>
        <v>4.3651960810663279</v>
      </c>
      <c r="DD50" s="683">
        <f>+MAX(DC3,DC5,DC50)</f>
        <v>14.691142665415903</v>
      </c>
      <c r="DE50" s="683" t="s">
        <v>164</v>
      </c>
    </row>
    <row r="51" spans="27:109" ht="18.75" hidden="1" thickBot="1" x14ac:dyDescent="0.3"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X51" s="403"/>
      <c r="AY51" s="404"/>
      <c r="AZ51" s="404"/>
      <c r="BA51" s="404"/>
      <c r="BB51" s="12"/>
      <c r="BC51" s="12"/>
      <c r="BD51" s="12"/>
      <c r="BE51" s="12"/>
      <c r="BF51" s="12"/>
      <c r="BG51" s="12"/>
      <c r="BH51" s="12"/>
      <c r="BI51" s="12"/>
      <c r="BJ51" s="632"/>
      <c r="BK51" s="632"/>
      <c r="BL51" s="633"/>
      <c r="BM51" s="632"/>
      <c r="BN51" s="632"/>
      <c r="BO51" s="632"/>
      <c r="BP51" s="633"/>
      <c r="BQ51" s="632"/>
      <c r="BR51" s="632"/>
      <c r="BS51" s="632"/>
      <c r="BT51" s="632"/>
      <c r="BU51" s="632"/>
      <c r="BV51" s="632"/>
      <c r="BW51" s="632"/>
      <c r="BX51" s="632"/>
      <c r="BY51" s="632"/>
      <c r="BZ51" s="632"/>
      <c r="CA51" s="632"/>
      <c r="CB51" s="632"/>
      <c r="CC51" s="633"/>
      <c r="CD51" s="624"/>
      <c r="CE51" s="624"/>
      <c r="CF51" s="624"/>
      <c r="CG51" s="624"/>
      <c r="CH51" s="601"/>
      <c r="CI51" s="434"/>
      <c r="CJ51" s="434"/>
      <c r="CK51" s="434"/>
      <c r="CL51" s="434"/>
      <c r="CM51" s="434"/>
      <c r="CN51" s="434"/>
      <c r="CO51" s="434"/>
      <c r="CP51" s="434"/>
      <c r="CQ51" s="434"/>
      <c r="CR51" s="434"/>
      <c r="CS51" s="434"/>
      <c r="CT51" s="434"/>
      <c r="CU51" s="434"/>
      <c r="CV51" s="434"/>
      <c r="CW51" s="434"/>
      <c r="CX51" s="434"/>
      <c r="CY51" s="434"/>
      <c r="CZ51" s="434"/>
      <c r="DA51" s="434"/>
    </row>
    <row r="52" spans="27:109" ht="18.75" hidden="1" thickBot="1" x14ac:dyDescent="0.3"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X52" s="403"/>
      <c r="AY52" s="404"/>
      <c r="AZ52" s="404"/>
      <c r="BA52" s="404"/>
      <c r="BB52" s="12"/>
      <c r="BC52" s="12"/>
      <c r="BD52" s="12"/>
      <c r="BE52" s="12"/>
      <c r="BF52" s="12"/>
      <c r="BG52" s="12"/>
      <c r="BH52" s="12"/>
      <c r="BI52" s="12"/>
      <c r="BJ52" s="632"/>
      <c r="BK52" s="632"/>
      <c r="BL52" s="633"/>
      <c r="BM52" s="632"/>
      <c r="BN52" s="632"/>
      <c r="BO52" s="632"/>
      <c r="BP52" s="633"/>
      <c r="BQ52" s="632"/>
      <c r="BR52" s="632"/>
      <c r="BS52" s="632"/>
      <c r="BT52" s="632"/>
      <c r="BU52" s="632"/>
      <c r="BV52" s="632"/>
      <c r="BW52" s="632"/>
      <c r="BX52" s="632"/>
      <c r="BY52" s="632"/>
      <c r="BZ52" s="632"/>
      <c r="CA52" s="632"/>
      <c r="CB52" s="632"/>
      <c r="CC52" s="633"/>
      <c r="CD52" s="624"/>
      <c r="CE52" s="624"/>
      <c r="CF52" s="624"/>
      <c r="CG52" s="624"/>
      <c r="CH52" s="601"/>
      <c r="CI52" s="434"/>
      <c r="CJ52" s="434"/>
      <c r="CK52" s="434"/>
      <c r="CL52" s="613" t="b">
        <f>IF(CM74=13,12)</f>
        <v>0</v>
      </c>
      <c r="CM52" s="606"/>
      <c r="CN52" s="615" t="b">
        <f>IF(CM74=13,14)</f>
        <v>0</v>
      </c>
      <c r="CO52" s="434"/>
      <c r="CP52" s="434"/>
      <c r="CQ52" s="434"/>
      <c r="CR52" s="434"/>
      <c r="CS52" s="434"/>
      <c r="CT52" s="434"/>
      <c r="CU52" s="434"/>
      <c r="CV52" s="434"/>
      <c r="CW52" s="434"/>
      <c r="CX52" s="434"/>
      <c r="CY52" s="434"/>
      <c r="CZ52" s="434"/>
      <c r="DA52" s="434"/>
    </row>
    <row r="53" spans="27:109" ht="18.75" hidden="1" thickBot="1" x14ac:dyDescent="0.3"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X53" s="403"/>
      <c r="AY53" s="404"/>
      <c r="AZ53" s="404"/>
      <c r="BA53" s="404"/>
      <c r="BB53" s="12"/>
      <c r="BC53" s="12"/>
      <c r="BD53" s="12"/>
      <c r="BE53" s="12"/>
      <c r="BF53" s="12"/>
      <c r="BG53" s="12"/>
      <c r="BH53" s="12"/>
      <c r="BI53" s="12"/>
      <c r="BJ53" s="632"/>
      <c r="BK53" s="632"/>
      <c r="BL53" s="633"/>
      <c r="BM53" s="632"/>
      <c r="BN53" s="632"/>
      <c r="BO53" s="632"/>
      <c r="BP53" s="633"/>
      <c r="BQ53" s="632"/>
      <c r="BR53" s="632"/>
      <c r="BS53" s="632"/>
      <c r="BT53" s="632"/>
      <c r="BU53" s="632"/>
      <c r="BV53" s="632"/>
      <c r="BW53" s="632"/>
      <c r="BX53" s="632"/>
      <c r="BY53" s="632"/>
      <c r="BZ53" s="632"/>
      <c r="CA53" s="632"/>
      <c r="CB53" s="632"/>
      <c r="CC53" s="633"/>
      <c r="CD53" s="624"/>
      <c r="CE53" s="624"/>
      <c r="CF53" s="624"/>
      <c r="CG53" s="624"/>
      <c r="CH53" s="601"/>
      <c r="CI53" s="613" t="b">
        <f>IF(CL74=12,10)</f>
        <v>0</v>
      </c>
      <c r="CJ53" s="606"/>
      <c r="CK53" s="606"/>
      <c r="CL53" s="617"/>
      <c r="CM53" s="617"/>
      <c r="CN53" s="618" t="b">
        <f>IF(CL74=12,14)</f>
        <v>0</v>
      </c>
      <c r="CO53" s="434"/>
      <c r="CP53" s="434"/>
      <c r="CQ53" s="434"/>
      <c r="CR53" s="434"/>
      <c r="CS53" s="434"/>
      <c r="CT53" s="434"/>
      <c r="CU53" s="434"/>
      <c r="CV53" s="434"/>
      <c r="CW53" s="434"/>
      <c r="CX53" s="434"/>
      <c r="CY53" s="434"/>
      <c r="CZ53" s="434"/>
      <c r="DA53" s="434"/>
    </row>
    <row r="54" spans="27:109" ht="18.75" hidden="1" thickBot="1" x14ac:dyDescent="0.3"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X54" s="403"/>
      <c r="AY54" s="404"/>
      <c r="AZ54" s="404"/>
      <c r="BA54" s="404"/>
      <c r="BB54" s="12"/>
      <c r="BC54" s="12"/>
      <c r="BD54" s="12"/>
      <c r="BE54" s="12"/>
      <c r="BF54" s="12"/>
      <c r="BG54" s="12"/>
      <c r="BH54" s="12"/>
      <c r="BI54" s="12"/>
      <c r="BJ54" s="632"/>
      <c r="BK54" s="632"/>
      <c r="BL54" s="633"/>
      <c r="BM54" s="632"/>
      <c r="BN54" s="632"/>
      <c r="BO54" s="632"/>
      <c r="BP54" s="633"/>
      <c r="BQ54" s="632"/>
      <c r="BR54" s="632"/>
      <c r="BS54" s="632"/>
      <c r="BT54" s="632"/>
      <c r="BU54" s="632"/>
      <c r="BV54" s="632"/>
      <c r="BW54" s="632"/>
      <c r="BX54" s="632"/>
      <c r="BY54" s="632"/>
      <c r="BZ54" s="632"/>
      <c r="CA54" s="632"/>
      <c r="CB54" s="632"/>
      <c r="CC54" s="633"/>
      <c r="CD54" s="624"/>
      <c r="CE54" s="624"/>
      <c r="CF54" s="624"/>
      <c r="CG54" s="624"/>
      <c r="CH54" s="613" t="b">
        <f>IF(CK74=11,9)</f>
        <v>0</v>
      </c>
      <c r="CI54" s="617"/>
      <c r="CJ54" s="617"/>
      <c r="CK54" s="617"/>
      <c r="CL54" s="617"/>
      <c r="CM54" s="618" t="b">
        <f>IF(CK74=11,14)</f>
        <v>0</v>
      </c>
      <c r="CN54" s="434"/>
      <c r="CO54" s="434"/>
      <c r="CP54" s="434"/>
      <c r="CQ54" s="434"/>
      <c r="CR54" s="434"/>
      <c r="CS54" s="434"/>
      <c r="CT54" s="434"/>
      <c r="CU54" s="434"/>
      <c r="CV54" s="434"/>
      <c r="CW54" s="434"/>
      <c r="CX54" s="434"/>
      <c r="CY54" s="434"/>
      <c r="CZ54" s="434"/>
      <c r="DA54" s="434"/>
    </row>
    <row r="55" spans="27:109" ht="18.75" hidden="1" thickBot="1" x14ac:dyDescent="0.3"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X55" s="403"/>
      <c r="AY55" s="404"/>
      <c r="AZ55" s="404"/>
      <c r="BA55" s="404"/>
      <c r="BB55" s="12"/>
      <c r="BC55" s="12"/>
      <c r="BD55" s="12"/>
      <c r="BE55" s="12"/>
      <c r="BF55" s="12"/>
      <c r="BG55" s="12"/>
      <c r="BH55" s="12"/>
      <c r="BI55" s="12"/>
      <c r="BJ55" s="632"/>
      <c r="BK55" s="632"/>
      <c r="BL55" s="633"/>
      <c r="BM55" s="632"/>
      <c r="BN55" s="632"/>
      <c r="BO55" s="632"/>
      <c r="BP55" s="633"/>
      <c r="BQ55" s="632"/>
      <c r="BR55" s="632"/>
      <c r="BS55" s="632"/>
      <c r="BT55" s="632"/>
      <c r="BU55" s="632"/>
      <c r="BV55" s="632"/>
      <c r="BW55" s="632"/>
      <c r="BX55" s="632"/>
      <c r="BY55" s="632"/>
      <c r="BZ55" s="632"/>
      <c r="CA55" s="608"/>
      <c r="CB55" s="632"/>
      <c r="CC55" s="608"/>
      <c r="CD55" s="624"/>
      <c r="CE55" s="624"/>
      <c r="CF55" s="624"/>
      <c r="CG55" s="624"/>
      <c r="CH55" s="434"/>
      <c r="CI55" s="634" t="b">
        <f>IF(CJ74=10,9)</f>
        <v>0</v>
      </c>
      <c r="CJ55" s="635"/>
      <c r="CK55" s="636" t="b">
        <f>IF(CJ74=10,11)</f>
        <v>0</v>
      </c>
      <c r="CL55" s="434"/>
      <c r="CM55" s="434"/>
      <c r="CN55" s="434"/>
      <c r="CO55" s="434"/>
      <c r="CP55" s="434"/>
      <c r="CQ55" s="434"/>
      <c r="CR55" s="434"/>
      <c r="CS55" s="434"/>
      <c r="CT55" s="434"/>
      <c r="CU55" s="434"/>
      <c r="CV55" s="434"/>
      <c r="CW55" s="434"/>
      <c r="CX55" s="434"/>
      <c r="CY55" s="434"/>
      <c r="CZ55" s="434"/>
      <c r="DA55" s="434"/>
    </row>
    <row r="56" spans="27:109" ht="18.75" hidden="1" thickBot="1" x14ac:dyDescent="0.3"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X56" s="403"/>
      <c r="AY56" s="404"/>
      <c r="AZ56" s="404"/>
      <c r="BA56" s="404"/>
      <c r="BB56" s="12"/>
      <c r="BC56" s="12"/>
      <c r="BD56" s="12"/>
      <c r="BE56" s="12"/>
      <c r="BF56" s="12"/>
      <c r="BG56" s="12"/>
      <c r="BH56" s="12"/>
      <c r="BI56" s="12"/>
      <c r="BJ56" s="632"/>
      <c r="BK56" s="632"/>
      <c r="BL56" s="633"/>
      <c r="BM56" s="632"/>
      <c r="BN56" s="632"/>
      <c r="BO56" s="632"/>
      <c r="BP56" s="633"/>
      <c r="BQ56" s="632"/>
      <c r="BR56" s="632"/>
      <c r="BS56" s="632"/>
      <c r="BT56" s="632"/>
      <c r="BU56" s="632"/>
      <c r="BV56" s="632"/>
      <c r="BW56" s="632"/>
      <c r="BX56" s="632"/>
      <c r="BY56" s="608"/>
      <c r="BZ56" s="632"/>
      <c r="CA56" s="632"/>
      <c r="CB56" s="632"/>
      <c r="CC56" s="608"/>
      <c r="CD56" s="613" t="b">
        <f>IF(CI74=9,7)</f>
        <v>0</v>
      </c>
      <c r="CE56" s="637"/>
      <c r="CF56" s="637"/>
      <c r="CG56" s="637"/>
      <c r="CH56" s="606"/>
      <c r="CI56" s="606"/>
      <c r="CJ56" s="606"/>
      <c r="CK56" s="606"/>
      <c r="CL56" s="606"/>
      <c r="CM56" s="606"/>
      <c r="CN56" s="615" t="b">
        <f>IF(CI74=9,14)</f>
        <v>0</v>
      </c>
      <c r="CO56" s="434"/>
      <c r="CP56" s="638"/>
      <c r="CQ56" s="638"/>
      <c r="CR56" s="638"/>
      <c r="CS56" s="434"/>
      <c r="CT56" s="434"/>
      <c r="CU56" s="434"/>
      <c r="CV56" s="434"/>
      <c r="CW56" s="434"/>
      <c r="CX56" s="434"/>
      <c r="CY56" s="434"/>
      <c r="CZ56" s="434"/>
      <c r="DA56" s="434"/>
    </row>
    <row r="57" spans="27:109" ht="18.75" hidden="1" thickBot="1" x14ac:dyDescent="0.3"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X57" s="403"/>
      <c r="AY57" s="404"/>
      <c r="AZ57" s="404"/>
      <c r="BA57" s="404"/>
      <c r="BB57" s="12"/>
      <c r="BC57" s="12"/>
      <c r="BD57" s="12"/>
      <c r="BE57" s="12"/>
      <c r="BF57" s="12"/>
      <c r="BG57" s="12"/>
      <c r="BH57" s="12"/>
      <c r="BI57" s="12"/>
      <c r="BJ57" s="632"/>
      <c r="BK57" s="632"/>
      <c r="BL57" s="633"/>
      <c r="BM57" s="632"/>
      <c r="BN57" s="632"/>
      <c r="BO57" s="632"/>
      <c r="BP57" s="633"/>
      <c r="BQ57" s="632"/>
      <c r="BR57" s="632"/>
      <c r="BS57" s="632"/>
      <c r="BT57" s="632"/>
      <c r="BU57" s="632"/>
      <c r="BV57" s="632"/>
      <c r="BW57" s="632"/>
      <c r="BX57" s="632"/>
      <c r="BY57" s="608"/>
      <c r="BZ57" s="632"/>
      <c r="CA57" s="434"/>
      <c r="CB57" s="613" t="b">
        <f>IF(CH74=83,5)</f>
        <v>0</v>
      </c>
      <c r="CC57" s="614"/>
      <c r="CD57" s="637"/>
      <c r="CE57" s="637"/>
      <c r="CF57" s="637"/>
      <c r="CG57" s="637"/>
      <c r="CH57" s="606"/>
      <c r="CI57" s="606"/>
      <c r="CJ57" s="606"/>
      <c r="CK57" s="606"/>
      <c r="CL57" s="606"/>
      <c r="CM57" s="606"/>
      <c r="CN57" s="615" t="b">
        <f>IF(CH74=83,14)</f>
        <v>0</v>
      </c>
      <c r="CO57" s="434"/>
      <c r="CP57" s="434"/>
      <c r="CQ57" s="434"/>
      <c r="CR57" s="434"/>
      <c r="CS57" s="434"/>
      <c r="CT57" s="434"/>
      <c r="CU57" s="434"/>
      <c r="CV57" s="434"/>
      <c r="CW57" s="434"/>
      <c r="CX57" s="434"/>
      <c r="CY57" s="434"/>
      <c r="CZ57" s="434"/>
      <c r="DA57" s="434"/>
    </row>
    <row r="58" spans="27:109" ht="18.75" hidden="1" thickBot="1" x14ac:dyDescent="0.3"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X58" s="403"/>
      <c r="AY58" s="404"/>
      <c r="AZ58" s="404"/>
      <c r="BA58" s="404"/>
      <c r="BB58" s="12"/>
      <c r="BC58" s="12"/>
      <c r="BD58" s="12"/>
      <c r="BE58" s="12"/>
      <c r="BF58" s="12"/>
      <c r="BG58" s="12"/>
      <c r="BH58" s="12"/>
      <c r="BI58" s="12"/>
      <c r="BJ58" s="632"/>
      <c r="BK58" s="632"/>
      <c r="BL58" s="633"/>
      <c r="BM58" s="632"/>
      <c r="BN58" s="632"/>
      <c r="BO58" s="632"/>
      <c r="BP58" s="633"/>
      <c r="BQ58" s="632"/>
      <c r="BR58" s="632"/>
      <c r="BS58" s="632"/>
      <c r="BT58" s="632"/>
      <c r="BU58" s="608"/>
      <c r="BV58" s="632"/>
      <c r="BW58" s="632"/>
      <c r="BX58" s="434"/>
      <c r="BY58" s="639"/>
      <c r="BZ58" s="613" t="b">
        <f>IF(CG74=82,3)</f>
        <v>0</v>
      </c>
      <c r="CA58" s="640"/>
      <c r="CB58" s="640"/>
      <c r="CC58" s="614"/>
      <c r="CD58" s="637"/>
      <c r="CE58" s="637"/>
      <c r="CF58" s="637"/>
      <c r="CG58" s="637"/>
      <c r="CH58" s="606"/>
      <c r="CI58" s="606"/>
      <c r="CJ58" s="606"/>
      <c r="CK58" s="606"/>
      <c r="CL58" s="606"/>
      <c r="CM58" s="606"/>
      <c r="CN58" s="615" t="b">
        <f>IF(CG74=82,14)</f>
        <v>0</v>
      </c>
      <c r="CO58" s="434"/>
      <c r="CP58" s="434"/>
      <c r="CQ58" s="434"/>
      <c r="CR58" s="434"/>
      <c r="CS58" s="434"/>
      <c r="CT58" s="434"/>
      <c r="CU58" s="434"/>
      <c r="CV58" s="434"/>
      <c r="CW58" s="434"/>
      <c r="CX58" s="434"/>
      <c r="CY58" s="434"/>
      <c r="CZ58" s="434"/>
      <c r="DA58" s="434"/>
    </row>
    <row r="59" spans="27:109" ht="18.75" hidden="1" thickBot="1" x14ac:dyDescent="0.3"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X59" s="403"/>
      <c r="AY59" s="404"/>
      <c r="AZ59" s="404"/>
      <c r="BA59" s="404"/>
      <c r="BB59" s="12"/>
      <c r="BC59" s="12"/>
      <c r="BD59" s="12"/>
      <c r="BE59" s="12"/>
      <c r="BF59" s="12"/>
      <c r="BG59" s="12"/>
      <c r="BH59" s="12"/>
      <c r="BI59" s="12"/>
      <c r="BJ59" s="632"/>
      <c r="BK59" s="632"/>
      <c r="BL59" s="633"/>
      <c r="BM59" s="632"/>
      <c r="BN59" s="632"/>
      <c r="BO59" s="632"/>
      <c r="BP59" s="633"/>
      <c r="BQ59" s="632"/>
      <c r="BR59" s="632"/>
      <c r="BS59" s="608"/>
      <c r="BT59" s="632"/>
      <c r="BU59" s="632"/>
      <c r="BV59" s="632"/>
      <c r="BW59" s="632"/>
      <c r="BX59" s="613" t="b">
        <f>IF(CF74=81,1)</f>
        <v>0</v>
      </c>
      <c r="BY59" s="640"/>
      <c r="BZ59" s="640"/>
      <c r="CA59" s="640"/>
      <c r="CB59" s="640"/>
      <c r="CC59" s="614"/>
      <c r="CD59" s="637"/>
      <c r="CE59" s="637"/>
      <c r="CF59" s="637"/>
      <c r="CG59" s="637"/>
      <c r="CH59" s="606"/>
      <c r="CI59" s="606"/>
      <c r="CJ59" s="606"/>
      <c r="CK59" s="606"/>
      <c r="CL59" s="606"/>
      <c r="CM59" s="606"/>
      <c r="CN59" s="615" t="b">
        <f>IF(CF74=81,14)</f>
        <v>0</v>
      </c>
      <c r="CO59" s="434"/>
      <c r="CP59" s="434"/>
      <c r="CQ59" s="434"/>
      <c r="CR59" s="434"/>
      <c r="CS59" s="434"/>
      <c r="CT59" s="434"/>
      <c r="CU59" s="434"/>
      <c r="CV59" s="434"/>
      <c r="CW59" s="434"/>
      <c r="CX59" s="434"/>
      <c r="CY59" s="434"/>
      <c r="CZ59" s="434"/>
      <c r="DA59" s="434"/>
    </row>
    <row r="60" spans="27:109" ht="18.75" hidden="1" thickBot="1" x14ac:dyDescent="0.3"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X60" s="403"/>
      <c r="AY60" s="404"/>
      <c r="AZ60" s="404"/>
      <c r="BA60" s="404"/>
      <c r="BB60" s="12"/>
      <c r="BC60" s="12"/>
      <c r="BD60" s="12"/>
      <c r="BE60" s="12"/>
      <c r="BF60" s="12"/>
      <c r="BG60" s="12"/>
      <c r="BH60" s="12"/>
      <c r="BI60" s="12"/>
      <c r="BJ60" s="632"/>
      <c r="BK60" s="632"/>
      <c r="BL60" s="633"/>
      <c r="BM60" s="632"/>
      <c r="BN60" s="632"/>
      <c r="BO60" s="632"/>
      <c r="BP60" s="633"/>
      <c r="BQ60" s="608"/>
      <c r="BR60" s="632"/>
      <c r="BS60" s="632"/>
      <c r="BT60" s="632"/>
      <c r="BU60" s="632"/>
      <c r="BV60" s="632"/>
      <c r="BW60" s="632"/>
      <c r="BX60" s="619" t="b">
        <f>IF(CE74=8,1)</f>
        <v>0</v>
      </c>
      <c r="BY60" s="641"/>
      <c r="BZ60" s="641"/>
      <c r="CA60" s="641"/>
      <c r="CB60" s="641"/>
      <c r="CC60" s="616"/>
      <c r="CD60" s="642"/>
      <c r="CE60" s="642"/>
      <c r="CF60" s="642"/>
      <c r="CG60" s="642"/>
      <c r="CH60" s="617"/>
      <c r="CI60" s="617"/>
      <c r="CJ60" s="617"/>
      <c r="CK60" s="617"/>
      <c r="CL60" s="618" t="b">
        <f>IF(CE74=8,12)</f>
        <v>0</v>
      </c>
      <c r="CM60" s="434"/>
      <c r="CN60" s="434"/>
      <c r="CO60" s="434"/>
      <c r="CP60" s="434"/>
      <c r="CQ60" s="434"/>
      <c r="CR60" s="434"/>
      <c r="CS60" s="434"/>
      <c r="CT60" s="434"/>
      <c r="CU60" s="434"/>
      <c r="CV60" s="434"/>
      <c r="CW60" s="434"/>
      <c r="CX60" s="434"/>
      <c r="CY60" s="434"/>
      <c r="CZ60" s="434"/>
      <c r="DA60" s="434"/>
    </row>
    <row r="61" spans="27:109" ht="18.75" hidden="1" thickBot="1" x14ac:dyDescent="0.3"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X61" s="403"/>
      <c r="AY61" s="404"/>
      <c r="AZ61" s="404"/>
      <c r="BA61" s="404"/>
      <c r="BB61" s="12"/>
      <c r="BC61" s="12"/>
      <c r="BD61" s="12"/>
      <c r="BE61" s="12"/>
      <c r="BF61" s="12"/>
      <c r="BG61" s="12"/>
      <c r="BH61" s="12"/>
      <c r="BI61" s="12"/>
      <c r="BJ61" s="632"/>
      <c r="BK61" s="632"/>
      <c r="BL61" s="633"/>
      <c r="BM61" s="632"/>
      <c r="BN61" s="632"/>
      <c r="BO61" s="632"/>
      <c r="BP61" s="608"/>
      <c r="BQ61" s="632"/>
      <c r="BR61" s="632"/>
      <c r="BS61" s="632"/>
      <c r="BT61" s="632"/>
      <c r="BU61" s="632"/>
      <c r="BV61" s="632"/>
      <c r="BW61" s="632"/>
      <c r="BX61" s="619" t="b">
        <f>IF(CD74=7,1)</f>
        <v>0</v>
      </c>
      <c r="BY61" s="641"/>
      <c r="BZ61" s="641"/>
      <c r="CA61" s="617"/>
      <c r="CB61" s="617"/>
      <c r="CC61" s="643"/>
      <c r="CD61" s="617"/>
      <c r="CE61" s="617"/>
      <c r="CF61" s="642"/>
      <c r="CG61" s="642"/>
      <c r="CH61" s="617"/>
      <c r="CI61" s="617"/>
      <c r="CJ61" s="618" t="b">
        <f>IF(CD74=7,10)</f>
        <v>0</v>
      </c>
      <c r="CK61" s="434"/>
      <c r="CL61" s="434"/>
      <c r="CM61" s="434"/>
      <c r="CN61" s="434"/>
      <c r="CO61" s="434"/>
      <c r="CP61" s="434"/>
      <c r="CQ61" s="434"/>
      <c r="CR61" s="434"/>
      <c r="CS61" s="434"/>
      <c r="CT61" s="434"/>
      <c r="CU61" s="434"/>
      <c r="CV61" s="434"/>
      <c r="CW61" s="434"/>
      <c r="CX61" s="434"/>
      <c r="CY61" s="434"/>
      <c r="CZ61" s="434"/>
      <c r="DA61" s="434"/>
    </row>
    <row r="62" spans="27:109" ht="18.75" hidden="1" thickBot="1" x14ac:dyDescent="0.3"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X62" s="403"/>
      <c r="AY62" s="404"/>
      <c r="AZ62" s="404"/>
      <c r="BA62" s="404"/>
      <c r="BB62" s="12"/>
      <c r="BC62" s="12"/>
      <c r="BD62" s="12"/>
      <c r="BE62" s="12"/>
      <c r="BF62" s="12"/>
      <c r="BG62" s="12"/>
      <c r="BH62" s="12"/>
      <c r="BI62" s="12"/>
      <c r="BJ62" s="632"/>
      <c r="BK62" s="632"/>
      <c r="BL62" s="633"/>
      <c r="BM62" s="632"/>
      <c r="BN62" s="632"/>
      <c r="BO62" s="632"/>
      <c r="BP62" s="608"/>
      <c r="BQ62" s="632"/>
      <c r="BR62" s="632"/>
      <c r="BS62" s="632"/>
      <c r="BT62" s="632"/>
      <c r="BU62" s="632"/>
      <c r="BV62" s="632"/>
      <c r="BW62" s="632"/>
      <c r="BX62" s="632"/>
      <c r="BY62" s="434"/>
      <c r="BZ62" s="632"/>
      <c r="CA62" s="619" t="b">
        <f>IF(CC74=6,4)</f>
        <v>0</v>
      </c>
      <c r="CB62" s="617"/>
      <c r="CC62" s="643"/>
      <c r="CD62" s="617"/>
      <c r="CE62" s="618" t="b">
        <f>IF(CC74=6,8)</f>
        <v>0</v>
      </c>
      <c r="CF62" s="624"/>
      <c r="CG62" s="624"/>
      <c r="CH62" s="601"/>
      <c r="CI62" s="434"/>
      <c r="CJ62" s="434"/>
      <c r="CK62" s="434"/>
      <c r="CL62" s="434"/>
      <c r="CM62" s="434"/>
      <c r="CN62" s="434"/>
      <c r="CO62" s="434"/>
      <c r="CP62" s="434"/>
      <c r="CQ62" s="434"/>
      <c r="CR62" s="434"/>
      <c r="CS62" s="434"/>
      <c r="CT62" s="434"/>
      <c r="CU62" s="434"/>
      <c r="CV62" s="434"/>
      <c r="CW62" s="434"/>
      <c r="CX62" s="434"/>
      <c r="CY62" s="434"/>
      <c r="CZ62" s="434"/>
      <c r="DA62" s="434"/>
    </row>
    <row r="63" spans="27:109" ht="18.75" hidden="1" thickBot="1" x14ac:dyDescent="0.3"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X63" s="403"/>
      <c r="AY63" s="404"/>
      <c r="AZ63" s="404"/>
      <c r="BA63" s="404"/>
      <c r="BB63" s="12"/>
      <c r="BC63" s="12"/>
      <c r="BD63" s="12"/>
      <c r="BE63" s="12"/>
      <c r="BF63" s="12"/>
      <c r="BG63" s="12"/>
      <c r="BH63" s="12"/>
      <c r="BI63" s="12"/>
      <c r="BJ63" s="632"/>
      <c r="BK63" s="632"/>
      <c r="BL63" s="633"/>
      <c r="BM63" s="632"/>
      <c r="BN63" s="632"/>
      <c r="BO63" s="632"/>
      <c r="BP63" s="633"/>
      <c r="BQ63" s="632"/>
      <c r="BR63" s="632"/>
      <c r="BS63" s="608"/>
      <c r="BT63" s="632"/>
      <c r="BU63" s="608"/>
      <c r="BV63" s="632"/>
      <c r="BW63" s="632"/>
      <c r="BX63" s="434"/>
      <c r="BY63" s="613" t="b">
        <f>IF(CB74=5,2)</f>
        <v>0</v>
      </c>
      <c r="BZ63" s="606"/>
      <c r="CA63" s="641"/>
      <c r="CB63" s="617"/>
      <c r="CC63" s="643"/>
      <c r="CD63" s="644"/>
      <c r="CE63" s="618" t="b">
        <f>IF(CB74=5,8)</f>
        <v>0</v>
      </c>
      <c r="CF63" s="624"/>
      <c r="CG63" s="624"/>
      <c r="CH63" s="601"/>
      <c r="CI63" s="434"/>
      <c r="CJ63" s="434"/>
      <c r="CK63" s="434"/>
      <c r="CL63" s="434"/>
      <c r="CM63" s="434"/>
      <c r="CN63" s="434"/>
      <c r="CO63" s="434"/>
      <c r="CP63" s="434"/>
      <c r="CQ63" s="434"/>
      <c r="CR63" s="434"/>
      <c r="CS63" s="434"/>
      <c r="CT63" s="434"/>
      <c r="CU63" s="434"/>
      <c r="CV63" s="434"/>
      <c r="CW63" s="434"/>
      <c r="CX63" s="434"/>
      <c r="CY63" s="434"/>
      <c r="CZ63" s="434"/>
      <c r="DA63" s="434"/>
    </row>
    <row r="64" spans="27:109" ht="18.75" hidden="1" thickBot="1" x14ac:dyDescent="0.3"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X64" s="403"/>
      <c r="AY64" s="404"/>
      <c r="AZ64" s="404"/>
      <c r="BA64" s="404"/>
      <c r="BB64" s="12"/>
      <c r="BC64" s="12"/>
      <c r="BD64" s="12"/>
      <c r="BE64" s="12"/>
      <c r="BF64" s="12"/>
      <c r="BG64" s="12"/>
      <c r="BH64" s="12"/>
      <c r="BI64" s="12"/>
      <c r="BJ64" s="632"/>
      <c r="BK64" s="632"/>
      <c r="BL64" s="633"/>
      <c r="BM64" s="632"/>
      <c r="BN64" s="632"/>
      <c r="BO64" s="632"/>
      <c r="BP64" s="633"/>
      <c r="BQ64" s="608"/>
      <c r="BR64" s="632"/>
      <c r="BS64" s="632"/>
      <c r="BT64" s="632"/>
      <c r="BU64" s="608"/>
      <c r="BV64" s="632"/>
      <c r="BW64" s="632"/>
      <c r="BX64" s="613">
        <f>IF(CA74=4,1)</f>
        <v>1</v>
      </c>
      <c r="BY64" s="640"/>
      <c r="BZ64" s="606"/>
      <c r="CA64" s="640"/>
      <c r="CB64" s="606"/>
      <c r="CC64" s="645"/>
      <c r="CD64" s="615">
        <f>IF(CA74=4,7)</f>
        <v>7</v>
      </c>
      <c r="CE64" s="624"/>
      <c r="CF64" s="624"/>
      <c r="CG64" s="624"/>
      <c r="CH64" s="601"/>
      <c r="CI64" s="434"/>
      <c r="CJ64" s="434"/>
      <c r="CK64" s="434"/>
      <c r="CL64" s="434"/>
      <c r="CM64" s="434"/>
      <c r="CN64" s="434"/>
      <c r="CO64" s="434"/>
      <c r="CP64" s="434"/>
      <c r="CQ64" s="434"/>
      <c r="CR64" s="434"/>
      <c r="CS64" s="434"/>
      <c r="CT64" s="434"/>
      <c r="CU64" s="434"/>
      <c r="CV64" s="434"/>
      <c r="CW64" s="434"/>
      <c r="CX64" s="434"/>
      <c r="CY64" s="434"/>
      <c r="CZ64" s="434"/>
      <c r="DA64" s="434"/>
    </row>
    <row r="65" spans="2:105" ht="18.75" hidden="1" thickBot="1" x14ac:dyDescent="0.3"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X65" s="403"/>
      <c r="AY65" s="404"/>
      <c r="AZ65" s="404"/>
      <c r="BA65" s="404"/>
      <c r="BB65" s="12"/>
      <c r="BC65" s="12"/>
      <c r="BD65" s="12"/>
      <c r="BE65" s="12"/>
      <c r="BF65" s="12"/>
      <c r="BG65" s="12"/>
      <c r="BH65" s="12"/>
      <c r="BI65" s="12"/>
      <c r="BJ65" s="632"/>
      <c r="BK65" s="632"/>
      <c r="BL65" s="633"/>
      <c r="BM65" s="632"/>
      <c r="BN65" s="632"/>
      <c r="BO65" s="632"/>
      <c r="BP65" s="608"/>
      <c r="BQ65" s="632"/>
      <c r="BR65" s="632"/>
      <c r="BS65" s="632"/>
      <c r="BT65" s="608"/>
      <c r="BU65" s="632"/>
      <c r="BV65" s="632"/>
      <c r="BW65" s="632"/>
      <c r="BX65" s="619" t="b">
        <f>IF(BZ74=3,1)</f>
        <v>0</v>
      </c>
      <c r="BY65" s="641"/>
      <c r="BZ65" s="617"/>
      <c r="CA65" s="641"/>
      <c r="CB65" s="618" t="b">
        <f>IF(BZ74=3,5)</f>
        <v>0</v>
      </c>
      <c r="CC65" s="633"/>
      <c r="CD65" s="624"/>
      <c r="CE65" s="624"/>
      <c r="CF65" s="624"/>
      <c r="CG65" s="624"/>
      <c r="CH65" s="601"/>
      <c r="CI65" s="434"/>
      <c r="CJ65" s="434"/>
      <c r="CK65" s="434"/>
      <c r="CL65" s="434"/>
      <c r="CM65" s="434"/>
      <c r="CN65" s="434"/>
      <c r="CO65" s="434"/>
      <c r="CP65" s="434"/>
      <c r="CQ65" s="434"/>
      <c r="CR65" s="434"/>
      <c r="CS65" s="434"/>
      <c r="CT65" s="434"/>
      <c r="CU65" s="434"/>
      <c r="CV65" s="434"/>
      <c r="CW65" s="434"/>
      <c r="CX65" s="434"/>
      <c r="CY65" s="434"/>
      <c r="CZ65" s="434"/>
      <c r="DA65" s="434"/>
    </row>
    <row r="66" spans="2:105" ht="18.75" hidden="1" thickBot="1" x14ac:dyDescent="0.3">
      <c r="C66" s="13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X66" s="403"/>
      <c r="AY66" s="404"/>
      <c r="AZ66" s="404"/>
      <c r="BA66" s="404"/>
      <c r="BB66" s="12"/>
      <c r="BC66" s="12"/>
      <c r="BD66" s="12"/>
      <c r="BE66" s="12"/>
      <c r="BF66" s="12"/>
      <c r="BG66" s="12"/>
      <c r="BH66" s="12"/>
      <c r="BI66" s="12"/>
      <c r="BJ66" s="632"/>
      <c r="BK66" s="434"/>
      <c r="BL66" s="434"/>
      <c r="BM66" s="434"/>
      <c r="BN66" s="632"/>
      <c r="BO66" s="632"/>
      <c r="BP66" s="601"/>
      <c r="BQ66" s="601"/>
      <c r="BR66" s="601"/>
      <c r="BS66" s="632"/>
      <c r="BT66" s="632"/>
      <c r="BU66" s="632"/>
      <c r="BV66" s="632"/>
      <c r="BW66" s="632"/>
      <c r="BX66" s="619" t="b">
        <f>IF(BY74=2,1)</f>
        <v>0</v>
      </c>
      <c r="BY66" s="641"/>
      <c r="BZ66" s="618" t="b">
        <f>IF(BY74=2,3)</f>
        <v>0</v>
      </c>
      <c r="CA66" s="632"/>
      <c r="CB66" s="632"/>
      <c r="CC66" s="633"/>
      <c r="CD66" s="624"/>
      <c r="CE66" s="624"/>
      <c r="CF66" s="624"/>
      <c r="CG66" s="624"/>
      <c r="CH66" s="601"/>
      <c r="CI66" s="434"/>
      <c r="CJ66" s="434"/>
      <c r="CK66" s="434"/>
      <c r="CL66" s="434"/>
      <c r="CM66" s="434"/>
      <c r="CN66" s="434"/>
      <c r="CO66" s="434"/>
      <c r="CP66" s="434"/>
      <c r="CQ66" s="434"/>
      <c r="CR66" s="434"/>
      <c r="CS66" s="434"/>
      <c r="CT66" s="434"/>
      <c r="CU66" s="434"/>
      <c r="CV66" s="434"/>
      <c r="CW66" s="434"/>
      <c r="CX66" s="434"/>
      <c r="CY66" s="434"/>
      <c r="CZ66" s="434"/>
      <c r="DA66" s="434"/>
    </row>
    <row r="67" spans="2:105" ht="18" hidden="1" x14ac:dyDescent="0.25">
      <c r="C67" s="13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X67" s="403"/>
      <c r="AY67" s="404"/>
      <c r="AZ67" s="404"/>
      <c r="BA67" s="404"/>
      <c r="BB67" s="12"/>
      <c r="BC67" s="12"/>
      <c r="BD67" s="12"/>
      <c r="BE67" s="12"/>
      <c r="BF67" s="12"/>
      <c r="BG67" s="12"/>
      <c r="BH67" s="12"/>
      <c r="BI67" s="12"/>
      <c r="BJ67" s="632"/>
      <c r="BK67" s="632"/>
      <c r="BL67" s="633"/>
      <c r="BM67" s="632"/>
      <c r="BN67" s="632"/>
      <c r="BO67" s="632"/>
      <c r="BP67" s="608"/>
      <c r="BQ67" s="632"/>
      <c r="BR67" s="632"/>
      <c r="BS67" s="632"/>
      <c r="BT67" s="632"/>
      <c r="BU67" s="632"/>
      <c r="BV67" s="632"/>
      <c r="BW67" s="632"/>
      <c r="BX67" s="632"/>
      <c r="BY67" s="632"/>
      <c r="BZ67" s="632"/>
      <c r="CA67" s="632"/>
      <c r="CB67" s="632"/>
      <c r="CC67" s="633"/>
      <c r="CD67" s="624"/>
      <c r="CE67" s="624"/>
      <c r="CF67" s="624"/>
      <c r="CG67" s="624"/>
      <c r="CH67" s="601"/>
      <c r="CI67" s="434"/>
      <c r="CJ67" s="434"/>
      <c r="CK67" s="434"/>
      <c r="CL67" s="434"/>
      <c r="CM67" s="434"/>
      <c r="CN67" s="434"/>
      <c r="CO67" s="434"/>
      <c r="CP67" s="434"/>
      <c r="CQ67" s="434"/>
      <c r="CR67" s="434"/>
      <c r="CS67" s="434"/>
      <c r="CT67" s="434"/>
      <c r="CU67" s="434"/>
      <c r="CV67" s="434"/>
      <c r="CW67" s="434"/>
      <c r="CX67" s="434"/>
      <c r="CY67" s="434"/>
      <c r="CZ67" s="434"/>
      <c r="DA67" s="434"/>
    </row>
    <row r="68" spans="2:105" ht="15.75" customHeight="1" thickBot="1" x14ac:dyDescent="0.3">
      <c r="D68" s="397"/>
      <c r="E68" s="397"/>
      <c r="F68" s="397"/>
      <c r="G68" s="397"/>
      <c r="H68" s="397"/>
      <c r="I68" s="397"/>
      <c r="J68" s="397"/>
      <c r="K68" s="397"/>
      <c r="L68" s="397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X68" s="403"/>
      <c r="AY68" s="404"/>
      <c r="AZ68" s="404"/>
      <c r="BA68" s="404"/>
      <c r="BB68" s="12"/>
      <c r="BC68" s="12"/>
      <c r="BD68" s="12"/>
      <c r="BE68" s="12"/>
      <c r="BF68" s="12"/>
      <c r="BG68" s="12"/>
      <c r="BH68" s="12"/>
      <c r="BI68" s="12"/>
      <c r="BJ68" s="632"/>
      <c r="BK68" s="632"/>
      <c r="BL68" s="633"/>
      <c r="BM68" s="632"/>
      <c r="BN68" s="632"/>
      <c r="BO68" s="632"/>
      <c r="BP68" s="608"/>
      <c r="BQ68" s="632"/>
      <c r="BR68" s="632"/>
      <c r="BS68" s="632"/>
      <c r="BT68" s="632"/>
      <c r="BU68" s="632"/>
      <c r="BV68" s="632"/>
      <c r="BW68" s="632"/>
      <c r="BX68" s="632"/>
      <c r="BY68" s="632"/>
      <c r="BZ68" s="632"/>
      <c r="CA68" s="632"/>
      <c r="CB68" s="632"/>
      <c r="CC68" s="633"/>
      <c r="CD68" s="624"/>
      <c r="CE68" s="624"/>
      <c r="CF68" s="624"/>
      <c r="CG68" s="624"/>
      <c r="CH68" s="601"/>
      <c r="CI68" s="434"/>
      <c r="CJ68" s="434"/>
      <c r="CK68" s="434"/>
      <c r="CL68" s="434"/>
      <c r="CM68" s="434"/>
      <c r="CN68" s="434"/>
      <c r="CO68" s="434"/>
      <c r="CP68" s="434"/>
      <c r="CQ68" s="434"/>
      <c r="CR68" s="434"/>
      <c r="CS68" s="434"/>
      <c r="CT68" s="434"/>
      <c r="CU68" s="434"/>
      <c r="CV68" s="434"/>
      <c r="CW68" s="434"/>
      <c r="CX68" s="434"/>
      <c r="CY68" s="434"/>
      <c r="CZ68" s="434"/>
      <c r="DA68" s="434"/>
    </row>
    <row r="69" spans="2:105" ht="39" thickTop="1" thickBot="1" x14ac:dyDescent="0.4">
      <c r="B69" s="685" t="s">
        <v>87</v>
      </c>
      <c r="C69" s="413"/>
      <c r="D69" s="414"/>
      <c r="E69" s="723" t="s">
        <v>86</v>
      </c>
      <c r="F69" s="723"/>
      <c r="G69" s="723"/>
      <c r="H69" s="723"/>
      <c r="I69" s="723"/>
      <c r="J69" s="723"/>
      <c r="K69" s="723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X69" s="403"/>
      <c r="AZ69" s="404"/>
      <c r="BA69" s="404"/>
      <c r="BB69" s="12"/>
      <c r="BC69" s="12"/>
      <c r="BD69" s="12"/>
      <c r="BE69" s="12"/>
      <c r="BF69" s="12"/>
      <c r="BG69" s="12"/>
      <c r="BH69" s="12"/>
      <c r="BI69" s="12"/>
      <c r="BJ69" s="646" t="s">
        <v>100</v>
      </c>
      <c r="BK69" s="647"/>
      <c r="BL69" s="648"/>
      <c r="BM69" s="648"/>
      <c r="BN69" s="648"/>
      <c r="BO69" s="648"/>
      <c r="BP69" s="648"/>
      <c r="BQ69" s="648"/>
      <c r="BR69" s="648"/>
      <c r="BS69" s="648"/>
      <c r="BT69" s="648"/>
      <c r="BU69" s="648"/>
      <c r="BV69" s="648"/>
      <c r="BW69" s="648"/>
      <c r="BX69" s="674">
        <f>SUM(BX52:BX67)</f>
        <v>1</v>
      </c>
      <c r="BY69" s="675">
        <f t="shared" ref="BY69:CN69" si="3">SUM(BY52:BY67)</f>
        <v>0</v>
      </c>
      <c r="BZ69" s="675">
        <f t="shared" si="3"/>
        <v>0</v>
      </c>
      <c r="CA69" s="675">
        <f t="shared" si="3"/>
        <v>0</v>
      </c>
      <c r="CB69" s="675">
        <f t="shared" si="3"/>
        <v>0</v>
      </c>
      <c r="CC69" s="675">
        <f t="shared" si="3"/>
        <v>0</v>
      </c>
      <c r="CD69" s="675">
        <f t="shared" si="3"/>
        <v>7</v>
      </c>
      <c r="CE69" s="675">
        <f t="shared" si="3"/>
        <v>0</v>
      </c>
      <c r="CF69" s="675">
        <f t="shared" si="3"/>
        <v>0</v>
      </c>
      <c r="CG69" s="675">
        <f t="shared" si="3"/>
        <v>0</v>
      </c>
      <c r="CH69" s="675">
        <f t="shared" si="3"/>
        <v>0</v>
      </c>
      <c r="CI69" s="675">
        <f t="shared" si="3"/>
        <v>0</v>
      </c>
      <c r="CJ69" s="675">
        <f t="shared" si="3"/>
        <v>0</v>
      </c>
      <c r="CK69" s="675">
        <f t="shared" si="3"/>
        <v>0</v>
      </c>
      <c r="CL69" s="675">
        <f t="shared" si="3"/>
        <v>0</v>
      </c>
      <c r="CM69" s="675">
        <f t="shared" si="3"/>
        <v>0</v>
      </c>
      <c r="CN69" s="675">
        <f t="shared" si="3"/>
        <v>0</v>
      </c>
      <c r="CO69" s="647"/>
      <c r="CP69" s="648"/>
      <c r="CQ69" s="648"/>
      <c r="CR69" s="648"/>
      <c r="CS69" s="648"/>
      <c r="CT69" s="648"/>
      <c r="CU69" s="648"/>
      <c r="CV69" s="648"/>
      <c r="CW69" s="648"/>
      <c r="CX69" s="648"/>
      <c r="CY69" s="648"/>
      <c r="CZ69" s="648"/>
      <c r="DA69" s="649"/>
    </row>
    <row r="70" spans="2:105" ht="21.75" hidden="1" thickTop="1" thickBot="1" x14ac:dyDescent="0.35">
      <c r="B70" s="415" t="s">
        <v>20</v>
      </c>
      <c r="C70" s="416" t="s">
        <v>92</v>
      </c>
      <c r="D70" s="417">
        <v>4300</v>
      </c>
      <c r="E70" s="690"/>
      <c r="F70" s="690"/>
      <c r="G70" s="690"/>
      <c r="H70" s="690"/>
      <c r="I70" s="690"/>
      <c r="J70" s="690"/>
      <c r="K70" s="690"/>
      <c r="L70" s="418">
        <v>5000</v>
      </c>
      <c r="M70" s="419" t="s">
        <v>111</v>
      </c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X70" s="403"/>
      <c r="AZ70" s="404"/>
      <c r="BA70" s="404"/>
      <c r="BB70" s="12"/>
      <c r="BC70" s="12"/>
      <c r="BD70" s="12"/>
      <c r="BE70" s="12"/>
      <c r="BF70" s="12"/>
      <c r="BG70" s="12"/>
      <c r="BH70" s="12"/>
      <c r="BI70" s="12"/>
      <c r="BJ70" s="650"/>
      <c r="BK70" s="651"/>
      <c r="BL70" s="651"/>
      <c r="BM70" s="651"/>
      <c r="BN70" s="651"/>
      <c r="BO70" s="651"/>
      <c r="BP70" s="651"/>
      <c r="BQ70" s="651"/>
      <c r="BR70" s="651"/>
      <c r="BS70" s="651"/>
      <c r="BT70" s="651"/>
      <c r="BU70" s="651"/>
      <c r="BV70" s="651"/>
      <c r="BW70" s="651"/>
      <c r="BX70" s="651"/>
      <c r="BY70" s="651"/>
      <c r="BZ70" s="651"/>
      <c r="CA70" s="651"/>
      <c r="CB70" s="651"/>
      <c r="CC70" s="651"/>
      <c r="CD70" s="624"/>
      <c r="CE70" s="624"/>
      <c r="CF70" s="624"/>
      <c r="CG70" s="624"/>
      <c r="CH70" s="601"/>
      <c r="CI70" s="434"/>
      <c r="CJ70" s="434"/>
      <c r="CK70" s="434"/>
      <c r="CL70" s="434"/>
      <c r="CM70" s="434"/>
      <c r="CN70" s="434"/>
      <c r="CO70" s="434"/>
      <c r="CP70" s="434"/>
      <c r="CQ70" s="434"/>
      <c r="CR70" s="434"/>
      <c r="CS70" s="434"/>
      <c r="CT70" s="434"/>
      <c r="CU70" s="434"/>
      <c r="CV70" s="434"/>
      <c r="CW70" s="434"/>
      <c r="CX70" s="434"/>
      <c r="CY70" s="434"/>
      <c r="CZ70" s="434"/>
      <c r="DA70" s="434"/>
    </row>
    <row r="71" spans="2:105" ht="21.75" hidden="1" thickTop="1" thickBot="1" x14ac:dyDescent="0.35">
      <c r="B71" s="415"/>
      <c r="C71" s="416"/>
      <c r="D71" s="417">
        <v>4000</v>
      </c>
      <c r="E71" s="690"/>
      <c r="F71" s="690"/>
      <c r="G71" s="690"/>
      <c r="H71" s="690"/>
      <c r="I71" s="690"/>
      <c r="J71" s="690"/>
      <c r="K71" s="690"/>
      <c r="L71" s="418">
        <v>4400</v>
      </c>
      <c r="M71" s="419" t="s">
        <v>109</v>
      </c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X71" s="403"/>
      <c r="AZ71" s="404"/>
      <c r="BA71" s="404"/>
      <c r="BB71" s="12"/>
      <c r="BC71" s="12"/>
      <c r="BD71" s="12"/>
      <c r="BE71" s="12"/>
      <c r="BF71" s="12"/>
      <c r="BG71" s="12"/>
      <c r="BH71" s="12"/>
      <c r="BI71" s="12"/>
      <c r="BJ71" s="650"/>
      <c r="BK71" s="651"/>
      <c r="BL71" s="651"/>
      <c r="BM71" s="651"/>
      <c r="BN71" s="651"/>
      <c r="BO71" s="651"/>
      <c r="BP71" s="651"/>
      <c r="BQ71" s="651"/>
      <c r="BR71" s="651"/>
      <c r="BS71" s="651"/>
      <c r="BT71" s="651"/>
      <c r="BU71" s="651"/>
      <c r="BV71" s="651"/>
      <c r="BW71" s="651"/>
      <c r="BX71" s="651"/>
      <c r="BY71" s="651"/>
      <c r="BZ71" s="651"/>
      <c r="CA71" s="651"/>
      <c r="CB71" s="651"/>
      <c r="CC71" s="651"/>
      <c r="CD71" s="624"/>
      <c r="CE71" s="624"/>
      <c r="CF71" s="624"/>
      <c r="CG71" s="624"/>
      <c r="CH71" s="601"/>
      <c r="CI71" s="434"/>
      <c r="CJ71" s="434"/>
      <c r="CK71" s="434"/>
      <c r="CL71" s="434"/>
      <c r="CM71" s="434"/>
      <c r="CN71" s="434"/>
      <c r="CO71" s="434"/>
      <c r="CP71" s="434"/>
      <c r="CQ71" s="434"/>
      <c r="CR71" s="434"/>
      <c r="CS71" s="434"/>
      <c r="CT71" s="434"/>
      <c r="CU71" s="434"/>
      <c r="CV71" s="434"/>
      <c r="CW71" s="434"/>
      <c r="CX71" s="434"/>
      <c r="CY71" s="434"/>
      <c r="CZ71" s="434"/>
      <c r="DA71" s="434"/>
    </row>
    <row r="72" spans="2:105" ht="21.75" hidden="1" thickTop="1" thickBot="1" x14ac:dyDescent="0.35">
      <c r="B72" s="415"/>
      <c r="C72" s="690"/>
      <c r="D72" s="690"/>
      <c r="E72" s="690"/>
      <c r="F72" s="690"/>
      <c r="G72" s="690"/>
      <c r="H72" s="690"/>
      <c r="I72" s="690"/>
      <c r="J72" s="690"/>
      <c r="K72" s="690"/>
      <c r="L72" s="13"/>
      <c r="M72" s="13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X72" s="403"/>
      <c r="AZ72" s="404"/>
      <c r="BA72" s="404"/>
      <c r="BB72" s="12"/>
      <c r="BC72" s="12"/>
      <c r="BD72" s="12"/>
      <c r="BE72" s="12"/>
      <c r="BF72" s="12"/>
      <c r="BG72" s="12"/>
      <c r="BH72" s="12"/>
      <c r="BI72" s="12"/>
      <c r="BJ72" s="650"/>
      <c r="BK72" s="651"/>
      <c r="BL72" s="651"/>
      <c r="BM72" s="651"/>
      <c r="BN72" s="651"/>
      <c r="BO72" s="651"/>
      <c r="BP72" s="651"/>
      <c r="BQ72" s="651"/>
      <c r="BR72" s="651"/>
      <c r="BS72" s="651"/>
      <c r="BT72" s="651"/>
      <c r="BU72" s="651"/>
      <c r="BV72" s="651"/>
      <c r="BW72" s="651"/>
      <c r="BX72" s="651"/>
      <c r="BY72" s="651"/>
      <c r="BZ72" s="651"/>
      <c r="CA72" s="651"/>
      <c r="CB72" s="651"/>
      <c r="CC72" s="651"/>
      <c r="CD72" s="624"/>
      <c r="CE72" s="624"/>
      <c r="CF72" s="624"/>
      <c r="CG72" s="624"/>
      <c r="CH72" s="601"/>
      <c r="CI72" s="434"/>
      <c r="CJ72" s="434"/>
      <c r="CK72" s="434"/>
      <c r="CL72" s="434"/>
      <c r="CM72" s="434"/>
      <c r="CN72" s="434"/>
      <c r="CO72" s="434"/>
      <c r="CP72" s="434"/>
      <c r="CQ72" s="434"/>
      <c r="CR72" s="434"/>
      <c r="CS72" s="434"/>
      <c r="CT72" s="434"/>
      <c r="CU72" s="434"/>
      <c r="CV72" s="434"/>
      <c r="CW72" s="434"/>
      <c r="CX72" s="434"/>
      <c r="CY72" s="434"/>
      <c r="CZ72" s="434"/>
      <c r="DA72" s="434"/>
    </row>
    <row r="73" spans="2:105" ht="21.75" hidden="1" thickTop="1" thickBot="1" x14ac:dyDescent="0.35">
      <c r="B73" s="415"/>
      <c r="C73" s="420"/>
      <c r="D73" s="557" t="s">
        <v>21</v>
      </c>
      <c r="E73" s="557" t="s">
        <v>22</v>
      </c>
      <c r="F73" s="690"/>
      <c r="G73" s="690"/>
      <c r="H73" s="690"/>
      <c r="I73" s="690"/>
      <c r="J73" s="690"/>
      <c r="K73" s="690"/>
      <c r="M73" s="13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X73" s="403"/>
      <c r="AY73" s="421"/>
      <c r="AZ73" s="404"/>
      <c r="BA73" s="404"/>
      <c r="BB73" s="12"/>
      <c r="BC73" s="12"/>
      <c r="BD73" s="12"/>
      <c r="BE73" s="12"/>
      <c r="BF73" s="12"/>
      <c r="BG73" s="12"/>
      <c r="BH73" s="12"/>
      <c r="BI73" s="12"/>
      <c r="BJ73" s="650"/>
      <c r="BK73" s="624"/>
      <c r="BL73" s="625"/>
      <c r="BM73" s="624"/>
      <c r="BN73" s="624"/>
      <c r="BO73" s="624"/>
      <c r="BP73" s="625"/>
      <c r="BQ73" s="624"/>
      <c r="BR73" s="624"/>
      <c r="BS73" s="624"/>
      <c r="BT73" s="624"/>
      <c r="BU73" s="624"/>
      <c r="BV73" s="624"/>
      <c r="BW73" s="624"/>
      <c r="BX73" s="624"/>
      <c r="BY73" s="624"/>
      <c r="BZ73" s="624"/>
      <c r="CA73" s="624"/>
      <c r="CB73" s="624"/>
      <c r="CC73" s="624"/>
      <c r="CD73" s="624"/>
      <c r="CE73" s="624"/>
      <c r="CF73" s="624"/>
      <c r="CG73" s="624"/>
      <c r="CH73" s="601"/>
      <c r="CI73" s="434"/>
      <c r="CJ73" s="434"/>
      <c r="CK73" s="434"/>
      <c r="CL73" s="434"/>
      <c r="CM73" s="434"/>
      <c r="CN73" s="434"/>
      <c r="CO73" s="434"/>
      <c r="CP73" s="434"/>
      <c r="CQ73" s="434"/>
      <c r="CR73" s="434"/>
      <c r="CS73" s="434"/>
      <c r="CT73" s="434"/>
      <c r="CU73" s="434"/>
      <c r="CV73" s="434"/>
      <c r="CW73" s="434"/>
      <c r="CX73" s="434"/>
      <c r="CY73" s="434"/>
      <c r="CZ73" s="434"/>
      <c r="DA73" s="434"/>
    </row>
    <row r="74" spans="2:105" ht="21.75" hidden="1" thickTop="1" thickBot="1" x14ac:dyDescent="0.35">
      <c r="B74" s="415"/>
      <c r="C74" s="420" t="s">
        <v>17</v>
      </c>
      <c r="D74" s="558">
        <f>+((D25-D28)/D25)*D24</f>
        <v>16.025932835820896</v>
      </c>
      <c r="E74" s="558">
        <f>+(D28/D25)*D24</f>
        <v>11.374067164179104</v>
      </c>
      <c r="F74" s="690"/>
      <c r="G74" s="690"/>
      <c r="H74" s="690"/>
      <c r="I74" s="690"/>
      <c r="J74" s="690"/>
      <c r="K74" s="690"/>
      <c r="L74" s="13"/>
      <c r="M74" s="13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X74" s="403"/>
      <c r="AY74" s="421"/>
      <c r="AZ74" s="404"/>
      <c r="BA74" s="404"/>
      <c r="BB74" s="12"/>
      <c r="BC74" s="12"/>
      <c r="BD74" s="12"/>
      <c r="BE74" s="12"/>
      <c r="BF74" s="12"/>
      <c r="BG74" s="12"/>
      <c r="BH74" s="12"/>
      <c r="BI74" s="12"/>
      <c r="BJ74" s="608"/>
      <c r="BK74" s="652" t="b">
        <f>+BE105</f>
        <v>0</v>
      </c>
      <c r="BL74" s="652" t="b">
        <f>+BE106</f>
        <v>0</v>
      </c>
      <c r="BM74" s="652" t="b">
        <f>+BE107</f>
        <v>0</v>
      </c>
      <c r="BN74" s="652" t="b">
        <f>+BE108</f>
        <v>0</v>
      </c>
      <c r="BO74" s="652" t="b">
        <f>+BE109</f>
        <v>0</v>
      </c>
      <c r="BP74" s="652" t="b">
        <f>+BE110</f>
        <v>0</v>
      </c>
      <c r="BQ74" s="652" t="b">
        <f>+BE111</f>
        <v>0</v>
      </c>
      <c r="BR74" s="652" t="b">
        <f>+BE112</f>
        <v>0</v>
      </c>
      <c r="BS74" s="652" t="b">
        <f>+BE113</f>
        <v>0</v>
      </c>
      <c r="BT74" s="652" t="b">
        <f>+BE114</f>
        <v>0</v>
      </c>
      <c r="BU74" s="652" t="b">
        <f>+BE115</f>
        <v>0</v>
      </c>
      <c r="BV74" s="652" t="b">
        <f>+BE116</f>
        <v>0</v>
      </c>
      <c r="BW74" s="652" t="b">
        <f>+BE117</f>
        <v>0</v>
      </c>
      <c r="BX74" s="652" t="b">
        <f>+BE118</f>
        <v>0</v>
      </c>
      <c r="BY74" s="652" t="b">
        <f>+BE119</f>
        <v>0</v>
      </c>
      <c r="BZ74" s="652" t="b">
        <f>+BE120</f>
        <v>0</v>
      </c>
      <c r="CA74" s="652">
        <f>+BE121</f>
        <v>4</v>
      </c>
      <c r="CB74" s="652" t="b">
        <f>+BE122</f>
        <v>0</v>
      </c>
      <c r="CC74" s="652" t="b">
        <f>+BE123</f>
        <v>0</v>
      </c>
      <c r="CD74" s="652" t="b">
        <f>+BE124</f>
        <v>0</v>
      </c>
      <c r="CE74" s="652" t="b">
        <f>+BE125</f>
        <v>0</v>
      </c>
      <c r="CF74" s="652" t="b">
        <f>+BE126</f>
        <v>0</v>
      </c>
      <c r="CG74" s="652" t="b">
        <f>+BE127</f>
        <v>0</v>
      </c>
      <c r="CH74" s="652" t="b">
        <f>+BE128</f>
        <v>0</v>
      </c>
      <c r="CI74" s="652" t="b">
        <f>+BE129</f>
        <v>0</v>
      </c>
      <c r="CJ74" s="652" t="b">
        <f>+BE130</f>
        <v>0</v>
      </c>
      <c r="CK74" s="652" t="b">
        <f>+BE131</f>
        <v>0</v>
      </c>
      <c r="CL74" s="652" t="b">
        <f>+BE132</f>
        <v>0</v>
      </c>
      <c r="CM74" s="652" t="b">
        <f>+BE133</f>
        <v>0</v>
      </c>
      <c r="CN74" s="652" t="b">
        <f>+BE134</f>
        <v>0</v>
      </c>
      <c r="CO74" s="652" t="b">
        <f>+BE135</f>
        <v>0</v>
      </c>
      <c r="CP74" s="652" t="b">
        <f>+BE136</f>
        <v>0</v>
      </c>
      <c r="CQ74" s="652" t="b">
        <f>+BE137</f>
        <v>0</v>
      </c>
      <c r="CR74" s="652" t="b">
        <f>+BE138</f>
        <v>0</v>
      </c>
      <c r="CS74" s="652" t="b">
        <f>+BE139</f>
        <v>0</v>
      </c>
      <c r="CT74" s="652" t="b">
        <f>+BE140</f>
        <v>0</v>
      </c>
      <c r="CU74" s="652" t="b">
        <f>+BE141</f>
        <v>0</v>
      </c>
      <c r="CV74" s="652" t="b">
        <f>+BE142</f>
        <v>0</v>
      </c>
      <c r="CW74" s="652" t="b">
        <f>+BE143</f>
        <v>0</v>
      </c>
      <c r="CX74" s="652" t="b">
        <f>+BE144</f>
        <v>0</v>
      </c>
      <c r="CY74" s="652" t="b">
        <f>+BE145</f>
        <v>0</v>
      </c>
      <c r="CZ74" s="652" t="b">
        <f>+BE146</f>
        <v>0</v>
      </c>
      <c r="DA74" s="652" t="b">
        <f>+BE147</f>
        <v>0</v>
      </c>
    </row>
    <row r="75" spans="2:105" ht="19.5" hidden="1" thickTop="1" thickBot="1" x14ac:dyDescent="0.3">
      <c r="B75" s="422"/>
      <c r="C75" s="422"/>
      <c r="D75" s="423"/>
      <c r="E75" s="690"/>
      <c r="F75" s="690"/>
      <c r="G75" s="690"/>
      <c r="H75" s="690"/>
      <c r="I75" s="690"/>
      <c r="J75" s="690"/>
      <c r="K75" s="690"/>
      <c r="L75" s="13"/>
      <c r="AA75" s="22"/>
      <c r="AB75" s="22"/>
      <c r="AC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X75" s="403"/>
      <c r="AY75" s="421"/>
      <c r="AZ75" s="404"/>
      <c r="BA75" s="404"/>
      <c r="BB75" s="12"/>
      <c r="BC75" s="12"/>
      <c r="BD75" s="12"/>
      <c r="BE75" s="12"/>
      <c r="BF75" s="12"/>
      <c r="BG75" s="12"/>
      <c r="BH75" s="12"/>
      <c r="BI75" s="12"/>
      <c r="BJ75" s="601" t="s">
        <v>26</v>
      </c>
      <c r="BK75" s="652" t="b">
        <f>+BK74</f>
        <v>0</v>
      </c>
      <c r="BL75" s="652" t="b">
        <f t="shared" ref="BL75:CC75" si="4">+BL74</f>
        <v>0</v>
      </c>
      <c r="BM75" s="652" t="b">
        <f t="shared" si="4"/>
        <v>0</v>
      </c>
      <c r="BN75" s="652" t="b">
        <f t="shared" si="4"/>
        <v>0</v>
      </c>
      <c r="BO75" s="652" t="b">
        <f t="shared" si="4"/>
        <v>0</v>
      </c>
      <c r="BP75" s="652" t="b">
        <f t="shared" si="4"/>
        <v>0</v>
      </c>
      <c r="BQ75" s="652" t="b">
        <f t="shared" si="4"/>
        <v>0</v>
      </c>
      <c r="BR75" s="652" t="b">
        <f t="shared" si="4"/>
        <v>0</v>
      </c>
      <c r="BS75" s="652" t="b">
        <f t="shared" si="4"/>
        <v>0</v>
      </c>
      <c r="BT75" s="652" t="b">
        <f t="shared" si="4"/>
        <v>0</v>
      </c>
      <c r="BU75" s="652" t="b">
        <f t="shared" si="4"/>
        <v>0</v>
      </c>
      <c r="BV75" s="652" t="b">
        <f>+BV74</f>
        <v>0</v>
      </c>
      <c r="BW75" s="652" t="b">
        <f>+BW74</f>
        <v>0</v>
      </c>
      <c r="BX75" s="652" t="b">
        <f>+BX74</f>
        <v>0</v>
      </c>
      <c r="BY75" s="652" t="b">
        <f>+BY74</f>
        <v>0</v>
      </c>
      <c r="BZ75" s="652" t="b">
        <f>+BZ74</f>
        <v>0</v>
      </c>
      <c r="CA75" s="652">
        <f t="shared" si="4"/>
        <v>4</v>
      </c>
      <c r="CB75" s="652" t="b">
        <f>+CB74</f>
        <v>0</v>
      </c>
      <c r="CC75" s="652" t="b">
        <f t="shared" si="4"/>
        <v>0</v>
      </c>
      <c r="CD75" s="652" t="b">
        <f>+CD74</f>
        <v>0</v>
      </c>
      <c r="CE75" s="652" t="b">
        <f>+CE74</f>
        <v>0</v>
      </c>
      <c r="CF75" s="652" t="b">
        <f>+CF74</f>
        <v>0</v>
      </c>
      <c r="CG75" s="652" t="b">
        <f>+CG74</f>
        <v>0</v>
      </c>
      <c r="CH75" s="652" t="b">
        <f>+CH74</f>
        <v>0</v>
      </c>
      <c r="CI75" s="652" t="b">
        <f t="shared" ref="CI75:DA75" si="5">+CI74</f>
        <v>0</v>
      </c>
      <c r="CJ75" s="652" t="b">
        <f t="shared" si="5"/>
        <v>0</v>
      </c>
      <c r="CK75" s="652" t="b">
        <f t="shared" si="5"/>
        <v>0</v>
      </c>
      <c r="CL75" s="652" t="b">
        <f t="shared" si="5"/>
        <v>0</v>
      </c>
      <c r="CM75" s="652" t="b">
        <f t="shared" si="5"/>
        <v>0</v>
      </c>
      <c r="CN75" s="652" t="b">
        <f t="shared" si="5"/>
        <v>0</v>
      </c>
      <c r="CO75" s="652" t="b">
        <f t="shared" si="5"/>
        <v>0</v>
      </c>
      <c r="CP75" s="652" t="b">
        <f t="shared" si="5"/>
        <v>0</v>
      </c>
      <c r="CQ75" s="652" t="b">
        <f t="shared" si="5"/>
        <v>0</v>
      </c>
      <c r="CR75" s="652" t="b">
        <f t="shared" si="5"/>
        <v>0</v>
      </c>
      <c r="CS75" s="652" t="b">
        <f t="shared" si="5"/>
        <v>0</v>
      </c>
      <c r="CT75" s="652" t="b">
        <f t="shared" si="5"/>
        <v>0</v>
      </c>
      <c r="CU75" s="652" t="b">
        <f t="shared" si="5"/>
        <v>0</v>
      </c>
      <c r="CV75" s="652" t="b">
        <f t="shared" si="5"/>
        <v>0</v>
      </c>
      <c r="CW75" s="652" t="b">
        <f t="shared" si="5"/>
        <v>0</v>
      </c>
      <c r="CX75" s="652" t="b">
        <f t="shared" si="5"/>
        <v>0</v>
      </c>
      <c r="CY75" s="652" t="b">
        <f t="shared" si="5"/>
        <v>0</v>
      </c>
      <c r="CZ75" s="652" t="b">
        <f t="shared" si="5"/>
        <v>0</v>
      </c>
      <c r="DA75" s="652" t="b">
        <f t="shared" si="5"/>
        <v>0</v>
      </c>
    </row>
    <row r="76" spans="2:105" ht="19.5" hidden="1" thickTop="1" thickBot="1" x14ac:dyDescent="0.3">
      <c r="B76" s="691" t="b">
        <f>AND(B84&gt;=10,D84&gt;=10,AU106&gt;=10,AV106&gt;=10)</f>
        <v>1</v>
      </c>
      <c r="C76" s="422"/>
      <c r="D76" s="423"/>
      <c r="E76" s="692" t="b">
        <f>AND(B84&gt;=10,D84&gt;=10,E84&gt;=10,AU106&gt;=10,AV106&gt;=10)</f>
        <v>1</v>
      </c>
      <c r="F76" s="690"/>
      <c r="G76" s="690"/>
      <c r="H76" s="690"/>
      <c r="I76" s="690"/>
      <c r="J76" s="690"/>
      <c r="K76" s="690"/>
      <c r="L76" s="13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X76" s="403"/>
      <c r="AY76" s="421"/>
      <c r="AZ76" s="404"/>
      <c r="BA76" s="404"/>
      <c r="BB76" s="12"/>
      <c r="BC76" s="12"/>
      <c r="BD76" s="12"/>
      <c r="BE76" s="12"/>
      <c r="BF76" s="12"/>
      <c r="BG76" s="12"/>
      <c r="BH76" s="12"/>
      <c r="BI76" s="12"/>
      <c r="BJ76" s="601"/>
      <c r="BK76" s="653"/>
      <c r="BL76" s="653"/>
      <c r="BM76" s="653"/>
      <c r="BN76" s="653"/>
      <c r="BO76" s="653"/>
      <c r="BP76" s="653"/>
      <c r="BQ76" s="653"/>
      <c r="BR76" s="653"/>
      <c r="BS76" s="653"/>
      <c r="BT76" s="653"/>
      <c r="BU76" s="653"/>
      <c r="BV76" s="653"/>
      <c r="BW76" s="653"/>
      <c r="BX76" s="653"/>
      <c r="BY76" s="653"/>
      <c r="BZ76" s="653"/>
      <c r="CA76" s="653"/>
      <c r="CB76" s="653"/>
      <c r="CC76" s="653"/>
      <c r="CD76" s="653"/>
      <c r="CE76" s="653"/>
      <c r="CF76" s="653"/>
      <c r="CG76" s="653"/>
      <c r="CH76" s="653"/>
      <c r="CI76" s="654"/>
      <c r="CJ76" s="654"/>
      <c r="CK76" s="654"/>
      <c r="CL76" s="654"/>
      <c r="CM76" s="654"/>
      <c r="CN76" s="654"/>
      <c r="CO76" s="654"/>
      <c r="CP76" s="654"/>
      <c r="CQ76" s="654"/>
      <c r="CR76" s="654"/>
      <c r="CS76" s="654"/>
      <c r="CT76" s="654"/>
      <c r="CU76" s="654"/>
      <c r="CV76" s="654"/>
      <c r="CW76" s="654"/>
      <c r="CX76" s="654"/>
      <c r="CY76" s="654"/>
      <c r="CZ76" s="654"/>
      <c r="DA76" s="654"/>
    </row>
    <row r="77" spans="2:105" ht="19.5" thickTop="1" thickBot="1" x14ac:dyDescent="0.3">
      <c r="B77" s="732"/>
      <c r="C77" s="733"/>
      <c r="D77" s="733"/>
      <c r="E77" s="733"/>
      <c r="F77" s="733"/>
      <c r="G77" s="733"/>
      <c r="H77" s="733"/>
      <c r="I77" s="733"/>
      <c r="J77" s="733"/>
      <c r="K77" s="734"/>
      <c r="L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X77" s="403"/>
      <c r="AY77" s="421"/>
      <c r="AZ77" s="404"/>
      <c r="BA77" s="404"/>
      <c r="BB77" s="12"/>
      <c r="BC77" s="12"/>
      <c r="BD77" s="12"/>
      <c r="BE77" s="12"/>
      <c r="BF77" s="12"/>
      <c r="BG77" s="12"/>
      <c r="BH77" s="12"/>
      <c r="BI77" s="12"/>
      <c r="BJ77" s="601"/>
      <c r="BK77" s="653"/>
      <c r="BL77" s="653"/>
      <c r="BM77" s="653"/>
      <c r="BN77" s="653"/>
      <c r="BO77" s="653"/>
      <c r="BP77" s="653"/>
      <c r="BQ77" s="653"/>
      <c r="BR77" s="653"/>
      <c r="BS77" s="653"/>
      <c r="BT77" s="653"/>
      <c r="BU77" s="653"/>
      <c r="BV77" s="653"/>
      <c r="BW77" s="653"/>
      <c r="BX77" s="653"/>
      <c r="BY77" s="653"/>
      <c r="BZ77" s="653"/>
      <c r="CA77" s="653"/>
      <c r="CB77" s="653"/>
      <c r="CC77" s="653"/>
      <c r="CD77" s="653"/>
      <c r="CE77" s="653"/>
      <c r="CF77" s="653"/>
      <c r="CG77" s="653"/>
      <c r="CH77" s="653"/>
      <c r="CI77" s="654"/>
      <c r="CJ77" s="654"/>
      <c r="CK77" s="654"/>
      <c r="CL77" s="654"/>
      <c r="CM77" s="654"/>
      <c r="CN77" s="654"/>
      <c r="CO77" s="654"/>
      <c r="CP77" s="654"/>
      <c r="CQ77" s="654"/>
      <c r="CR77" s="654"/>
      <c r="CS77" s="654"/>
      <c r="CT77" s="654"/>
      <c r="CU77" s="654"/>
      <c r="CV77" s="654"/>
      <c r="CW77" s="654"/>
      <c r="CX77" s="654"/>
      <c r="CY77" s="654"/>
      <c r="CZ77" s="654"/>
      <c r="DA77" s="654"/>
    </row>
    <row r="78" spans="2:105" ht="31.5" thickTop="1" thickBot="1" x14ac:dyDescent="0.4">
      <c r="B78" s="686" t="str">
        <f>IF(B76=TRUE,"O K","OVERLOAD")</f>
        <v>O K</v>
      </c>
      <c r="C78" s="422"/>
      <c r="D78" s="423"/>
      <c r="E78" s="724" t="str">
        <f>IF(E76=TRUE,"O K","OVERLOAD")</f>
        <v>O K</v>
      </c>
      <c r="F78" s="724"/>
      <c r="G78" s="724"/>
      <c r="H78" s="724"/>
      <c r="I78" s="724"/>
      <c r="J78" s="724"/>
      <c r="K78" s="724"/>
      <c r="L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X78" s="403"/>
      <c r="AZ78" s="404"/>
      <c r="BA78" s="404"/>
      <c r="BB78" s="12"/>
      <c r="BC78" s="12"/>
      <c r="BD78" s="12"/>
      <c r="BE78" s="12"/>
      <c r="BF78" s="12"/>
      <c r="BG78" s="12"/>
      <c r="BH78" s="12"/>
      <c r="BI78" s="12"/>
      <c r="BJ78" s="655" t="s">
        <v>26</v>
      </c>
      <c r="BK78" s="677" t="str">
        <f>IF(BK75=-13,"A ","")</f>
        <v/>
      </c>
      <c r="BL78" s="678" t="str">
        <f>IF(BL75=-12,"B ","")</f>
        <v/>
      </c>
      <c r="BM78" s="678" t="str">
        <f>IF(BM75=-11,"C ","")</f>
        <v/>
      </c>
      <c r="BN78" s="678" t="str">
        <f>IF(BN75=-10,"D ","")</f>
        <v/>
      </c>
      <c r="BO78" s="678" t="str">
        <f>IF(BO75=-9,"E ","")</f>
        <v/>
      </c>
      <c r="BP78" s="678" t="str">
        <f>IF(BP75=-8,"F ","")</f>
        <v/>
      </c>
      <c r="BQ78" s="678" t="str">
        <f>IF(BQ75=-7,"G ","")</f>
        <v/>
      </c>
      <c r="BR78" s="678" t="str">
        <f>IF(BR75=-6,"H ","")</f>
        <v/>
      </c>
      <c r="BS78" s="678" t="str">
        <f>IF(BS75=-5,"I ","")</f>
        <v/>
      </c>
      <c r="BT78" s="678" t="str">
        <f>IF(BT75=-4,"J ","")</f>
        <v/>
      </c>
      <c r="BU78" s="678" t="str">
        <f>IF(BU75=-3,"K ","")</f>
        <v/>
      </c>
      <c r="BV78" s="678" t="str">
        <f>IF(BV75=-2,"L ","")</f>
        <v/>
      </c>
      <c r="BW78" s="678" t="str">
        <f>IF(BW75=-1,"M ","")</f>
        <v/>
      </c>
      <c r="BX78" s="679" t="b">
        <f>+BX75</f>
        <v>0</v>
      </c>
      <c r="BY78" s="679" t="b">
        <f t="shared" ref="BY78:BZ78" si="6">+BY75</f>
        <v>0</v>
      </c>
      <c r="BZ78" s="679" t="b">
        <f t="shared" si="6"/>
        <v>0</v>
      </c>
      <c r="CA78" s="679">
        <f>+CA75</f>
        <v>4</v>
      </c>
      <c r="CB78" s="679" t="b">
        <f t="shared" ref="CB78:CE78" si="7">+CB75</f>
        <v>0</v>
      </c>
      <c r="CC78" s="679" t="b">
        <f t="shared" si="7"/>
        <v>0</v>
      </c>
      <c r="CD78" s="679" t="b">
        <f t="shared" si="7"/>
        <v>0</v>
      </c>
      <c r="CE78" s="679" t="b">
        <f t="shared" si="7"/>
        <v>0</v>
      </c>
      <c r="CF78" s="682" t="str">
        <f>IF(CF75=81,"L ","")</f>
        <v/>
      </c>
      <c r="CG78" s="682" t="str">
        <f>IF(CG75=82,"K ","")</f>
        <v/>
      </c>
      <c r="CH78" s="682" t="str">
        <f>IF(CH75=83,"J ","")</f>
        <v/>
      </c>
      <c r="CI78" s="679" t="b">
        <f t="shared" ref="CI78:CN78" si="8">+CI75</f>
        <v>0</v>
      </c>
      <c r="CJ78" s="679" t="b">
        <f t="shared" si="8"/>
        <v>0</v>
      </c>
      <c r="CK78" s="679" t="b">
        <f t="shared" si="8"/>
        <v>0</v>
      </c>
      <c r="CL78" s="679" t="b">
        <f t="shared" si="8"/>
        <v>0</v>
      </c>
      <c r="CM78" s="679" t="b">
        <f t="shared" si="8"/>
        <v>0</v>
      </c>
      <c r="CN78" s="679" t="b">
        <f t="shared" si="8"/>
        <v>0</v>
      </c>
      <c r="CO78" s="678" t="str">
        <f>IF(CO75=15,"M ","")</f>
        <v/>
      </c>
      <c r="CP78" s="678" t="str">
        <f>IF(CP75=16,"L ","")</f>
        <v/>
      </c>
      <c r="CQ78" s="678" t="str">
        <f>IF(CQ75=17,"K ","")</f>
        <v/>
      </c>
      <c r="CR78" s="678" t="str">
        <f>IF(CR75=18,"J ","")</f>
        <v/>
      </c>
      <c r="CS78" s="678" t="str">
        <f>IF(CS75=19,"I ","")</f>
        <v/>
      </c>
      <c r="CT78" s="678" t="str">
        <f>IF(CT75=20,"H ","")</f>
        <v/>
      </c>
      <c r="CU78" s="678" t="str">
        <f>IF(CU75=21,"G ","")</f>
        <v/>
      </c>
      <c r="CV78" s="678" t="str">
        <f>IF(CV75=22,"F ","")</f>
        <v/>
      </c>
      <c r="CW78" s="678" t="str">
        <f>IF(CW75=23,"E ","")</f>
        <v/>
      </c>
      <c r="CX78" s="678" t="str">
        <f>IF(CX75=24,"D ","")</f>
        <v/>
      </c>
      <c r="CY78" s="678" t="str">
        <f>IF(CY75=25,"C ","")</f>
        <v/>
      </c>
      <c r="CZ78" s="678" t="str">
        <f>IF(CZ75=26,"B ","")</f>
        <v/>
      </c>
      <c r="DA78" s="680" t="str">
        <f>IF(DA75=27,"A ","")</f>
        <v/>
      </c>
    </row>
    <row r="79" spans="2:105" ht="17.25" hidden="1" thickTop="1" thickBot="1" x14ac:dyDescent="0.3">
      <c r="B79" s="422"/>
      <c r="C79" s="422"/>
      <c r="D79" s="423"/>
      <c r="E79" s="291"/>
      <c r="F79" s="291"/>
      <c r="G79" s="291"/>
      <c r="H79" s="291"/>
      <c r="I79" s="291"/>
      <c r="J79" s="291"/>
      <c r="K79" s="291"/>
      <c r="L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X79" s="403"/>
      <c r="AY79" s="404"/>
      <c r="AZ79" s="404"/>
      <c r="BA79" s="404"/>
      <c r="BB79" s="12"/>
      <c r="BC79" s="12"/>
      <c r="BD79" s="12"/>
      <c r="BE79" s="12"/>
      <c r="BF79" s="12"/>
      <c r="BG79" s="12"/>
      <c r="BH79" s="12"/>
      <c r="BI79" s="12"/>
      <c r="BK79" s="57">
        <v>-13</v>
      </c>
      <c r="BL79" s="57">
        <v>-12</v>
      </c>
      <c r="BM79" s="57">
        <v>-11</v>
      </c>
      <c r="BN79" s="57">
        <v>-10</v>
      </c>
      <c r="BO79" s="57">
        <v>-9</v>
      </c>
      <c r="BP79" s="57">
        <v>-8</v>
      </c>
      <c r="BQ79" s="57">
        <v>-7</v>
      </c>
      <c r="BR79" s="57">
        <v>-6</v>
      </c>
      <c r="BS79" s="57">
        <v>-5</v>
      </c>
      <c r="BT79" s="57">
        <v>-4</v>
      </c>
      <c r="BU79" s="57">
        <v>-3</v>
      </c>
      <c r="BV79" s="57">
        <v>-2</v>
      </c>
      <c r="BW79" s="57">
        <v>-1</v>
      </c>
      <c r="BX79" s="57">
        <v>1</v>
      </c>
      <c r="BY79" s="22">
        <v>2</v>
      </c>
      <c r="BZ79" s="22">
        <v>3</v>
      </c>
      <c r="CA79" s="22">
        <v>4</v>
      </c>
      <c r="CB79" s="22">
        <v>5</v>
      </c>
      <c r="CC79" s="22">
        <v>6</v>
      </c>
      <c r="CD79" s="22">
        <v>7</v>
      </c>
      <c r="CE79" s="424">
        <v>8</v>
      </c>
      <c r="CF79" s="424">
        <v>81</v>
      </c>
      <c r="CG79" s="424">
        <v>82</v>
      </c>
      <c r="CH79" s="424">
        <v>83</v>
      </c>
      <c r="CI79" s="13">
        <v>9</v>
      </c>
      <c r="CJ79" s="13">
        <v>10</v>
      </c>
      <c r="CK79" s="13">
        <v>11</v>
      </c>
      <c r="CL79" s="13">
        <v>12</v>
      </c>
      <c r="CM79" s="13">
        <v>13</v>
      </c>
      <c r="CN79" s="13">
        <v>14</v>
      </c>
      <c r="CO79" s="13">
        <v>15</v>
      </c>
      <c r="CP79" s="13">
        <v>16</v>
      </c>
      <c r="CQ79" s="13">
        <v>17</v>
      </c>
      <c r="CR79" s="13">
        <v>18</v>
      </c>
      <c r="CS79" s="13">
        <v>19</v>
      </c>
      <c r="CT79" s="13">
        <v>20</v>
      </c>
      <c r="CU79" s="13">
        <v>21</v>
      </c>
      <c r="CV79" s="13">
        <v>22</v>
      </c>
      <c r="CW79" s="13">
        <v>23</v>
      </c>
      <c r="CX79" s="13">
        <v>24</v>
      </c>
      <c r="CY79" s="13">
        <v>25</v>
      </c>
      <c r="CZ79" s="13">
        <v>26</v>
      </c>
      <c r="DA79" s="13">
        <v>27</v>
      </c>
    </row>
    <row r="80" spans="2:105" ht="22.5" customHeight="1" thickTop="1" thickBot="1" x14ac:dyDescent="0.3">
      <c r="B80" s="727" t="s">
        <v>97</v>
      </c>
      <c r="C80" s="727"/>
      <c r="D80" s="727"/>
      <c r="E80" s="727"/>
      <c r="F80" s="727"/>
      <c r="G80" s="727"/>
      <c r="H80" s="727"/>
      <c r="I80" s="727"/>
      <c r="J80" s="727"/>
      <c r="K80" s="727"/>
      <c r="L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X80" s="403"/>
      <c r="AY80" s="404"/>
      <c r="AZ80" s="404"/>
      <c r="BA80" s="404"/>
      <c r="BB80" s="12"/>
      <c r="BC80" s="12"/>
      <c r="BD80" s="12"/>
      <c r="BE80" s="12"/>
      <c r="BF80" s="12"/>
      <c r="BG80" s="12"/>
      <c r="BH80" s="12"/>
      <c r="BI80" s="12"/>
      <c r="BK80" s="57"/>
      <c r="BL80" s="57"/>
      <c r="BM80" s="57"/>
      <c r="BN80" s="57"/>
      <c r="BO80" s="57"/>
      <c r="BP80" s="57"/>
      <c r="BQ80" s="22"/>
      <c r="BR80" s="22"/>
      <c r="BS80" s="22"/>
      <c r="BT80" s="22"/>
      <c r="BU80" s="22"/>
      <c r="BV80" s="57"/>
      <c r="BW80" s="57"/>
      <c r="BX80" s="57"/>
      <c r="BY80" s="22"/>
      <c r="BZ80" s="22"/>
      <c r="CA80" s="22"/>
      <c r="CB80" s="22"/>
      <c r="CC80" s="22"/>
      <c r="CD80" s="22"/>
      <c r="CE80" s="424"/>
      <c r="CF80" s="424"/>
      <c r="CG80" s="424"/>
      <c r="CH80" s="424"/>
    </row>
    <row r="81" spans="2:108" ht="17.25" hidden="1" thickTop="1" thickBot="1" x14ac:dyDescent="0.3">
      <c r="B81" s="425"/>
      <c r="C81" s="425"/>
      <c r="D81" s="425"/>
      <c r="E81" s="426"/>
      <c r="F81" s="426"/>
      <c r="G81" s="426"/>
      <c r="H81" s="426"/>
      <c r="I81" s="426"/>
      <c r="J81" s="426"/>
      <c r="K81" s="426"/>
      <c r="L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X81" s="403"/>
      <c r="AY81" s="404"/>
      <c r="AZ81" s="404"/>
      <c r="BA81" s="404"/>
      <c r="BB81" s="12"/>
      <c r="BC81" s="12"/>
      <c r="BD81" s="12"/>
      <c r="BE81" s="12"/>
      <c r="BF81" s="12"/>
      <c r="BG81" s="12"/>
      <c r="BH81" s="12"/>
      <c r="BI81" s="12"/>
      <c r="BK81" s="57"/>
      <c r="BL81" s="57"/>
      <c r="BM81" s="57"/>
      <c r="BN81" s="57"/>
      <c r="BO81" s="57"/>
      <c r="BP81" s="57"/>
      <c r="BQ81" s="22"/>
      <c r="BR81" s="22"/>
      <c r="BS81" s="22"/>
      <c r="BT81" s="22"/>
      <c r="BU81" s="22"/>
      <c r="BV81" s="57"/>
      <c r="BW81" s="57"/>
      <c r="BX81" s="57"/>
      <c r="BY81" s="22"/>
      <c r="BZ81" s="22"/>
      <c r="CA81" s="22"/>
      <c r="CB81" s="22"/>
      <c r="CC81" s="22"/>
      <c r="CD81" s="22"/>
      <c r="CE81" s="22"/>
      <c r="CF81" s="58"/>
      <c r="CG81" s="58"/>
      <c r="CH81" s="58"/>
    </row>
    <row r="82" spans="2:108" ht="27" thickTop="1" thickBot="1" x14ac:dyDescent="0.4">
      <c r="B82" s="687" t="s">
        <v>89</v>
      </c>
      <c r="C82" s="422"/>
      <c r="D82" s="687" t="s">
        <v>90</v>
      </c>
      <c r="E82" s="725" t="s">
        <v>88</v>
      </c>
      <c r="F82" s="725"/>
      <c r="G82" s="725"/>
      <c r="H82" s="725"/>
      <c r="I82" s="725"/>
      <c r="J82" s="725"/>
      <c r="K82" s="725"/>
      <c r="L82" s="22"/>
      <c r="M82" s="13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7"/>
      <c r="AN82" s="427"/>
      <c r="AO82" s="427"/>
      <c r="AP82" s="427"/>
      <c r="AQ82" s="427"/>
      <c r="AR82" s="427"/>
      <c r="AS82" s="427"/>
      <c r="AT82" s="427"/>
      <c r="AU82" s="427"/>
      <c r="AV82" s="427"/>
      <c r="AW82" s="427"/>
      <c r="AX82" s="427"/>
      <c r="AY82" s="427"/>
      <c r="AZ82" s="428"/>
      <c r="BA82" s="428"/>
      <c r="BB82" s="12"/>
      <c r="BC82" s="12"/>
      <c r="BD82" s="12"/>
      <c r="BE82" s="12"/>
      <c r="BF82" s="12"/>
      <c r="BG82" s="12"/>
      <c r="BH82" s="12"/>
      <c r="BI82" s="12"/>
      <c r="BK82" s="57" t="s">
        <v>32</v>
      </c>
      <c r="BL82" s="57" t="s">
        <v>33</v>
      </c>
      <c r="BM82" s="57" t="s">
        <v>34</v>
      </c>
      <c r="BN82" s="57" t="s">
        <v>35</v>
      </c>
      <c r="BO82" s="57" t="s">
        <v>36</v>
      </c>
      <c r="BP82" s="57" t="s">
        <v>55</v>
      </c>
      <c r="BQ82" s="57" t="s">
        <v>16</v>
      </c>
      <c r="BR82" s="57" t="s">
        <v>56</v>
      </c>
      <c r="BS82" s="57" t="s">
        <v>57</v>
      </c>
      <c r="BT82" s="57" t="s">
        <v>58</v>
      </c>
      <c r="BU82" s="57" t="s">
        <v>59</v>
      </c>
      <c r="BV82" s="57" t="s">
        <v>15</v>
      </c>
      <c r="BW82" s="57" t="s">
        <v>60</v>
      </c>
      <c r="BX82" s="57">
        <v>1</v>
      </c>
      <c r="BY82" s="57">
        <v>2</v>
      </c>
      <c r="BZ82" s="57">
        <v>3</v>
      </c>
      <c r="CA82" s="57">
        <v>4</v>
      </c>
      <c r="CB82" s="57">
        <v>5</v>
      </c>
      <c r="CC82" s="57">
        <v>6</v>
      </c>
      <c r="CD82" s="57">
        <v>7</v>
      </c>
      <c r="CE82" s="57">
        <v>8</v>
      </c>
      <c r="CF82" s="429" t="s">
        <v>15</v>
      </c>
      <c r="CG82" s="429" t="s">
        <v>59</v>
      </c>
      <c r="CH82" s="429" t="s">
        <v>58</v>
      </c>
      <c r="CI82" s="54">
        <v>9</v>
      </c>
      <c r="CJ82" s="13">
        <v>10</v>
      </c>
      <c r="CK82" s="13">
        <v>11</v>
      </c>
      <c r="CL82" s="13">
        <v>12</v>
      </c>
      <c r="CM82" s="13">
        <v>13</v>
      </c>
      <c r="CN82" s="13">
        <v>14</v>
      </c>
      <c r="CO82" s="60" t="s">
        <v>60</v>
      </c>
      <c r="CP82" s="60" t="s">
        <v>15</v>
      </c>
      <c r="CQ82" s="60" t="s">
        <v>59</v>
      </c>
      <c r="CR82" s="60" t="s">
        <v>58</v>
      </c>
      <c r="CS82" s="60" t="s">
        <v>57</v>
      </c>
      <c r="CT82" s="60" t="s">
        <v>56</v>
      </c>
      <c r="CU82" s="60" t="s">
        <v>16</v>
      </c>
      <c r="CV82" s="60" t="s">
        <v>55</v>
      </c>
      <c r="CW82" s="60" t="s">
        <v>36</v>
      </c>
      <c r="CX82" s="60" t="s">
        <v>35</v>
      </c>
      <c r="CY82" s="60" t="s">
        <v>34</v>
      </c>
      <c r="CZ82" s="60" t="s">
        <v>33</v>
      </c>
      <c r="DA82" s="60" t="s">
        <v>32</v>
      </c>
    </row>
    <row r="83" spans="2:108" ht="27" hidden="1" thickTop="1" thickBot="1" x14ac:dyDescent="0.4">
      <c r="B83" s="430">
        <f>+D70/BG50</f>
        <v>172.05770157862122</v>
      </c>
      <c r="C83" s="422"/>
      <c r="D83" s="430">
        <f>+L70/E74</f>
        <v>439.59648978922331</v>
      </c>
      <c r="E83" s="731">
        <f>+L70/BK1</f>
        <v>182.48175182481754</v>
      </c>
      <c r="F83" s="731"/>
      <c r="G83" s="731"/>
      <c r="H83" s="731"/>
      <c r="I83" s="731"/>
      <c r="J83" s="731"/>
      <c r="K83" s="731"/>
      <c r="L83" s="22"/>
      <c r="M83" s="13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7"/>
      <c r="AN83" s="427"/>
      <c r="AO83" s="427"/>
      <c r="AP83" s="427"/>
      <c r="AQ83" s="427"/>
      <c r="AR83" s="427"/>
      <c r="AS83" s="427"/>
      <c r="AT83" s="427"/>
      <c r="AU83" s="427"/>
      <c r="AV83" s="427"/>
      <c r="AW83" s="427"/>
      <c r="AX83" s="427"/>
      <c r="AY83" s="427"/>
      <c r="AZ83" s="428"/>
      <c r="BA83" s="428"/>
      <c r="BB83" s="12"/>
      <c r="BC83" s="12"/>
      <c r="BD83" s="12"/>
      <c r="BE83" s="12"/>
      <c r="BF83" s="12"/>
      <c r="BG83" s="12"/>
      <c r="BH83" s="12"/>
      <c r="BI83" s="12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429"/>
      <c r="CG83" s="429"/>
      <c r="CH83" s="429"/>
      <c r="CI83" s="54"/>
    </row>
    <row r="84" spans="2:108" ht="27" thickTop="1" thickBot="1" x14ac:dyDescent="0.4">
      <c r="B84" s="688">
        <f>ABS(B83)</f>
        <v>172.05770157862122</v>
      </c>
      <c r="C84" s="422"/>
      <c r="D84" s="688">
        <f>+IF(B83&lt;&gt;TRUE,ABS(D83))</f>
        <v>439.59648978922331</v>
      </c>
      <c r="E84" s="726">
        <f t="shared" ref="E84:K84" si="9">+IF(AND(D83&lt;&gt;TRUE,B83&lt;&gt;TRUE),E83)</f>
        <v>182.48175182481754</v>
      </c>
      <c r="F84" s="726">
        <f t="shared" si="9"/>
        <v>0</v>
      </c>
      <c r="G84" s="726">
        <f t="shared" si="9"/>
        <v>0</v>
      </c>
      <c r="H84" s="726">
        <f t="shared" si="9"/>
        <v>0</v>
      </c>
      <c r="I84" s="726">
        <f t="shared" si="9"/>
        <v>0</v>
      </c>
      <c r="J84" s="726">
        <f t="shared" si="9"/>
        <v>0</v>
      </c>
      <c r="K84" s="726">
        <f t="shared" si="9"/>
        <v>0</v>
      </c>
      <c r="L84" s="22"/>
      <c r="M84" s="13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7"/>
      <c r="AN84" s="427"/>
      <c r="AO84" s="427"/>
      <c r="AP84" s="427"/>
      <c r="AQ84" s="427"/>
      <c r="AR84" s="427"/>
      <c r="AS84" s="427"/>
      <c r="AT84" s="427"/>
      <c r="AU84" s="427"/>
      <c r="AV84" s="427"/>
      <c r="AW84" s="427"/>
      <c r="AX84" s="427"/>
      <c r="AY84" s="427"/>
      <c r="AZ84" s="428"/>
      <c r="BA84" s="428"/>
      <c r="BB84" s="12"/>
      <c r="BC84" s="12"/>
      <c r="BD84" s="12"/>
      <c r="BE84" s="12"/>
      <c r="BF84" s="12"/>
      <c r="BG84" s="12"/>
      <c r="BH84" s="12"/>
      <c r="BI84" s="12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429"/>
      <c r="CG84" s="429"/>
      <c r="CH84" s="429"/>
      <c r="CI84" s="54"/>
    </row>
    <row r="85" spans="2:108" ht="26.25" thickTop="1" x14ac:dyDescent="0.35"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7"/>
      <c r="AN85" s="427"/>
      <c r="AO85" s="427"/>
      <c r="AP85" s="427"/>
      <c r="AQ85" s="427"/>
      <c r="AR85" s="427"/>
      <c r="AS85" s="427"/>
      <c r="AT85" s="427"/>
      <c r="AU85" s="427"/>
      <c r="AV85" s="427"/>
      <c r="AW85" s="427"/>
      <c r="AX85" s="427"/>
      <c r="AY85" s="427"/>
      <c r="AZ85" s="428"/>
      <c r="BA85" s="428"/>
      <c r="BB85" s="12"/>
      <c r="BC85" s="12"/>
      <c r="BD85" s="12"/>
      <c r="BE85" s="12"/>
      <c r="BF85" s="12"/>
      <c r="BG85" s="12"/>
      <c r="BH85" s="12"/>
      <c r="BI85" s="12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</row>
    <row r="86" spans="2:108" ht="30" hidden="1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431"/>
      <c r="N86" s="431"/>
      <c r="O86" s="432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2"/>
      <c r="AC86" s="432"/>
      <c r="AD86" s="432"/>
      <c r="AE86" s="432"/>
      <c r="AF86" s="432"/>
      <c r="AG86" s="432"/>
      <c r="AH86" s="432"/>
      <c r="AI86" s="432"/>
      <c r="AJ86" s="432"/>
      <c r="AK86" s="432"/>
      <c r="AL86" s="432"/>
      <c r="AM86" s="432"/>
      <c r="AN86" s="432"/>
      <c r="AO86" s="432"/>
      <c r="AP86" s="432"/>
      <c r="AQ86" s="432"/>
      <c r="AR86" s="432"/>
      <c r="AS86" s="432"/>
      <c r="AT86" s="432"/>
      <c r="AU86" s="432"/>
      <c r="AV86" s="432"/>
      <c r="AW86" s="432"/>
      <c r="AX86" s="432"/>
      <c r="AY86" s="432"/>
      <c r="BB86" s="12"/>
      <c r="BC86" s="12"/>
      <c r="BD86" s="12"/>
      <c r="BE86" s="12"/>
      <c r="BF86" s="12"/>
      <c r="BG86" s="12"/>
      <c r="BH86" s="12"/>
      <c r="BI86" s="12"/>
      <c r="BJ86" s="18"/>
      <c r="BK86" s="18"/>
      <c r="BL86" s="18"/>
      <c r="BM86" s="18"/>
      <c r="BN86" s="18"/>
      <c r="BO86" s="18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50"/>
    </row>
    <row r="87" spans="2:108" ht="30.75" hidden="1" thickBot="1" x14ac:dyDescent="0.3">
      <c r="B87" s="398"/>
      <c r="C87" s="398"/>
      <c r="M87" s="431"/>
      <c r="N87" s="431"/>
      <c r="O87" s="432"/>
      <c r="P87" s="432"/>
      <c r="Q87" s="432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2"/>
      <c r="AC87" s="432"/>
      <c r="AD87" s="432"/>
      <c r="AE87" s="432"/>
      <c r="AF87" s="432"/>
      <c r="AG87" s="432"/>
      <c r="AH87" s="432"/>
      <c r="AI87" s="432"/>
      <c r="AJ87" s="432"/>
      <c r="AK87" s="432"/>
      <c r="AL87" s="432"/>
      <c r="AM87" s="432"/>
      <c r="AN87" s="432"/>
      <c r="AO87" s="432"/>
      <c r="AP87" s="432"/>
      <c r="AQ87" s="432"/>
      <c r="AR87" s="432"/>
      <c r="AS87" s="432"/>
      <c r="AT87" s="432"/>
      <c r="AU87" s="432"/>
      <c r="AV87" s="432"/>
      <c r="AW87" s="432"/>
      <c r="AX87" s="432"/>
      <c r="AY87" s="432"/>
      <c r="BB87" s="12"/>
      <c r="BC87" s="12"/>
      <c r="BD87" s="12"/>
      <c r="BE87" s="12"/>
      <c r="BF87" s="12"/>
      <c r="BG87" s="12"/>
      <c r="BH87" s="12"/>
      <c r="BI87" s="12"/>
      <c r="BJ87" s="18"/>
      <c r="BK87" s="18"/>
      <c r="BL87" s="18"/>
      <c r="BM87" s="18"/>
      <c r="BN87" s="18"/>
      <c r="BO87" s="18"/>
      <c r="BP87" s="66"/>
      <c r="BX87" s="66"/>
      <c r="BY87" s="66"/>
      <c r="BZ87" s="66"/>
      <c r="CA87" s="66"/>
      <c r="CB87" s="66"/>
      <c r="CC87" s="66"/>
      <c r="CD87" s="50"/>
    </row>
    <row r="88" spans="2:108" ht="30.75" hidden="1" thickBot="1" x14ac:dyDescent="0.3">
      <c r="B88" s="398"/>
      <c r="C88" s="398"/>
      <c r="M88" s="431"/>
      <c r="N88" s="431"/>
      <c r="O88" s="432"/>
      <c r="P88" s="432"/>
      <c r="Q88" s="432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2"/>
      <c r="AC88" s="432"/>
      <c r="AD88" s="432"/>
      <c r="AE88" s="432"/>
      <c r="AF88" s="432"/>
      <c r="AG88" s="432"/>
      <c r="AH88" s="432"/>
      <c r="AI88" s="432"/>
      <c r="AJ88" s="432"/>
      <c r="AK88" s="432"/>
      <c r="AL88" s="432"/>
      <c r="AM88" s="432"/>
      <c r="AN88" s="432"/>
      <c r="AO88" s="432"/>
      <c r="AP88" s="432"/>
      <c r="AQ88" s="432"/>
      <c r="AR88" s="432"/>
      <c r="AS88" s="432"/>
      <c r="AT88" s="432"/>
      <c r="AU88" s="432"/>
      <c r="AV88" s="432"/>
      <c r="AW88" s="432"/>
      <c r="AX88" s="432"/>
      <c r="AY88" s="432"/>
      <c r="BB88" s="12"/>
      <c r="BC88" s="12"/>
      <c r="BD88" s="12"/>
      <c r="BE88" s="12"/>
      <c r="BF88" s="12"/>
      <c r="BG88" s="12"/>
      <c r="BH88" s="67" t="s">
        <v>64</v>
      </c>
      <c r="BI88" s="68">
        <f>-+BB105</f>
        <v>396.50000003923583</v>
      </c>
      <c r="BJ88" s="18"/>
      <c r="BK88" s="18"/>
      <c r="BL88" s="18"/>
      <c r="BM88" s="18"/>
      <c r="BN88" s="18"/>
      <c r="BO88" s="18"/>
      <c r="BP88" s="66"/>
      <c r="BX88" s="66"/>
      <c r="BY88" s="66"/>
      <c r="BZ88" s="66"/>
      <c r="CA88" s="66"/>
      <c r="CB88" s="66"/>
      <c r="CC88" s="66"/>
      <c r="CD88" s="50"/>
      <c r="DB88" s="69" t="s">
        <v>64</v>
      </c>
      <c r="DC88" s="70">
        <f>+-BB147</f>
        <v>-674.49999996076417</v>
      </c>
      <c r="DD88" s="71" t="s">
        <v>85</v>
      </c>
    </row>
    <row r="89" spans="2:108" ht="30" hidden="1" x14ac:dyDescent="0.25">
      <c r="B89" s="398"/>
      <c r="C89" s="398"/>
      <c r="M89" s="431"/>
      <c r="N89" s="431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32"/>
      <c r="AM89" s="432"/>
      <c r="AN89" s="432"/>
      <c r="AO89" s="432"/>
      <c r="AP89" s="432"/>
      <c r="AQ89" s="432"/>
      <c r="AR89" s="432"/>
      <c r="AS89" s="432"/>
      <c r="AT89" s="432"/>
      <c r="AU89" s="432"/>
      <c r="AV89" s="432"/>
      <c r="AW89" s="432"/>
      <c r="AX89" s="432"/>
      <c r="AY89" s="432"/>
      <c r="BB89" s="12"/>
      <c r="BC89" s="12"/>
      <c r="BD89" s="12"/>
      <c r="BE89" s="12"/>
      <c r="BF89" s="12"/>
      <c r="BG89" s="12"/>
      <c r="BH89" s="12"/>
      <c r="BI89" s="12"/>
      <c r="BJ89" s="18"/>
      <c r="BK89" s="18"/>
      <c r="BL89" s="18"/>
      <c r="BM89" s="18"/>
      <c r="BN89" s="18"/>
      <c r="BO89" s="18"/>
      <c r="BP89" s="66"/>
      <c r="BX89" s="66"/>
      <c r="BY89" s="66"/>
      <c r="BZ89" s="66"/>
      <c r="CA89" s="66"/>
      <c r="CB89" s="66"/>
      <c r="CC89" s="66"/>
      <c r="CD89" s="50"/>
    </row>
    <row r="90" spans="2:108" ht="30" hidden="1" x14ac:dyDescent="0.25">
      <c r="B90" s="398"/>
      <c r="C90" s="398"/>
      <c r="M90" s="431"/>
      <c r="N90" s="431"/>
      <c r="O90" s="432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  <c r="AL90" s="432"/>
      <c r="AM90" s="432"/>
      <c r="AN90" s="432"/>
      <c r="AO90" s="432"/>
      <c r="AP90" s="432"/>
      <c r="AQ90" s="432"/>
      <c r="AR90" s="432"/>
      <c r="AS90" s="432"/>
      <c r="AT90" s="432"/>
      <c r="AU90" s="432"/>
      <c r="AV90" s="432"/>
      <c r="AW90" s="432"/>
      <c r="AX90" s="432"/>
      <c r="AY90" s="432"/>
      <c r="BB90" s="12"/>
      <c r="BC90" s="12"/>
      <c r="BD90" s="12"/>
      <c r="BE90" s="12"/>
      <c r="BF90" s="12"/>
      <c r="BG90" s="12"/>
      <c r="BH90" s="12"/>
      <c r="BI90" s="12"/>
      <c r="BJ90" s="18"/>
      <c r="BK90" s="18"/>
      <c r="BL90" s="18"/>
      <c r="BM90" s="18"/>
      <c r="BN90" s="18"/>
      <c r="BO90" s="18"/>
      <c r="BP90" s="66"/>
      <c r="BX90" s="66"/>
      <c r="BY90" s="66"/>
      <c r="BZ90" s="66"/>
      <c r="CA90" s="66"/>
      <c r="CB90" s="66"/>
      <c r="CC90" s="66"/>
      <c r="CD90" s="50"/>
    </row>
    <row r="91" spans="2:108" ht="30" hidden="1" x14ac:dyDescent="0.25">
      <c r="B91" s="398"/>
      <c r="C91" s="398"/>
      <c r="M91" s="431"/>
      <c r="N91" s="431"/>
      <c r="O91" s="432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2"/>
      <c r="AC91" s="432"/>
      <c r="AD91" s="432"/>
      <c r="AE91" s="432"/>
      <c r="AF91" s="432"/>
      <c r="AG91" s="432"/>
      <c r="AH91" s="432"/>
      <c r="AI91" s="432"/>
      <c r="AJ91" s="432"/>
      <c r="AK91" s="432"/>
      <c r="AL91" s="432"/>
      <c r="AM91" s="432"/>
      <c r="AN91" s="432"/>
      <c r="AO91" s="432"/>
      <c r="AP91" s="432"/>
      <c r="AQ91" s="432"/>
      <c r="AR91" s="432"/>
      <c r="AS91" s="432"/>
      <c r="AT91" s="432"/>
      <c r="AU91" s="432"/>
      <c r="AV91" s="432"/>
      <c r="AW91" s="432"/>
      <c r="AX91" s="432"/>
      <c r="AY91" s="432"/>
      <c r="BB91" s="12"/>
      <c r="BC91" s="12"/>
      <c r="BD91" s="12"/>
      <c r="BE91" s="12"/>
      <c r="BF91" s="12"/>
      <c r="BG91" s="12"/>
      <c r="BH91" s="12"/>
      <c r="BI91" s="12"/>
      <c r="BJ91" s="18"/>
      <c r="BK91" s="18"/>
      <c r="BL91" s="18"/>
      <c r="BM91" s="18"/>
      <c r="BN91" s="18"/>
      <c r="BO91" s="18"/>
      <c r="BP91" s="66"/>
      <c r="BX91" s="66"/>
      <c r="BY91" s="66"/>
      <c r="BZ91" s="66"/>
      <c r="CA91" s="66"/>
      <c r="CB91" s="66"/>
      <c r="CC91" s="66"/>
      <c r="CD91" s="50"/>
    </row>
    <row r="92" spans="2:108" ht="30" hidden="1" x14ac:dyDescent="0.25">
      <c r="B92" s="398"/>
      <c r="C92" s="398"/>
      <c r="M92" s="431"/>
      <c r="N92" s="431"/>
      <c r="O92" s="432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2"/>
      <c r="AC92" s="432"/>
      <c r="AD92" s="432"/>
      <c r="AE92" s="432"/>
      <c r="AF92" s="432"/>
      <c r="AG92" s="432"/>
      <c r="AH92" s="432"/>
      <c r="AI92" s="432"/>
      <c r="AJ92" s="432"/>
      <c r="AK92" s="432"/>
      <c r="AL92" s="432"/>
      <c r="AM92" s="432"/>
      <c r="AN92" s="432"/>
      <c r="AO92" s="432"/>
      <c r="AP92" s="432"/>
      <c r="AQ92" s="432"/>
      <c r="AR92" s="432"/>
      <c r="AS92" s="432"/>
      <c r="AT92" s="432"/>
      <c r="AU92" s="432"/>
      <c r="AV92" s="432"/>
      <c r="AW92" s="432"/>
      <c r="AX92" s="432"/>
      <c r="AY92" s="432"/>
      <c r="BB92" s="12"/>
      <c r="BC92" s="12"/>
      <c r="BD92" s="12"/>
      <c r="BE92" s="12"/>
      <c r="BF92" s="12"/>
      <c r="BG92" s="12"/>
      <c r="BH92" s="12"/>
      <c r="BI92" s="12"/>
      <c r="BJ92" s="18"/>
      <c r="BK92" s="18"/>
      <c r="BL92" s="18"/>
      <c r="BM92" s="18"/>
      <c r="BN92" s="18"/>
      <c r="BO92" s="18"/>
      <c r="BP92" s="66"/>
      <c r="BX92" s="66"/>
      <c r="BY92" s="66"/>
      <c r="BZ92" s="66"/>
      <c r="CA92" s="66"/>
      <c r="CB92" s="66"/>
      <c r="CC92" s="66"/>
      <c r="CD92" s="50"/>
    </row>
    <row r="93" spans="2:108" ht="30" hidden="1" x14ac:dyDescent="0.25">
      <c r="B93" s="398"/>
      <c r="C93" s="398"/>
      <c r="M93" s="431"/>
      <c r="N93" s="431"/>
      <c r="O93" s="432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  <c r="AL93" s="432"/>
      <c r="AM93" s="432"/>
      <c r="AN93" s="432"/>
      <c r="AO93" s="432"/>
      <c r="AP93" s="432"/>
      <c r="AQ93" s="432"/>
      <c r="AR93" s="432"/>
      <c r="AS93" s="432"/>
      <c r="AT93" s="432"/>
      <c r="AU93" s="432"/>
      <c r="AV93" s="432"/>
      <c r="AW93" s="432"/>
      <c r="AX93" s="432"/>
      <c r="AY93" s="432"/>
      <c r="BB93" s="12"/>
      <c r="BC93" s="12"/>
      <c r="BD93" s="12"/>
      <c r="BE93" s="12"/>
      <c r="BF93" s="12"/>
      <c r="BG93" s="12"/>
      <c r="BH93" s="12"/>
      <c r="BI93" s="12"/>
      <c r="BJ93" s="18"/>
      <c r="BK93" s="18"/>
      <c r="BL93" s="18"/>
      <c r="BM93" s="18"/>
      <c r="BN93" s="18"/>
      <c r="BO93" s="18"/>
      <c r="BP93" s="66"/>
      <c r="BX93" s="66"/>
      <c r="BY93" s="66"/>
      <c r="BZ93" s="66"/>
      <c r="CA93" s="66"/>
      <c r="CB93" s="66"/>
      <c r="CC93" s="66"/>
      <c r="CD93" s="50"/>
    </row>
    <row r="94" spans="2:108" ht="30" hidden="1" x14ac:dyDescent="0.25">
      <c r="B94" s="398"/>
      <c r="C94" s="398"/>
      <c r="M94" s="431"/>
      <c r="N94" s="431"/>
      <c r="O94" s="432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2"/>
      <c r="AC94" s="432"/>
      <c r="AD94" s="432"/>
      <c r="AE94" s="432"/>
      <c r="AF94" s="432"/>
      <c r="AG94" s="432"/>
      <c r="AH94" s="432"/>
      <c r="AI94" s="432"/>
      <c r="AJ94" s="432"/>
      <c r="AK94" s="432"/>
      <c r="AL94" s="432"/>
      <c r="AM94" s="432"/>
      <c r="AN94" s="432"/>
      <c r="AO94" s="432"/>
      <c r="AP94" s="432"/>
      <c r="AQ94" s="432"/>
      <c r="AR94" s="432"/>
      <c r="AS94" s="432"/>
      <c r="AT94" s="432"/>
      <c r="AU94" s="432"/>
      <c r="AV94" s="432"/>
      <c r="AW94" s="432"/>
      <c r="AX94" s="432"/>
      <c r="AY94" s="432"/>
      <c r="BB94" s="12"/>
      <c r="BC94" s="12"/>
      <c r="BD94" s="12"/>
      <c r="BE94" s="12"/>
      <c r="BF94" s="12"/>
      <c r="BG94" s="12"/>
      <c r="BH94" s="12"/>
      <c r="BI94" s="12"/>
      <c r="BJ94" s="18"/>
      <c r="BK94" s="18"/>
      <c r="BL94" s="18"/>
      <c r="BM94" s="18"/>
      <c r="BN94" s="18"/>
      <c r="BO94" s="18"/>
      <c r="BP94" s="66"/>
      <c r="BX94" s="66"/>
      <c r="BY94" s="66"/>
      <c r="BZ94" s="66"/>
      <c r="CA94" s="66"/>
      <c r="CB94" s="66"/>
      <c r="CC94" s="66"/>
      <c r="CD94" s="50"/>
    </row>
    <row r="95" spans="2:108" ht="30" x14ac:dyDescent="0.25">
      <c r="D95" s="431"/>
      <c r="E95" s="431"/>
      <c r="F95" s="431"/>
      <c r="G95" s="431"/>
      <c r="H95" s="431"/>
      <c r="I95" s="431"/>
      <c r="J95" s="431"/>
      <c r="K95" s="431"/>
      <c r="L95" s="431"/>
      <c r="M95" s="431"/>
      <c r="N95" s="431"/>
      <c r="O95" s="432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  <c r="AL95" s="432"/>
      <c r="AM95" s="432"/>
      <c r="AN95" s="432"/>
      <c r="AO95" s="432"/>
      <c r="AP95" s="432"/>
      <c r="AQ95" s="432"/>
      <c r="AR95" s="432"/>
      <c r="AS95" s="432"/>
      <c r="AT95" s="432"/>
      <c r="AU95" s="432"/>
      <c r="AV95" s="432"/>
      <c r="AW95" s="432"/>
      <c r="AX95" s="432"/>
      <c r="AY95" s="432"/>
      <c r="BB95" s="12"/>
      <c r="BC95" s="12"/>
      <c r="BD95" s="12"/>
      <c r="BE95" s="12"/>
      <c r="BF95" s="12"/>
      <c r="BG95" s="12"/>
      <c r="BH95" s="12"/>
      <c r="BI95" s="12"/>
      <c r="BJ95" s="18"/>
      <c r="BK95" s="18"/>
      <c r="BL95" s="18"/>
      <c r="BM95" s="18"/>
      <c r="BN95" s="18"/>
      <c r="BO95" s="18"/>
      <c r="BP95" s="66"/>
      <c r="BX95" s="66"/>
      <c r="BY95" s="66"/>
      <c r="BZ95" s="66"/>
      <c r="CA95" s="66"/>
      <c r="CB95" s="66"/>
      <c r="CC95" s="66"/>
    </row>
    <row r="96" spans="2:108" ht="30" x14ac:dyDescent="0.25"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2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  <c r="AF96" s="432"/>
      <c r="AG96" s="432"/>
      <c r="AH96" s="432"/>
      <c r="AI96" s="432"/>
      <c r="AJ96" s="432"/>
      <c r="AK96" s="432"/>
      <c r="AL96" s="432"/>
      <c r="AM96" s="432"/>
      <c r="AN96" s="432"/>
      <c r="AO96" s="432"/>
      <c r="AP96" s="432"/>
      <c r="AQ96" s="432"/>
      <c r="AR96" s="432"/>
      <c r="AS96" s="432"/>
      <c r="AT96" s="432"/>
      <c r="AU96" s="432"/>
      <c r="AV96" s="432"/>
      <c r="AW96" s="432"/>
      <c r="AX96" s="432"/>
      <c r="AY96" s="432"/>
      <c r="BB96" s="12"/>
      <c r="BC96" s="12"/>
      <c r="BD96" s="12"/>
      <c r="BE96" s="12"/>
      <c r="BF96" s="12"/>
      <c r="BG96" s="12"/>
      <c r="BH96" s="12"/>
      <c r="BI96" s="12"/>
      <c r="BJ96" s="18"/>
      <c r="BK96" s="18"/>
      <c r="BL96" s="18"/>
      <c r="BM96" s="18"/>
      <c r="BN96" s="18"/>
      <c r="BO96" s="18"/>
      <c r="BP96" s="66"/>
      <c r="BX96" s="66"/>
      <c r="BY96" s="66"/>
      <c r="BZ96" s="66"/>
      <c r="CA96" s="66"/>
      <c r="CB96" s="66"/>
      <c r="CC96" s="66"/>
    </row>
    <row r="97" spans="2:88" ht="16.5" thickBot="1" x14ac:dyDescent="0.3">
      <c r="B97" s="666"/>
      <c r="C97" s="666"/>
      <c r="D97" s="665"/>
      <c r="E97" s="431"/>
      <c r="F97" s="431"/>
      <c r="G97" s="431"/>
      <c r="H97" s="431"/>
      <c r="I97" s="431"/>
      <c r="J97" s="431"/>
      <c r="K97" s="431"/>
      <c r="L97" s="431"/>
      <c r="M97" s="431"/>
      <c r="N97" s="431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50"/>
      <c r="AX97" s="403"/>
      <c r="AY97" s="404"/>
      <c r="BB97" s="12"/>
      <c r="BC97" s="12"/>
      <c r="BD97" s="12"/>
      <c r="BE97" s="12"/>
      <c r="BF97" s="12"/>
      <c r="BG97" s="12"/>
      <c r="BH97" s="12"/>
      <c r="BI97" s="12"/>
      <c r="BJ97" s="18"/>
      <c r="BK97" s="18"/>
      <c r="BL97" s="18"/>
      <c r="BM97" s="18"/>
      <c r="BN97" s="18"/>
      <c r="BO97" s="18"/>
      <c r="BP97" s="66"/>
      <c r="BX97" s="66"/>
      <c r="BY97" s="66"/>
      <c r="BZ97" s="66"/>
      <c r="CA97" s="66"/>
      <c r="CB97" s="66"/>
      <c r="CC97" s="66"/>
    </row>
    <row r="98" spans="2:88" ht="21" thickBot="1" x14ac:dyDescent="0.35">
      <c r="B98" s="717" t="s">
        <v>95</v>
      </c>
      <c r="D98" s="433"/>
      <c r="E98" s="433"/>
      <c r="F98" s="433"/>
      <c r="G98" s="433"/>
      <c r="H98" s="433"/>
      <c r="I98" s="433"/>
      <c r="J98" s="433"/>
      <c r="K98" s="433"/>
      <c r="M98" s="431"/>
      <c r="N98" s="431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50"/>
      <c r="AX98" s="403"/>
      <c r="AY98" s="404"/>
      <c r="AZ98" s="404"/>
      <c r="BA98" s="404"/>
      <c r="BB98" s="12"/>
      <c r="BC98" s="12"/>
      <c r="BD98" s="12"/>
      <c r="BE98" s="12"/>
      <c r="BF98" s="12"/>
      <c r="BG98" s="12"/>
      <c r="BJ98" s="434"/>
      <c r="BM98" s="18"/>
      <c r="BN98" s="18"/>
      <c r="BO98" s="18"/>
      <c r="BP98" s="66"/>
      <c r="BX98" s="66"/>
      <c r="BY98" s="66"/>
      <c r="BZ98" s="66"/>
      <c r="CA98" s="66"/>
      <c r="CB98" s="66"/>
      <c r="CC98" s="66"/>
    </row>
    <row r="99" spans="2:88" ht="44.25" customHeight="1" thickBot="1" x14ac:dyDescent="0.35">
      <c r="B99" s="718"/>
      <c r="C99" s="435"/>
      <c r="D99" s="657" t="str">
        <f>IF(BI88&gt;0," ","change the angle of frame or of cabinets")</f>
        <v xml:space="preserve"> </v>
      </c>
      <c r="E99" s="436"/>
      <c r="F99" s="436"/>
      <c r="G99" s="436"/>
      <c r="H99" s="436"/>
      <c r="I99" s="436"/>
      <c r="J99" s="436"/>
      <c r="K99" s="436"/>
      <c r="M99" s="436"/>
      <c r="N99" s="436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8"/>
      <c r="AD99" s="438"/>
      <c r="AE99" s="438"/>
      <c r="AF99" s="438"/>
      <c r="AG99" s="438"/>
      <c r="AH99" s="438"/>
      <c r="AI99" s="438"/>
      <c r="AJ99" s="438"/>
      <c r="AK99" s="438"/>
      <c r="AL99" s="438"/>
      <c r="AM99" s="438"/>
      <c r="AN99" s="438"/>
      <c r="AO99" s="438"/>
      <c r="AP99" s="438"/>
      <c r="AQ99" s="438"/>
      <c r="AR99" s="438"/>
      <c r="AS99" s="438"/>
      <c r="AT99" s="438"/>
      <c r="AU99" s="438"/>
      <c r="AV99" s="438"/>
      <c r="AW99" s="50"/>
      <c r="AX99" s="438"/>
      <c r="AY99" s="438"/>
      <c r="AZ99" s="439"/>
      <c r="BA99" s="439"/>
      <c r="BB99" s="12"/>
      <c r="BC99" s="12"/>
      <c r="BD99" s="12"/>
      <c r="BE99" s="12"/>
      <c r="BF99" s="12"/>
      <c r="BG99" s="12"/>
      <c r="BH99" s="440"/>
      <c r="BJ99" s="434"/>
      <c r="BM99" s="18"/>
      <c r="BN99" s="18"/>
      <c r="BO99" s="18"/>
      <c r="BX99" s="66"/>
      <c r="BY99" s="66"/>
      <c r="BZ99" s="66"/>
      <c r="CA99" s="66"/>
      <c r="CB99" s="66"/>
      <c r="CC99" s="66"/>
      <c r="CJ99" s="441"/>
    </row>
    <row r="100" spans="2:88" ht="44.25" customHeight="1" thickBot="1" x14ac:dyDescent="0.45">
      <c r="B100" s="500">
        <v>0</v>
      </c>
      <c r="D100" s="656" t="str">
        <f>IF(DC88&lt;0," ","change the angle of frame or of cabinets")</f>
        <v xml:space="preserve"> </v>
      </c>
      <c r="E100" s="436"/>
      <c r="F100" s="436"/>
      <c r="G100" s="436"/>
      <c r="H100" s="436"/>
      <c r="I100" s="436"/>
      <c r="J100" s="436"/>
      <c r="K100" s="436"/>
      <c r="M100" s="436"/>
      <c r="N100" s="436"/>
      <c r="O100" s="437"/>
      <c r="P100" s="437"/>
      <c r="Q100" s="437"/>
      <c r="R100" s="437"/>
      <c r="S100" s="437"/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8"/>
      <c r="AD100" s="438"/>
      <c r="AE100" s="438"/>
      <c r="AF100" s="438"/>
      <c r="AG100" s="438"/>
      <c r="AH100" s="438"/>
      <c r="AI100" s="438"/>
      <c r="AJ100" s="438"/>
      <c r="AK100" s="438"/>
      <c r="AL100" s="438"/>
      <c r="AM100" s="438"/>
      <c r="AN100" s="438"/>
      <c r="AO100" s="438"/>
      <c r="AP100" s="438"/>
      <c r="AQ100" s="438"/>
      <c r="AR100" s="438"/>
      <c r="AS100" s="438"/>
      <c r="AT100" s="438"/>
      <c r="AU100" s="438"/>
      <c r="AV100" s="438"/>
      <c r="AW100" s="50"/>
      <c r="AX100" s="438"/>
      <c r="AY100" s="438"/>
      <c r="AZ100" s="439"/>
      <c r="BA100" s="439"/>
      <c r="BB100" s="12"/>
      <c r="BC100" s="12"/>
      <c r="BD100" s="12"/>
      <c r="BE100" s="12"/>
      <c r="BF100" s="12"/>
      <c r="BG100" s="12"/>
      <c r="BH100" s="12"/>
      <c r="BI100" s="12"/>
      <c r="BJ100" s="18"/>
      <c r="BK100" s="18"/>
      <c r="BL100" s="18"/>
      <c r="BM100" s="18"/>
      <c r="BN100" s="18"/>
      <c r="BO100" s="18"/>
      <c r="BX100" s="66"/>
      <c r="BY100" s="66"/>
      <c r="BZ100" s="66"/>
      <c r="CA100" s="66"/>
      <c r="CB100" s="66"/>
      <c r="CC100" s="66"/>
    </row>
    <row r="101" spans="2:88" ht="44.25" customHeight="1" thickBot="1" x14ac:dyDescent="0.35">
      <c r="B101" s="719" t="s">
        <v>37</v>
      </c>
      <c r="C101" s="553"/>
      <c r="D101" s="554" t="str">
        <f>IF(BI88&gt;(+COS(($B$100*-1)*3.14159265358979/180)*318.75)," ","USE EXBAR TR AT THE FRONT")</f>
        <v xml:space="preserve"> </v>
      </c>
      <c r="E101" s="436"/>
      <c r="F101" s="436"/>
      <c r="G101" s="436"/>
      <c r="H101" s="436"/>
      <c r="I101" s="436"/>
      <c r="J101" s="436"/>
      <c r="K101" s="436"/>
      <c r="M101" s="436"/>
      <c r="N101" s="436"/>
      <c r="O101" s="437"/>
      <c r="P101" s="437"/>
      <c r="Q101" s="437"/>
      <c r="R101" s="437"/>
      <c r="S101" s="437"/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8"/>
      <c r="AD101" s="438"/>
      <c r="AE101" s="438"/>
      <c r="AF101" s="438"/>
      <c r="AG101" s="438"/>
      <c r="AH101" s="438"/>
      <c r="AI101" s="438"/>
      <c r="AJ101" s="438"/>
      <c r="AK101" s="438"/>
      <c r="AL101" s="438"/>
      <c r="AM101" s="438"/>
      <c r="AN101" s="438"/>
      <c r="AO101" s="438"/>
      <c r="AP101" s="438"/>
      <c r="AQ101" s="438"/>
      <c r="AR101" s="438"/>
      <c r="AS101" s="438"/>
      <c r="AT101" s="438"/>
      <c r="AU101" s="438"/>
      <c r="AV101" s="438"/>
      <c r="AW101" s="50"/>
      <c r="AX101" s="442" t="b">
        <f>AND(B78="O K",D101="USE EXBAR 12 AT THE FRONT")</f>
        <v>0</v>
      </c>
      <c r="AY101" s="438" t="str">
        <f>IF(AX101=TRUE,"USE EXBAR 12 AT THE FRONT","")</f>
        <v/>
      </c>
      <c r="BC101" s="443"/>
      <c r="BD101" s="443"/>
      <c r="BE101" s="443"/>
      <c r="BF101" s="443"/>
      <c r="BG101" s="443"/>
      <c r="BH101" s="443"/>
      <c r="BI101" s="443"/>
      <c r="BJ101" s="18"/>
      <c r="BK101" s="18"/>
      <c r="BL101" s="18"/>
      <c r="BM101" s="18"/>
      <c r="BN101" s="18"/>
      <c r="BO101" s="18"/>
      <c r="BX101" s="66"/>
      <c r="BY101" s="66"/>
      <c r="BZ101" s="66"/>
      <c r="CA101" s="66"/>
      <c r="CB101" s="66"/>
      <c r="CC101" s="66"/>
    </row>
    <row r="102" spans="2:88" ht="44.25" customHeight="1" thickBot="1" x14ac:dyDescent="0.4">
      <c r="B102" s="720"/>
      <c r="C102" s="553"/>
      <c r="D102" s="568" t="str">
        <f>IF(DC88&lt;-(+COS(($B$100*-1)*3.14159265358979/180)*318.75)," ","USE EXBAR TR AT THE BACK")</f>
        <v xml:space="preserve"> </v>
      </c>
      <c r="E102" s="436"/>
      <c r="F102" s="436"/>
      <c r="G102" s="436"/>
      <c r="H102" s="436"/>
      <c r="I102" s="436"/>
      <c r="J102" s="436"/>
      <c r="K102" s="436"/>
      <c r="M102" s="436"/>
      <c r="N102" s="436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8"/>
      <c r="AD102" s="438"/>
      <c r="AE102" s="438"/>
      <c r="AF102" s="438"/>
      <c r="AG102" s="438"/>
      <c r="AH102" s="438"/>
      <c r="AI102" s="438"/>
      <c r="AJ102" s="438"/>
      <c r="AK102" s="438"/>
      <c r="AL102" s="438"/>
      <c r="AM102" s="438"/>
      <c r="AN102" s="438"/>
      <c r="AO102" s="438"/>
      <c r="AP102" s="438"/>
      <c r="AQ102" s="438"/>
      <c r="AR102" s="438"/>
      <c r="AS102" s="438"/>
      <c r="AT102" s="438"/>
      <c r="AU102" s="438"/>
      <c r="AV102" s="438"/>
      <c r="AW102" s="50"/>
      <c r="AX102" s="442" t="b">
        <f>AND(B78="O K",D102="USE EXBAR 12 AT THE BACK")</f>
        <v>0</v>
      </c>
      <c r="AY102" s="438" t="str">
        <f>IF(AX102=TRUE,"USE EXBAR 12 AT THE BACK","")</f>
        <v/>
      </c>
      <c r="BC102" s="404"/>
      <c r="BD102" s="404"/>
      <c r="BE102" s="404"/>
      <c r="BF102" s="404"/>
      <c r="BG102" s="404"/>
      <c r="BH102" s="404"/>
      <c r="BI102" s="404"/>
      <c r="BJ102" s="18"/>
      <c r="BK102" s="18"/>
      <c r="BL102" s="18"/>
      <c r="BM102" s="18"/>
      <c r="BN102" s="18"/>
      <c r="BO102" s="444"/>
      <c r="BX102" s="66"/>
      <c r="BY102" s="66"/>
      <c r="BZ102" s="66"/>
      <c r="CA102" s="66"/>
      <c r="CB102" s="66"/>
      <c r="CC102" s="66"/>
    </row>
    <row r="103" spans="2:88" ht="27" thickBot="1" x14ac:dyDescent="0.45">
      <c r="B103" s="501">
        <v>1</v>
      </c>
      <c r="C103" s="445"/>
      <c r="D103" s="446" t="s">
        <v>96</v>
      </c>
      <c r="E103" s="447"/>
      <c r="F103" s="447"/>
      <c r="G103" s="447"/>
      <c r="H103" s="447"/>
      <c r="I103" s="447"/>
      <c r="J103" s="447"/>
      <c r="K103" s="447"/>
      <c r="L103" s="447"/>
      <c r="M103" s="447"/>
      <c r="N103" s="447"/>
      <c r="O103" s="448"/>
      <c r="P103" s="448"/>
      <c r="Q103" s="448"/>
      <c r="R103" s="448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9"/>
      <c r="AC103" s="450"/>
      <c r="AD103" s="450"/>
      <c r="AE103" s="450"/>
      <c r="AF103" s="450"/>
      <c r="AG103" s="450"/>
      <c r="AH103" s="450"/>
      <c r="AI103" s="450"/>
      <c r="AJ103" s="450"/>
      <c r="AK103" s="450"/>
      <c r="AL103" s="450"/>
      <c r="AM103" s="450"/>
      <c r="AN103" s="450"/>
      <c r="AO103" s="450"/>
      <c r="AP103" s="450"/>
      <c r="AQ103" s="450"/>
      <c r="AR103" s="450"/>
      <c r="AS103" s="450"/>
      <c r="AT103" s="450"/>
      <c r="AU103" s="450"/>
      <c r="AV103" s="450"/>
      <c r="AW103" s="50"/>
      <c r="AX103" s="50"/>
      <c r="BB103" s="404"/>
      <c r="BC103" s="404"/>
      <c r="BD103" s="404"/>
      <c r="BE103" s="404"/>
      <c r="BF103" s="404"/>
      <c r="BG103" s="404"/>
      <c r="BH103" s="404"/>
      <c r="BI103" s="404"/>
      <c r="BJ103" s="18"/>
      <c r="BK103" s="18"/>
      <c r="BL103" s="18"/>
      <c r="BM103" s="18"/>
      <c r="BN103" s="18"/>
      <c r="BO103" s="18"/>
      <c r="BX103" s="66"/>
      <c r="BY103" s="66"/>
      <c r="BZ103" s="66"/>
      <c r="CA103" s="66"/>
      <c r="CB103" s="66"/>
      <c r="CC103" s="66"/>
    </row>
    <row r="104" spans="2:88" ht="18.75" thickBot="1" x14ac:dyDescent="0.3">
      <c r="B104" s="451"/>
      <c r="C104" s="452"/>
      <c r="M104" s="117"/>
      <c r="O104" s="453" t="s">
        <v>4</v>
      </c>
      <c r="P104" s="453" t="s">
        <v>59</v>
      </c>
      <c r="Q104" s="454" t="s">
        <v>0</v>
      </c>
      <c r="R104" s="454" t="s">
        <v>2</v>
      </c>
      <c r="S104" s="454" t="s">
        <v>3</v>
      </c>
      <c r="T104" s="454" t="s">
        <v>8</v>
      </c>
      <c r="U104" s="454" t="s">
        <v>5</v>
      </c>
      <c r="V104" s="454" t="s">
        <v>6</v>
      </c>
      <c r="W104" s="454" t="s">
        <v>7</v>
      </c>
      <c r="X104" s="454" t="s">
        <v>9</v>
      </c>
      <c r="Y104" s="454" t="s">
        <v>10</v>
      </c>
      <c r="Z104" s="454" t="s">
        <v>11</v>
      </c>
      <c r="AA104" s="455" t="s">
        <v>12</v>
      </c>
      <c r="AB104" s="456"/>
      <c r="AC104" s="456"/>
      <c r="AD104" s="457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7"/>
      <c r="AT104" s="457"/>
      <c r="AU104" s="721" t="s">
        <v>54</v>
      </c>
      <c r="AV104" s="722"/>
      <c r="AW104" s="50"/>
      <c r="AX104" s="458"/>
      <c r="AY104" s="259" t="s">
        <v>92</v>
      </c>
      <c r="AZ104" s="545"/>
      <c r="BA104" s="547" t="s">
        <v>162</v>
      </c>
      <c r="BB104" s="260"/>
      <c r="BC104" s="260"/>
      <c r="BD104" s="260"/>
      <c r="BE104" s="260"/>
      <c r="CC104" s="57"/>
    </row>
    <row r="105" spans="2:88" ht="48" thickBot="1" x14ac:dyDescent="0.3">
      <c r="B105" s="459"/>
      <c r="C105" s="460"/>
      <c r="D105" s="509" t="s">
        <v>23</v>
      </c>
      <c r="E105" s="728" t="s">
        <v>139</v>
      </c>
      <c r="F105" s="729"/>
      <c r="G105" s="729"/>
      <c r="H105" s="729"/>
      <c r="I105" s="729"/>
      <c r="J105" s="729"/>
      <c r="K105" s="730"/>
      <c r="L105" s="510"/>
      <c r="M105" s="460" t="s">
        <v>51</v>
      </c>
      <c r="N105" s="461"/>
      <c r="O105" s="453"/>
      <c r="P105" s="453"/>
      <c r="Q105" s="462"/>
      <c r="R105" s="462"/>
      <c r="S105" s="462"/>
      <c r="T105" s="462"/>
      <c r="U105" s="462"/>
      <c r="V105" s="462"/>
      <c r="W105" s="462"/>
      <c r="X105" s="462"/>
      <c r="Y105" s="462"/>
      <c r="Z105" s="462"/>
      <c r="AA105" s="463"/>
      <c r="AB105" s="464"/>
      <c r="AC105" s="464"/>
      <c r="AD105" s="465"/>
      <c r="AE105" s="464" t="s">
        <v>46</v>
      </c>
      <c r="AF105" s="464" t="s">
        <v>39</v>
      </c>
      <c r="AG105" s="137" t="s">
        <v>98</v>
      </c>
      <c r="AH105" s="466" t="s">
        <v>40</v>
      </c>
      <c r="AI105" s="137" t="s">
        <v>41</v>
      </c>
      <c r="AJ105" s="137" t="s">
        <v>99</v>
      </c>
      <c r="AK105" s="464" t="s">
        <v>42</v>
      </c>
      <c r="AL105" s="137" t="s">
        <v>43</v>
      </c>
      <c r="AM105" s="464" t="s">
        <v>44</v>
      </c>
      <c r="AN105" s="464" t="s">
        <v>45</v>
      </c>
      <c r="AO105" s="464" t="s">
        <v>47</v>
      </c>
      <c r="AP105" s="464" t="s">
        <v>48</v>
      </c>
      <c r="AQ105" s="467" t="s">
        <v>49</v>
      </c>
      <c r="AR105" s="467" t="s">
        <v>50</v>
      </c>
      <c r="AS105" s="468" t="s">
        <v>24</v>
      </c>
      <c r="AT105" s="468" t="s">
        <v>25</v>
      </c>
      <c r="AU105" s="469" t="s">
        <v>24</v>
      </c>
      <c r="AV105" s="469" t="s">
        <v>25</v>
      </c>
      <c r="AW105" s="50"/>
      <c r="AY105" s="261">
        <v>-13</v>
      </c>
      <c r="AZ105" s="546">
        <v>-331.5</v>
      </c>
      <c r="BA105" s="540">
        <f>+COS(($B$100*-1)*3.14159265358979/180)*AZ105</f>
        <v>-331.5</v>
      </c>
      <c r="BB105" s="548">
        <f>+BA105-E$19</f>
        <v>-396.50000003923583</v>
      </c>
      <c r="BC105" s="262">
        <f t="shared" ref="BC105:BC147" si="10">ABS(BB105)</f>
        <v>396.50000003923583</v>
      </c>
      <c r="BD105" s="262">
        <f t="shared" ref="BD105:BD147" si="11">MIN($BC$105:$BC$147)</f>
        <v>11.499999960764171</v>
      </c>
      <c r="BE105" s="262" t="b">
        <f t="shared" ref="BE105:BE147" si="12">IF(BD105=BC105,AY105)</f>
        <v>0</v>
      </c>
    </row>
    <row r="106" spans="2:88" ht="18.75" thickBot="1" x14ac:dyDescent="0.3">
      <c r="B106" s="470">
        <v>1</v>
      </c>
      <c r="C106" s="471">
        <f>+($B$100*-1)+D106</f>
        <v>0</v>
      </c>
      <c r="D106" s="502">
        <v>0</v>
      </c>
      <c r="E106" s="472">
        <v>-6</v>
      </c>
      <c r="F106" s="473">
        <v>-4</v>
      </c>
      <c r="G106" s="473">
        <v>-2</v>
      </c>
      <c r="H106" s="473">
        <v>0</v>
      </c>
      <c r="I106" s="473">
        <v>2</v>
      </c>
      <c r="J106" s="473">
        <v>4</v>
      </c>
      <c r="K106" s="474">
        <v>6</v>
      </c>
      <c r="L106" s="475" t="s">
        <v>105</v>
      </c>
      <c r="M106" s="476">
        <f>+N106</f>
        <v>0</v>
      </c>
      <c r="N106" s="477">
        <f>+D106</f>
        <v>0</v>
      </c>
      <c r="O106" s="152">
        <v>118.90260000000001</v>
      </c>
      <c r="P106" s="152">
        <v>83.076694799999999</v>
      </c>
      <c r="Q106" s="454">
        <f>+P106-C106</f>
        <v>83.076694799999999</v>
      </c>
      <c r="R106" s="454">
        <f t="shared" ref="R106:R129" si="13">+Q106/2</f>
        <v>41.538347399999999</v>
      </c>
      <c r="S106" s="454">
        <f t="shared" ref="S106:S129" si="14">SIN(R106*3.14159265358979/180)</f>
        <v>0.66312116713723779</v>
      </c>
      <c r="T106" s="454">
        <f t="shared" ref="T106:T129" si="15">+S106*O106</f>
        <v>78.846830887652132</v>
      </c>
      <c r="U106" s="454">
        <f t="shared" ref="U106:U129" si="16">+T106*2</f>
        <v>157.69366177530426</v>
      </c>
      <c r="V106" s="454">
        <f>+C106/2</f>
        <v>0</v>
      </c>
      <c r="W106" s="454">
        <f t="shared" ref="W106:W129" si="17">SIN(V106*3.14159265358979/180)</f>
        <v>0</v>
      </c>
      <c r="X106" s="454">
        <f t="shared" ref="X106:X129" si="18">+W106*U106</f>
        <v>0</v>
      </c>
      <c r="Y106" s="453">
        <v>89</v>
      </c>
      <c r="Z106" s="454">
        <f>+Y106+X106</f>
        <v>89</v>
      </c>
      <c r="AA106" s="454">
        <f t="shared" ref="AA106:AA129" si="19">+Z106</f>
        <v>89</v>
      </c>
      <c r="AC106" s="478">
        <f t="shared" ref="AC106:AC129" si="20">IF(B106&lt;($B$103+1),AA106,0)</f>
        <v>89</v>
      </c>
      <c r="AD106" s="479" t="str">
        <f>IF(AT106&lt;0,"pin in groundstacking hole"," ")</f>
        <v xml:space="preserve"> </v>
      </c>
      <c r="AE106" s="478">
        <f>SUM(AC106:AC129)/($B$103)</f>
        <v>89</v>
      </c>
      <c r="AF106" s="480">
        <f>+C106</f>
        <v>0</v>
      </c>
      <c r="AG106" s="481">
        <f>70.6301791-AF106</f>
        <v>70.630179100000007</v>
      </c>
      <c r="AH106" s="482">
        <f t="shared" ref="AH106:AH129" si="21">SIN(AG106*3.14159265358979/180)</f>
        <v>0.94339748455555306</v>
      </c>
      <c r="AI106" s="483">
        <f>+AH106*132.9087</f>
        <v>125.38573325554864</v>
      </c>
      <c r="AJ106" s="481">
        <f>48.461653+AF106</f>
        <v>48.461652999999998</v>
      </c>
      <c r="AK106" s="484">
        <f>SIN(AJ106*3.14159265358979/180)</f>
        <v>0.74851207380038831</v>
      </c>
      <c r="AL106" s="483">
        <f>+AK106*118.9026</f>
        <v>89.000031706258056</v>
      </c>
      <c r="AM106" s="483">
        <f>9.9*B103</f>
        <v>9.9</v>
      </c>
      <c r="AN106" s="485">
        <f>+AL106+AI106</f>
        <v>214.3857649618067</v>
      </c>
      <c r="AO106" s="485">
        <f>+AC106-AL106</f>
        <v>-3.1706258056374281E-5</v>
      </c>
      <c r="AP106" s="485">
        <f>+AE106-AO106</f>
        <v>89.000031706258056</v>
      </c>
      <c r="AQ106" s="486">
        <f>+((AN106-AP106)/AN106)*AM106</f>
        <v>5.7901174522994818</v>
      </c>
      <c r="AR106" s="486">
        <f>+(AP106/AN106)*AM106</f>
        <v>4.1098825477005194</v>
      </c>
      <c r="AS106" s="487">
        <f>2*$D$71/AQ106</f>
        <v>1381.6645458241762</v>
      </c>
      <c r="AT106" s="488">
        <f>$L$71/AR106</f>
        <v>1070.590205177956</v>
      </c>
      <c r="AU106" s="489">
        <f>ABS(AS106)</f>
        <v>1381.6645458241762</v>
      </c>
      <c r="AV106" s="490">
        <f>ABS(AT106)</f>
        <v>1070.590205177956</v>
      </c>
      <c r="AW106" s="491" t="s">
        <v>138</v>
      </c>
      <c r="AY106" s="261">
        <v>-12</v>
      </c>
      <c r="AZ106" s="546">
        <f t="shared" ref="AZ106:AZ147" si="22">+AZ105+25.5</f>
        <v>-306</v>
      </c>
      <c r="BA106" s="540">
        <f>+BA105+$F$18</f>
        <v>-306</v>
      </c>
      <c r="BB106" s="548">
        <f t="shared" ref="BB106:BB147" si="23">+BA106-E$19</f>
        <v>-371.00000003923583</v>
      </c>
      <c r="BC106" s="262">
        <f t="shared" si="10"/>
        <v>371.00000003923583</v>
      </c>
      <c r="BD106" s="262">
        <f t="shared" si="11"/>
        <v>11.499999960764171</v>
      </c>
      <c r="BE106" s="262" t="b">
        <f t="shared" si="12"/>
        <v>0</v>
      </c>
      <c r="BI106" s="79"/>
    </row>
    <row r="107" spans="2:88" ht="18.75" thickBot="1" x14ac:dyDescent="0.3">
      <c r="B107" s="492">
        <v>2</v>
      </c>
      <c r="C107" s="493"/>
      <c r="D107" s="502">
        <v>0</v>
      </c>
      <c r="E107" s="494">
        <v>0</v>
      </c>
      <c r="F107" s="495">
        <v>1</v>
      </c>
      <c r="G107" s="495" t="e">
        <f>IF(AD107="pin in groundstacking hole",4,3)</f>
        <v>#DIV/0!</v>
      </c>
      <c r="H107" s="495">
        <v>5</v>
      </c>
      <c r="I107" s="495" t="e">
        <f>IF(AD107="pin in groundstacking hole","",7)</f>
        <v>#DIV/0!</v>
      </c>
      <c r="J107" s="495">
        <v>9</v>
      </c>
      <c r="K107" s="496">
        <v>12</v>
      </c>
      <c r="L107" s="475" t="e">
        <f>IF(AD107="pin in groundstacking hole","0;1;4;5;9;12","0;1;3;5;7;9;12")</f>
        <v>#DIV/0!</v>
      </c>
      <c r="M107" s="477" t="e">
        <f>IF(N107=8.3,8,N107)</f>
        <v>#DIV/0!</v>
      </c>
      <c r="N107" s="497" t="e">
        <f t="shared" ref="N107:N129" si="24">+D107+AW107</f>
        <v>#DIV/0!</v>
      </c>
      <c r="O107" s="152">
        <v>118.90260000000001</v>
      </c>
      <c r="P107" s="152">
        <v>83.076694799999999</v>
      </c>
      <c r="Q107" s="454">
        <f t="shared" ref="Q107:Q129" si="25">+P107-D107</f>
        <v>83.076694799999999</v>
      </c>
      <c r="R107" s="454">
        <f t="shared" si="13"/>
        <v>41.538347399999999</v>
      </c>
      <c r="S107" s="454">
        <f>SIN(R107*3.14159265358979/180)</f>
        <v>0.66312116713723779</v>
      </c>
      <c r="T107" s="454">
        <f t="shared" si="15"/>
        <v>78.846830887652132</v>
      </c>
      <c r="U107" s="454">
        <f t="shared" si="16"/>
        <v>157.69366177530426</v>
      </c>
      <c r="V107" s="454">
        <f>+C106+(D107/2)</f>
        <v>0</v>
      </c>
      <c r="W107" s="454">
        <f t="shared" si="17"/>
        <v>0</v>
      </c>
      <c r="X107" s="454">
        <f t="shared" si="18"/>
        <v>0</v>
      </c>
      <c r="Y107" s="454">
        <f t="shared" ref="Y107:Y129" si="26">+AA106</f>
        <v>89</v>
      </c>
      <c r="Z107" s="454">
        <f>+Y107+X107</f>
        <v>89</v>
      </c>
      <c r="AA107" s="454">
        <f t="shared" si="19"/>
        <v>89</v>
      </c>
      <c r="AC107" s="478">
        <f t="shared" si="20"/>
        <v>0</v>
      </c>
      <c r="AD107" s="479" t="e">
        <f>IF(AT107&lt;0,"pin in groundstacking hole"," ")</f>
        <v>#DIV/0!</v>
      </c>
      <c r="AE107" s="478" t="e">
        <f t="shared" ref="AE107:AE129" si="27">SUM(AC107:AC130)/($B$103-B106)</f>
        <v>#DIV/0!</v>
      </c>
      <c r="AF107" s="480">
        <f>SUM(D107)+$C$106</f>
        <v>0</v>
      </c>
      <c r="AG107" s="481">
        <f t="shared" ref="AG107:AG129" si="28">70.6301791-AF107</f>
        <v>70.630179100000007</v>
      </c>
      <c r="AH107" s="482">
        <f t="shared" si="21"/>
        <v>0.94339748455555306</v>
      </c>
      <c r="AI107" s="483">
        <f t="shared" ref="AI107:AI129" si="29">+AH107*132.9087</f>
        <v>125.38573325554864</v>
      </c>
      <c r="AJ107" s="481">
        <f t="shared" ref="AJ107:AJ129" si="30">48.461653+AF107</f>
        <v>48.461652999999998</v>
      </c>
      <c r="AK107" s="484">
        <f t="shared" ref="AK107:AK129" si="31">SIN(AJ107*3.14159265358979/180)</f>
        <v>0.74851207380038831</v>
      </c>
      <c r="AL107" s="483">
        <f t="shared" ref="AL107:AL129" si="32">+AK107*118.9026</f>
        <v>89.000031706258056</v>
      </c>
      <c r="AM107" s="483">
        <f>9.9*($B$103-B106)</f>
        <v>0</v>
      </c>
      <c r="AN107" s="485">
        <f t="shared" ref="AN107:AN129" si="33">+AL107+AI107</f>
        <v>214.3857649618067</v>
      </c>
      <c r="AO107" s="485">
        <f>+AC107-AL107</f>
        <v>-89.000031706258056</v>
      </c>
      <c r="AP107" s="485" t="e">
        <f>+AE107-AO107</f>
        <v>#DIV/0!</v>
      </c>
      <c r="AQ107" s="486" t="e">
        <f t="shared" ref="AQ107:AQ129" si="34">+((AN107-AP107)/AN107)*AM107</f>
        <v>#DIV/0!</v>
      </c>
      <c r="AR107" s="486" t="e">
        <f t="shared" ref="AR107:AR129" si="35">+(AP107/AN107)*AM107</f>
        <v>#DIV/0!</v>
      </c>
      <c r="AS107" s="487" t="e">
        <f t="shared" ref="AS107:AS129" si="36">2*$D$71/AQ107</f>
        <v>#DIV/0!</v>
      </c>
      <c r="AT107" s="488" t="e">
        <f t="shared" ref="AT107:AT129" si="37">$L$71/AR107</f>
        <v>#DIV/0!</v>
      </c>
      <c r="AU107" s="489" t="e">
        <f t="shared" ref="AU107:AV129" si="38">ABS(AS107)</f>
        <v>#DIV/0!</v>
      </c>
      <c r="AV107" s="490" t="e">
        <f t="shared" si="38"/>
        <v>#DIV/0!</v>
      </c>
      <c r="AW107" s="491" t="e">
        <f t="shared" ref="AW107:AW129" si="39">IF(AT107&lt;0,0.3,0)</f>
        <v>#DIV/0!</v>
      </c>
      <c r="AY107" s="261">
        <v>-11</v>
      </c>
      <c r="AZ107" s="546">
        <f t="shared" si="22"/>
        <v>-280.5</v>
      </c>
      <c r="BA107" s="540">
        <f t="shared" ref="BA107:BA147" si="40">+BA106+$F$18</f>
        <v>-280.5</v>
      </c>
      <c r="BB107" s="548">
        <f t="shared" si="23"/>
        <v>-345.50000003923583</v>
      </c>
      <c r="BC107" s="262">
        <f t="shared" si="10"/>
        <v>345.50000003923583</v>
      </c>
      <c r="BD107" s="262">
        <f t="shared" si="11"/>
        <v>11.499999960764171</v>
      </c>
      <c r="BE107" s="262" t="b">
        <f t="shared" si="12"/>
        <v>0</v>
      </c>
      <c r="BI107" s="79"/>
    </row>
    <row r="108" spans="2:88" ht="18.75" thickBot="1" x14ac:dyDescent="0.3">
      <c r="B108" s="492">
        <v>3</v>
      </c>
      <c r="C108" s="493"/>
      <c r="D108" s="502">
        <v>0</v>
      </c>
      <c r="E108" s="494">
        <v>0</v>
      </c>
      <c r="F108" s="495">
        <v>1</v>
      </c>
      <c r="G108" s="495">
        <f>IF(AD108="pin in groundstacking hole",4,3)</f>
        <v>4</v>
      </c>
      <c r="H108" s="495">
        <v>5</v>
      </c>
      <c r="I108" s="495" t="str">
        <f>IF(AD108="pin in groundstacking hole","",7)</f>
        <v/>
      </c>
      <c r="J108" s="495">
        <v>9</v>
      </c>
      <c r="K108" s="496">
        <v>12</v>
      </c>
      <c r="L108" s="475" t="str">
        <f t="shared" ref="L108:L129" si="41">IF(AD108="pin in groundstacking hole","0;1;4;5;9;12","0;1;3;5;7;9;12")</f>
        <v>0;1;4;5;9;12</v>
      </c>
      <c r="M108" s="476">
        <f t="shared" ref="M108:M129" si="42">IF(N108=8.3,8,N108)</f>
        <v>0.3</v>
      </c>
      <c r="N108" s="497">
        <f t="shared" si="24"/>
        <v>0.3</v>
      </c>
      <c r="O108" s="152">
        <v>118.90260000000001</v>
      </c>
      <c r="P108" s="152">
        <v>83.076694799999999</v>
      </c>
      <c r="Q108" s="454">
        <f t="shared" si="25"/>
        <v>83.076694799999999</v>
      </c>
      <c r="R108" s="454">
        <f t="shared" si="13"/>
        <v>41.538347399999999</v>
      </c>
      <c r="S108" s="454">
        <f t="shared" si="14"/>
        <v>0.66312116713723779</v>
      </c>
      <c r="T108" s="454">
        <f t="shared" si="15"/>
        <v>78.846830887652132</v>
      </c>
      <c r="U108" s="454">
        <f t="shared" si="16"/>
        <v>157.69366177530426</v>
      </c>
      <c r="V108" s="454">
        <f>+C106+D107+(D108/2)</f>
        <v>0</v>
      </c>
      <c r="W108" s="454">
        <f t="shared" si="17"/>
        <v>0</v>
      </c>
      <c r="X108" s="454">
        <f t="shared" si="18"/>
        <v>0</v>
      </c>
      <c r="Y108" s="454">
        <f t="shared" si="26"/>
        <v>89</v>
      </c>
      <c r="Z108" s="454">
        <f t="shared" ref="Z108:Z129" si="43">+Z107+X108</f>
        <v>89</v>
      </c>
      <c r="AA108" s="454">
        <f t="shared" si="19"/>
        <v>89</v>
      </c>
      <c r="AC108" s="478">
        <f t="shared" si="20"/>
        <v>0</v>
      </c>
      <c r="AD108" s="479" t="str">
        <f t="shared" ref="AD108:AD129" si="44">IF(AT108&lt;0,"pin in groundstacking hole"," ")</f>
        <v>pin in groundstacking hole</v>
      </c>
      <c r="AE108" s="478">
        <f t="shared" si="27"/>
        <v>0</v>
      </c>
      <c r="AF108" s="480">
        <f>SUM(D107:D108)+$C$106</f>
        <v>0</v>
      </c>
      <c r="AG108" s="481">
        <f t="shared" si="28"/>
        <v>70.630179100000007</v>
      </c>
      <c r="AH108" s="482">
        <f t="shared" si="21"/>
        <v>0.94339748455555306</v>
      </c>
      <c r="AI108" s="483">
        <f t="shared" si="29"/>
        <v>125.38573325554864</v>
      </c>
      <c r="AJ108" s="481">
        <f t="shared" si="30"/>
        <v>48.461652999999998</v>
      </c>
      <c r="AK108" s="484">
        <f t="shared" si="31"/>
        <v>0.74851207380038831</v>
      </c>
      <c r="AL108" s="483">
        <f t="shared" si="32"/>
        <v>89.000031706258056</v>
      </c>
      <c r="AM108" s="483">
        <f t="shared" ref="AM108:AM129" si="45">9.9*($B$103-B107)</f>
        <v>-9.9</v>
      </c>
      <c r="AN108" s="485">
        <f t="shared" si="33"/>
        <v>214.3857649618067</v>
      </c>
      <c r="AO108" s="485">
        <f>+AC108-AL108</f>
        <v>-89.000031706258056</v>
      </c>
      <c r="AP108" s="485">
        <f>+AE108-AO108</f>
        <v>89.000031706258056</v>
      </c>
      <c r="AQ108" s="486">
        <f t="shared" si="34"/>
        <v>-5.7901174522994818</v>
      </c>
      <c r="AR108" s="486">
        <f t="shared" si="35"/>
        <v>-4.1098825477005194</v>
      </c>
      <c r="AS108" s="487">
        <f t="shared" si="36"/>
        <v>-1381.6645458241762</v>
      </c>
      <c r="AT108" s="488">
        <f t="shared" si="37"/>
        <v>-1070.590205177956</v>
      </c>
      <c r="AU108" s="489">
        <f t="shared" si="38"/>
        <v>1381.6645458241762</v>
      </c>
      <c r="AV108" s="490">
        <f t="shared" si="38"/>
        <v>1070.590205177956</v>
      </c>
      <c r="AW108" s="491">
        <f t="shared" si="39"/>
        <v>0.3</v>
      </c>
      <c r="AY108" s="261">
        <v>-10</v>
      </c>
      <c r="AZ108" s="546">
        <f t="shared" si="22"/>
        <v>-255</v>
      </c>
      <c r="BA108" s="540">
        <f t="shared" si="40"/>
        <v>-255</v>
      </c>
      <c r="BB108" s="548">
        <f t="shared" si="23"/>
        <v>-320.00000003923583</v>
      </c>
      <c r="BC108" s="262">
        <f t="shared" si="10"/>
        <v>320.00000003923583</v>
      </c>
      <c r="BD108" s="262">
        <f t="shared" si="11"/>
        <v>11.499999960764171</v>
      </c>
      <c r="BE108" s="262" t="b">
        <f t="shared" si="12"/>
        <v>0</v>
      </c>
      <c r="BI108" s="79"/>
      <c r="BJ108" s="54"/>
    </row>
    <row r="109" spans="2:88" ht="18.75" thickBot="1" x14ac:dyDescent="0.3">
      <c r="B109" s="492">
        <v>4</v>
      </c>
      <c r="C109" s="493"/>
      <c r="D109" s="502">
        <v>0</v>
      </c>
      <c r="E109" s="494">
        <v>0</v>
      </c>
      <c r="F109" s="495">
        <v>1</v>
      </c>
      <c r="G109" s="495">
        <f>IF(AD109="pin in groundstacking hole",4,3)</f>
        <v>4</v>
      </c>
      <c r="H109" s="495">
        <v>5</v>
      </c>
      <c r="I109" s="495" t="str">
        <f>IF(AD109="pin in groundstacking hole","",7)</f>
        <v/>
      </c>
      <c r="J109" s="495">
        <v>9</v>
      </c>
      <c r="K109" s="496">
        <v>12</v>
      </c>
      <c r="L109" s="475" t="str">
        <f t="shared" si="41"/>
        <v>0;1;4;5;9;12</v>
      </c>
      <c r="M109" s="476">
        <f t="shared" si="42"/>
        <v>0.3</v>
      </c>
      <c r="N109" s="497">
        <f t="shared" si="24"/>
        <v>0.3</v>
      </c>
      <c r="O109" s="152">
        <v>118.90260000000001</v>
      </c>
      <c r="P109" s="152">
        <v>83.076694799999999</v>
      </c>
      <c r="Q109" s="454">
        <f t="shared" si="25"/>
        <v>83.076694799999999</v>
      </c>
      <c r="R109" s="454">
        <f t="shared" si="13"/>
        <v>41.538347399999999</v>
      </c>
      <c r="S109" s="454">
        <f t="shared" si="14"/>
        <v>0.66312116713723779</v>
      </c>
      <c r="T109" s="454">
        <f t="shared" si="15"/>
        <v>78.846830887652132</v>
      </c>
      <c r="U109" s="454">
        <f t="shared" si="16"/>
        <v>157.69366177530426</v>
      </c>
      <c r="V109" s="454">
        <f>+C106+D107+D108+(D109/2)</f>
        <v>0</v>
      </c>
      <c r="W109" s="454">
        <f t="shared" si="17"/>
        <v>0</v>
      </c>
      <c r="X109" s="454">
        <f t="shared" si="18"/>
        <v>0</v>
      </c>
      <c r="Y109" s="454">
        <f t="shared" si="26"/>
        <v>89</v>
      </c>
      <c r="Z109" s="454">
        <f t="shared" si="43"/>
        <v>89</v>
      </c>
      <c r="AA109" s="454">
        <f t="shared" si="19"/>
        <v>89</v>
      </c>
      <c r="AC109" s="478">
        <f t="shared" si="20"/>
        <v>0</v>
      </c>
      <c r="AD109" s="479" t="str">
        <f t="shared" si="44"/>
        <v>pin in groundstacking hole</v>
      </c>
      <c r="AE109" s="478">
        <f t="shared" si="27"/>
        <v>0</v>
      </c>
      <c r="AF109" s="480">
        <f>SUM(D107:D109)+$C$106</f>
        <v>0</v>
      </c>
      <c r="AG109" s="481">
        <f t="shared" si="28"/>
        <v>70.630179100000007</v>
      </c>
      <c r="AH109" s="482">
        <f t="shared" si="21"/>
        <v>0.94339748455555306</v>
      </c>
      <c r="AI109" s="483">
        <f t="shared" si="29"/>
        <v>125.38573325554864</v>
      </c>
      <c r="AJ109" s="481">
        <f t="shared" si="30"/>
        <v>48.461652999999998</v>
      </c>
      <c r="AK109" s="484">
        <f t="shared" si="31"/>
        <v>0.74851207380038831</v>
      </c>
      <c r="AL109" s="483">
        <f t="shared" si="32"/>
        <v>89.000031706258056</v>
      </c>
      <c r="AM109" s="483">
        <f t="shared" si="45"/>
        <v>-19.8</v>
      </c>
      <c r="AN109" s="485">
        <f t="shared" si="33"/>
        <v>214.3857649618067</v>
      </c>
      <c r="AO109" s="485">
        <f>+AC109-AL109</f>
        <v>-89.000031706258056</v>
      </c>
      <c r="AP109" s="485">
        <f t="shared" ref="AP109:AP129" si="46">+AE109-AO109</f>
        <v>89.000031706258056</v>
      </c>
      <c r="AQ109" s="486">
        <f t="shared" si="34"/>
        <v>-11.580234904598964</v>
      </c>
      <c r="AR109" s="486">
        <f t="shared" si="35"/>
        <v>-8.2197650954010388</v>
      </c>
      <c r="AS109" s="487">
        <f t="shared" si="36"/>
        <v>-690.83227291208811</v>
      </c>
      <c r="AT109" s="488">
        <f t="shared" si="37"/>
        <v>-535.29510258897801</v>
      </c>
      <c r="AU109" s="489">
        <f t="shared" si="38"/>
        <v>690.83227291208811</v>
      </c>
      <c r="AV109" s="490">
        <f t="shared" si="38"/>
        <v>535.29510258897801</v>
      </c>
      <c r="AW109" s="491">
        <f t="shared" si="39"/>
        <v>0.3</v>
      </c>
      <c r="AY109" s="261">
        <v>-9</v>
      </c>
      <c r="AZ109" s="546">
        <f t="shared" si="22"/>
        <v>-229.5</v>
      </c>
      <c r="BA109" s="540">
        <f t="shared" si="40"/>
        <v>-229.5</v>
      </c>
      <c r="BB109" s="548">
        <f t="shared" si="23"/>
        <v>-294.50000003923583</v>
      </c>
      <c r="BC109" s="262">
        <f t="shared" si="10"/>
        <v>294.50000003923583</v>
      </c>
      <c r="BD109" s="262">
        <f t="shared" si="11"/>
        <v>11.499999960764171</v>
      </c>
      <c r="BE109" s="262" t="b">
        <f t="shared" si="12"/>
        <v>0</v>
      </c>
      <c r="BI109" s="79"/>
      <c r="BJ109" s="54"/>
    </row>
    <row r="110" spans="2:88" ht="18.75" thickBot="1" x14ac:dyDescent="0.3">
      <c r="B110" s="492">
        <v>5</v>
      </c>
      <c r="C110" s="493"/>
      <c r="D110" s="502">
        <v>0</v>
      </c>
      <c r="E110" s="494">
        <v>0</v>
      </c>
      <c r="F110" s="495">
        <v>1</v>
      </c>
      <c r="G110" s="495">
        <f t="shared" ref="G110:G129" si="47">IF(AD110="pin in groundstacking hole",4,3)</f>
        <v>4</v>
      </c>
      <c r="H110" s="495">
        <v>5</v>
      </c>
      <c r="I110" s="495" t="str">
        <f t="shared" ref="I110:I129" si="48">IF(AD110="pin in groundstacking hole","",7)</f>
        <v/>
      </c>
      <c r="J110" s="495">
        <v>9</v>
      </c>
      <c r="K110" s="496">
        <v>12</v>
      </c>
      <c r="L110" s="475" t="str">
        <f t="shared" si="41"/>
        <v>0;1;4;5;9;12</v>
      </c>
      <c r="M110" s="476">
        <f t="shared" si="42"/>
        <v>0.3</v>
      </c>
      <c r="N110" s="497">
        <f t="shared" si="24"/>
        <v>0.3</v>
      </c>
      <c r="O110" s="152">
        <v>118.90260000000001</v>
      </c>
      <c r="P110" s="152">
        <v>83.076694799999999</v>
      </c>
      <c r="Q110" s="454">
        <f t="shared" si="25"/>
        <v>83.076694799999999</v>
      </c>
      <c r="R110" s="454">
        <f t="shared" si="13"/>
        <v>41.538347399999999</v>
      </c>
      <c r="S110" s="454">
        <f t="shared" si="14"/>
        <v>0.66312116713723779</v>
      </c>
      <c r="T110" s="454">
        <f t="shared" si="15"/>
        <v>78.846830887652132</v>
      </c>
      <c r="U110" s="454">
        <f t="shared" si="16"/>
        <v>157.69366177530426</v>
      </c>
      <c r="V110" s="454">
        <f>+C106+D107+D108+D109+(D110/2)</f>
        <v>0</v>
      </c>
      <c r="W110" s="454">
        <f t="shared" si="17"/>
        <v>0</v>
      </c>
      <c r="X110" s="454">
        <f t="shared" si="18"/>
        <v>0</v>
      </c>
      <c r="Y110" s="454">
        <f t="shared" si="26"/>
        <v>89</v>
      </c>
      <c r="Z110" s="454">
        <f t="shared" si="43"/>
        <v>89</v>
      </c>
      <c r="AA110" s="454">
        <f t="shared" si="19"/>
        <v>89</v>
      </c>
      <c r="AC110" s="478">
        <f t="shared" si="20"/>
        <v>0</v>
      </c>
      <c r="AD110" s="479" t="str">
        <f t="shared" si="44"/>
        <v>pin in groundstacking hole</v>
      </c>
      <c r="AE110" s="478">
        <f t="shared" si="27"/>
        <v>0</v>
      </c>
      <c r="AF110" s="480">
        <f>SUM(D107:D110)+$C$106</f>
        <v>0</v>
      </c>
      <c r="AG110" s="481">
        <f t="shared" si="28"/>
        <v>70.630179100000007</v>
      </c>
      <c r="AH110" s="482">
        <f t="shared" si="21"/>
        <v>0.94339748455555306</v>
      </c>
      <c r="AI110" s="483">
        <f t="shared" si="29"/>
        <v>125.38573325554864</v>
      </c>
      <c r="AJ110" s="481">
        <f t="shared" si="30"/>
        <v>48.461652999999998</v>
      </c>
      <c r="AK110" s="484">
        <f t="shared" si="31"/>
        <v>0.74851207380038831</v>
      </c>
      <c r="AL110" s="483">
        <f t="shared" si="32"/>
        <v>89.000031706258056</v>
      </c>
      <c r="AM110" s="483">
        <f t="shared" si="45"/>
        <v>-29.700000000000003</v>
      </c>
      <c r="AN110" s="485">
        <f t="shared" si="33"/>
        <v>214.3857649618067</v>
      </c>
      <c r="AO110" s="485">
        <f t="shared" ref="AO110:AO129" si="49">+AC110-AL110</f>
        <v>-89.000031706258056</v>
      </c>
      <c r="AP110" s="485">
        <f t="shared" si="46"/>
        <v>89.000031706258056</v>
      </c>
      <c r="AQ110" s="486">
        <f t="shared" si="34"/>
        <v>-17.370352356898447</v>
      </c>
      <c r="AR110" s="486">
        <f t="shared" si="35"/>
        <v>-12.329647643101559</v>
      </c>
      <c r="AS110" s="487">
        <f t="shared" si="36"/>
        <v>-460.55484860805871</v>
      </c>
      <c r="AT110" s="488">
        <f t="shared" si="37"/>
        <v>-356.86340172598534</v>
      </c>
      <c r="AU110" s="489">
        <f t="shared" si="38"/>
        <v>460.55484860805871</v>
      </c>
      <c r="AV110" s="490">
        <f t="shared" si="38"/>
        <v>356.86340172598534</v>
      </c>
      <c r="AW110" s="491">
        <f t="shared" si="39"/>
        <v>0.3</v>
      </c>
      <c r="AY110" s="261">
        <v>-8</v>
      </c>
      <c r="AZ110" s="546">
        <f t="shared" si="22"/>
        <v>-204</v>
      </c>
      <c r="BA110" s="540">
        <f t="shared" si="40"/>
        <v>-204</v>
      </c>
      <c r="BB110" s="548">
        <f t="shared" si="23"/>
        <v>-269.00000003923583</v>
      </c>
      <c r="BC110" s="262">
        <f t="shared" si="10"/>
        <v>269.00000003923583</v>
      </c>
      <c r="BD110" s="262">
        <f t="shared" si="11"/>
        <v>11.499999960764171</v>
      </c>
      <c r="BE110" s="262" t="b">
        <f t="shared" si="12"/>
        <v>0</v>
      </c>
      <c r="BI110" s="79"/>
      <c r="BJ110" s="54"/>
    </row>
    <row r="111" spans="2:88" ht="18.75" thickBot="1" x14ac:dyDescent="0.3">
      <c r="B111" s="492">
        <v>6</v>
      </c>
      <c r="C111" s="493"/>
      <c r="D111" s="502">
        <v>0</v>
      </c>
      <c r="E111" s="494">
        <v>0</v>
      </c>
      <c r="F111" s="495">
        <v>1</v>
      </c>
      <c r="G111" s="495">
        <f t="shared" si="47"/>
        <v>4</v>
      </c>
      <c r="H111" s="495">
        <v>5</v>
      </c>
      <c r="I111" s="495" t="str">
        <f t="shared" si="48"/>
        <v/>
      </c>
      <c r="J111" s="495">
        <v>9</v>
      </c>
      <c r="K111" s="496">
        <v>12</v>
      </c>
      <c r="L111" s="475" t="str">
        <f t="shared" si="41"/>
        <v>0;1;4;5;9;12</v>
      </c>
      <c r="M111" s="476">
        <f t="shared" si="42"/>
        <v>0.3</v>
      </c>
      <c r="N111" s="497">
        <f t="shared" si="24"/>
        <v>0.3</v>
      </c>
      <c r="O111" s="152">
        <v>118.90260000000001</v>
      </c>
      <c r="P111" s="152">
        <v>83.076694799999999</v>
      </c>
      <c r="Q111" s="454">
        <f t="shared" si="25"/>
        <v>83.076694799999999</v>
      </c>
      <c r="R111" s="454">
        <f t="shared" si="13"/>
        <v>41.538347399999999</v>
      </c>
      <c r="S111" s="454">
        <f t="shared" si="14"/>
        <v>0.66312116713723779</v>
      </c>
      <c r="T111" s="454">
        <f t="shared" si="15"/>
        <v>78.846830887652132</v>
      </c>
      <c r="U111" s="454">
        <f t="shared" si="16"/>
        <v>157.69366177530426</v>
      </c>
      <c r="V111" s="454">
        <f>+C106+D107+D108+D109+D110+(D111/2)</f>
        <v>0</v>
      </c>
      <c r="W111" s="454">
        <f t="shared" si="17"/>
        <v>0</v>
      </c>
      <c r="X111" s="454">
        <f t="shared" si="18"/>
        <v>0</v>
      </c>
      <c r="Y111" s="454">
        <f t="shared" si="26"/>
        <v>89</v>
      </c>
      <c r="Z111" s="454">
        <f t="shared" si="43"/>
        <v>89</v>
      </c>
      <c r="AA111" s="454">
        <f t="shared" si="19"/>
        <v>89</v>
      </c>
      <c r="AC111" s="478">
        <f t="shared" si="20"/>
        <v>0</v>
      </c>
      <c r="AD111" s="479" t="str">
        <f t="shared" si="44"/>
        <v>pin in groundstacking hole</v>
      </c>
      <c r="AE111" s="478">
        <f t="shared" si="27"/>
        <v>0</v>
      </c>
      <c r="AF111" s="480">
        <f>SUM(D107:D111)+$C$106</f>
        <v>0</v>
      </c>
      <c r="AG111" s="481">
        <f t="shared" si="28"/>
        <v>70.630179100000007</v>
      </c>
      <c r="AH111" s="482">
        <f t="shared" si="21"/>
        <v>0.94339748455555306</v>
      </c>
      <c r="AI111" s="483">
        <f t="shared" si="29"/>
        <v>125.38573325554864</v>
      </c>
      <c r="AJ111" s="481">
        <f t="shared" si="30"/>
        <v>48.461652999999998</v>
      </c>
      <c r="AK111" s="484">
        <f t="shared" si="31"/>
        <v>0.74851207380038831</v>
      </c>
      <c r="AL111" s="483">
        <f t="shared" si="32"/>
        <v>89.000031706258056</v>
      </c>
      <c r="AM111" s="483">
        <f t="shared" si="45"/>
        <v>-39.6</v>
      </c>
      <c r="AN111" s="485">
        <f t="shared" si="33"/>
        <v>214.3857649618067</v>
      </c>
      <c r="AO111" s="485">
        <f t="shared" si="49"/>
        <v>-89.000031706258056</v>
      </c>
      <c r="AP111" s="485">
        <f t="shared" si="46"/>
        <v>89.000031706258056</v>
      </c>
      <c r="AQ111" s="486">
        <f t="shared" si="34"/>
        <v>-23.160469809197927</v>
      </c>
      <c r="AR111" s="486">
        <f t="shared" si="35"/>
        <v>-16.439530190802078</v>
      </c>
      <c r="AS111" s="487">
        <f t="shared" si="36"/>
        <v>-345.41613645604406</v>
      </c>
      <c r="AT111" s="488">
        <f t="shared" si="37"/>
        <v>-267.64755129448901</v>
      </c>
      <c r="AU111" s="489">
        <f t="shared" si="38"/>
        <v>345.41613645604406</v>
      </c>
      <c r="AV111" s="490">
        <f t="shared" si="38"/>
        <v>267.64755129448901</v>
      </c>
      <c r="AW111" s="491">
        <f t="shared" si="39"/>
        <v>0.3</v>
      </c>
      <c r="AY111" s="261">
        <v>-7</v>
      </c>
      <c r="AZ111" s="546">
        <f t="shared" si="22"/>
        <v>-178.5</v>
      </c>
      <c r="BA111" s="540">
        <f t="shared" si="40"/>
        <v>-178.5</v>
      </c>
      <c r="BB111" s="548">
        <f t="shared" si="23"/>
        <v>-243.50000003923583</v>
      </c>
      <c r="BC111" s="262">
        <f t="shared" si="10"/>
        <v>243.50000003923583</v>
      </c>
      <c r="BD111" s="262">
        <f t="shared" si="11"/>
        <v>11.499999960764171</v>
      </c>
      <c r="BE111" s="262" t="b">
        <f t="shared" si="12"/>
        <v>0</v>
      </c>
      <c r="BI111" s="79"/>
      <c r="BJ111" s="54"/>
    </row>
    <row r="112" spans="2:88" ht="18.75" thickBot="1" x14ac:dyDescent="0.3">
      <c r="B112" s="492">
        <v>7</v>
      </c>
      <c r="C112" s="493"/>
      <c r="D112" s="502">
        <v>0</v>
      </c>
      <c r="E112" s="494">
        <v>0</v>
      </c>
      <c r="F112" s="495">
        <v>1</v>
      </c>
      <c r="G112" s="495">
        <f t="shared" si="47"/>
        <v>4</v>
      </c>
      <c r="H112" s="495">
        <v>5</v>
      </c>
      <c r="I112" s="495" t="str">
        <f t="shared" si="48"/>
        <v/>
      </c>
      <c r="J112" s="495">
        <v>9</v>
      </c>
      <c r="K112" s="496">
        <v>12</v>
      </c>
      <c r="L112" s="475" t="str">
        <f t="shared" si="41"/>
        <v>0;1;4;5;9;12</v>
      </c>
      <c r="M112" s="476">
        <f t="shared" si="42"/>
        <v>0.3</v>
      </c>
      <c r="N112" s="497">
        <f t="shared" si="24"/>
        <v>0.3</v>
      </c>
      <c r="O112" s="152">
        <v>118.90260000000001</v>
      </c>
      <c r="P112" s="152">
        <v>83.076694799999999</v>
      </c>
      <c r="Q112" s="454">
        <f t="shared" si="25"/>
        <v>83.076694799999999</v>
      </c>
      <c r="R112" s="454">
        <f t="shared" si="13"/>
        <v>41.538347399999999</v>
      </c>
      <c r="S112" s="454">
        <f t="shared" si="14"/>
        <v>0.66312116713723779</v>
      </c>
      <c r="T112" s="454">
        <f t="shared" si="15"/>
        <v>78.846830887652132</v>
      </c>
      <c r="U112" s="454">
        <f t="shared" si="16"/>
        <v>157.69366177530426</v>
      </c>
      <c r="V112" s="454">
        <f>+C106+D107+D108+D109+D110+D111+(D112/2)</f>
        <v>0</v>
      </c>
      <c r="W112" s="454">
        <f t="shared" si="17"/>
        <v>0</v>
      </c>
      <c r="X112" s="454">
        <f t="shared" si="18"/>
        <v>0</v>
      </c>
      <c r="Y112" s="454">
        <f t="shared" si="26"/>
        <v>89</v>
      </c>
      <c r="Z112" s="454">
        <f t="shared" si="43"/>
        <v>89</v>
      </c>
      <c r="AA112" s="454">
        <f t="shared" si="19"/>
        <v>89</v>
      </c>
      <c r="AC112" s="478">
        <f t="shared" si="20"/>
        <v>0</v>
      </c>
      <c r="AD112" s="479" t="str">
        <f t="shared" si="44"/>
        <v>pin in groundstacking hole</v>
      </c>
      <c r="AE112" s="478">
        <f t="shared" si="27"/>
        <v>0</v>
      </c>
      <c r="AF112" s="480">
        <f>SUM(D107:D112)+$C$106</f>
        <v>0</v>
      </c>
      <c r="AG112" s="481">
        <f t="shared" si="28"/>
        <v>70.630179100000007</v>
      </c>
      <c r="AH112" s="482">
        <f t="shared" si="21"/>
        <v>0.94339748455555306</v>
      </c>
      <c r="AI112" s="483">
        <f t="shared" si="29"/>
        <v>125.38573325554864</v>
      </c>
      <c r="AJ112" s="481">
        <f t="shared" si="30"/>
        <v>48.461652999999998</v>
      </c>
      <c r="AK112" s="484">
        <f t="shared" si="31"/>
        <v>0.74851207380038831</v>
      </c>
      <c r="AL112" s="483">
        <f t="shared" si="32"/>
        <v>89.000031706258056</v>
      </c>
      <c r="AM112" s="483">
        <f t="shared" si="45"/>
        <v>-49.5</v>
      </c>
      <c r="AN112" s="485">
        <f t="shared" si="33"/>
        <v>214.3857649618067</v>
      </c>
      <c r="AO112" s="485">
        <f t="shared" si="49"/>
        <v>-89.000031706258056</v>
      </c>
      <c r="AP112" s="485">
        <f t="shared" si="46"/>
        <v>89.000031706258056</v>
      </c>
      <c r="AQ112" s="486">
        <f t="shared" si="34"/>
        <v>-28.950587261497407</v>
      </c>
      <c r="AR112" s="486">
        <f t="shared" si="35"/>
        <v>-20.549412738502596</v>
      </c>
      <c r="AS112" s="487">
        <f t="shared" si="36"/>
        <v>-276.33290916483526</v>
      </c>
      <c r="AT112" s="488">
        <f t="shared" si="37"/>
        <v>-214.11804103559123</v>
      </c>
      <c r="AU112" s="489">
        <f t="shared" si="38"/>
        <v>276.33290916483526</v>
      </c>
      <c r="AV112" s="490">
        <f t="shared" si="38"/>
        <v>214.11804103559123</v>
      </c>
      <c r="AW112" s="491">
        <f t="shared" si="39"/>
        <v>0.3</v>
      </c>
      <c r="AY112" s="261">
        <v>-6</v>
      </c>
      <c r="AZ112" s="546">
        <f t="shared" si="22"/>
        <v>-153</v>
      </c>
      <c r="BA112" s="540">
        <f t="shared" si="40"/>
        <v>-153</v>
      </c>
      <c r="BB112" s="548">
        <f t="shared" si="23"/>
        <v>-218.00000003923583</v>
      </c>
      <c r="BC112" s="262">
        <f t="shared" si="10"/>
        <v>218.00000003923583</v>
      </c>
      <c r="BD112" s="262">
        <f t="shared" si="11"/>
        <v>11.499999960764171</v>
      </c>
      <c r="BE112" s="262" t="b">
        <f t="shared" si="12"/>
        <v>0</v>
      </c>
      <c r="BI112" s="79"/>
      <c r="BJ112" s="54"/>
    </row>
    <row r="113" spans="1:57" ht="18.75" thickBot="1" x14ac:dyDescent="0.3">
      <c r="B113" s="492">
        <v>8</v>
      </c>
      <c r="C113" s="493"/>
      <c r="D113" s="502">
        <v>0</v>
      </c>
      <c r="E113" s="494">
        <v>0</v>
      </c>
      <c r="F113" s="495">
        <v>1</v>
      </c>
      <c r="G113" s="495">
        <f t="shared" si="47"/>
        <v>4</v>
      </c>
      <c r="H113" s="495">
        <v>5</v>
      </c>
      <c r="I113" s="495" t="str">
        <f t="shared" si="48"/>
        <v/>
      </c>
      <c r="J113" s="495">
        <v>9</v>
      </c>
      <c r="K113" s="496">
        <v>12</v>
      </c>
      <c r="L113" s="475" t="str">
        <f t="shared" si="41"/>
        <v>0;1;4;5;9;12</v>
      </c>
      <c r="M113" s="476">
        <f t="shared" si="42"/>
        <v>0.3</v>
      </c>
      <c r="N113" s="497">
        <f t="shared" si="24"/>
        <v>0.3</v>
      </c>
      <c r="O113" s="152">
        <v>118.90260000000001</v>
      </c>
      <c r="P113" s="152">
        <v>83.076694799999999</v>
      </c>
      <c r="Q113" s="454">
        <f t="shared" si="25"/>
        <v>83.076694799999999</v>
      </c>
      <c r="R113" s="454">
        <f t="shared" si="13"/>
        <v>41.538347399999999</v>
      </c>
      <c r="S113" s="454">
        <f t="shared" si="14"/>
        <v>0.66312116713723779</v>
      </c>
      <c r="T113" s="454">
        <f t="shared" si="15"/>
        <v>78.846830887652132</v>
      </c>
      <c r="U113" s="454">
        <f t="shared" si="16"/>
        <v>157.69366177530426</v>
      </c>
      <c r="V113" s="454">
        <f>+C106+D107+D108+D109+D110+D111+D112+(D113/2)</f>
        <v>0</v>
      </c>
      <c r="W113" s="454">
        <f t="shared" si="17"/>
        <v>0</v>
      </c>
      <c r="X113" s="454">
        <f t="shared" si="18"/>
        <v>0</v>
      </c>
      <c r="Y113" s="454">
        <f t="shared" si="26"/>
        <v>89</v>
      </c>
      <c r="Z113" s="454">
        <f t="shared" si="43"/>
        <v>89</v>
      </c>
      <c r="AA113" s="454">
        <f t="shared" si="19"/>
        <v>89</v>
      </c>
      <c r="AC113" s="478">
        <f t="shared" si="20"/>
        <v>0</v>
      </c>
      <c r="AD113" s="479" t="str">
        <f t="shared" si="44"/>
        <v>pin in groundstacking hole</v>
      </c>
      <c r="AE113" s="478">
        <f t="shared" si="27"/>
        <v>0</v>
      </c>
      <c r="AF113" s="480">
        <f>SUM(D107:D113)+$C$106</f>
        <v>0</v>
      </c>
      <c r="AG113" s="481">
        <f t="shared" si="28"/>
        <v>70.630179100000007</v>
      </c>
      <c r="AH113" s="482">
        <f t="shared" si="21"/>
        <v>0.94339748455555306</v>
      </c>
      <c r="AI113" s="483">
        <f t="shared" si="29"/>
        <v>125.38573325554864</v>
      </c>
      <c r="AJ113" s="481">
        <f t="shared" si="30"/>
        <v>48.461652999999998</v>
      </c>
      <c r="AK113" s="484">
        <f t="shared" si="31"/>
        <v>0.74851207380038831</v>
      </c>
      <c r="AL113" s="483">
        <f t="shared" si="32"/>
        <v>89.000031706258056</v>
      </c>
      <c r="AM113" s="483">
        <f t="shared" si="45"/>
        <v>-59.400000000000006</v>
      </c>
      <c r="AN113" s="485">
        <f t="shared" si="33"/>
        <v>214.3857649618067</v>
      </c>
      <c r="AO113" s="485">
        <f t="shared" si="49"/>
        <v>-89.000031706258056</v>
      </c>
      <c r="AP113" s="485">
        <f t="shared" si="46"/>
        <v>89.000031706258056</v>
      </c>
      <c r="AQ113" s="486">
        <f t="shared" si="34"/>
        <v>-34.740704713796895</v>
      </c>
      <c r="AR113" s="486">
        <f t="shared" si="35"/>
        <v>-24.659295286203118</v>
      </c>
      <c r="AS113" s="487">
        <f t="shared" si="36"/>
        <v>-230.27742430402935</v>
      </c>
      <c r="AT113" s="488">
        <f t="shared" si="37"/>
        <v>-178.43170086299267</v>
      </c>
      <c r="AU113" s="489">
        <f t="shared" si="38"/>
        <v>230.27742430402935</v>
      </c>
      <c r="AV113" s="490">
        <f t="shared" si="38"/>
        <v>178.43170086299267</v>
      </c>
      <c r="AW113" s="491">
        <f t="shared" si="39"/>
        <v>0.3</v>
      </c>
      <c r="AY113" s="261">
        <v>-5</v>
      </c>
      <c r="AZ113" s="546">
        <f t="shared" si="22"/>
        <v>-127.5</v>
      </c>
      <c r="BA113" s="540">
        <f t="shared" si="40"/>
        <v>-127.5</v>
      </c>
      <c r="BB113" s="548">
        <f t="shared" si="23"/>
        <v>-192.50000003923583</v>
      </c>
      <c r="BC113" s="262">
        <f t="shared" si="10"/>
        <v>192.50000003923583</v>
      </c>
      <c r="BD113" s="262">
        <f t="shared" si="11"/>
        <v>11.499999960764171</v>
      </c>
      <c r="BE113" s="262" t="b">
        <f t="shared" si="12"/>
        <v>0</v>
      </c>
    </row>
    <row r="114" spans="1:57" ht="18.75" thickBot="1" x14ac:dyDescent="0.3">
      <c r="B114" s="492">
        <v>9</v>
      </c>
      <c r="C114" s="493"/>
      <c r="D114" s="502">
        <v>0</v>
      </c>
      <c r="E114" s="494">
        <v>0</v>
      </c>
      <c r="F114" s="495">
        <v>1</v>
      </c>
      <c r="G114" s="495">
        <f t="shared" si="47"/>
        <v>4</v>
      </c>
      <c r="H114" s="495">
        <v>5</v>
      </c>
      <c r="I114" s="495" t="str">
        <f t="shared" si="48"/>
        <v/>
      </c>
      <c r="J114" s="495">
        <v>9</v>
      </c>
      <c r="K114" s="496">
        <v>12</v>
      </c>
      <c r="L114" s="475" t="str">
        <f t="shared" si="41"/>
        <v>0;1;4;5;9;12</v>
      </c>
      <c r="M114" s="476">
        <f t="shared" si="42"/>
        <v>0.3</v>
      </c>
      <c r="N114" s="497">
        <f t="shared" si="24"/>
        <v>0.3</v>
      </c>
      <c r="O114" s="152">
        <v>118.90260000000001</v>
      </c>
      <c r="P114" s="152">
        <v>83.076694799999999</v>
      </c>
      <c r="Q114" s="454">
        <f t="shared" si="25"/>
        <v>83.076694799999999</v>
      </c>
      <c r="R114" s="454">
        <f t="shared" si="13"/>
        <v>41.538347399999999</v>
      </c>
      <c r="S114" s="454">
        <f t="shared" si="14"/>
        <v>0.66312116713723779</v>
      </c>
      <c r="T114" s="454">
        <f t="shared" si="15"/>
        <v>78.846830887652132</v>
      </c>
      <c r="U114" s="454">
        <f t="shared" si="16"/>
        <v>157.69366177530426</v>
      </c>
      <c r="V114" s="454">
        <f>+C106+D107+D108+D109+D110+D111+D112+D113+(D114/2)</f>
        <v>0</v>
      </c>
      <c r="W114" s="454">
        <f t="shared" si="17"/>
        <v>0</v>
      </c>
      <c r="X114" s="454">
        <f t="shared" si="18"/>
        <v>0</v>
      </c>
      <c r="Y114" s="454">
        <f t="shared" si="26"/>
        <v>89</v>
      </c>
      <c r="Z114" s="454">
        <f t="shared" si="43"/>
        <v>89</v>
      </c>
      <c r="AA114" s="454">
        <f t="shared" si="19"/>
        <v>89</v>
      </c>
      <c r="AC114" s="478">
        <f t="shared" si="20"/>
        <v>0</v>
      </c>
      <c r="AD114" s="479" t="str">
        <f t="shared" si="44"/>
        <v>pin in groundstacking hole</v>
      </c>
      <c r="AE114" s="478">
        <f t="shared" si="27"/>
        <v>0</v>
      </c>
      <c r="AF114" s="480">
        <f>SUM(D107:D114)+$C$106</f>
        <v>0</v>
      </c>
      <c r="AG114" s="481">
        <f t="shared" si="28"/>
        <v>70.630179100000007</v>
      </c>
      <c r="AH114" s="482">
        <f t="shared" si="21"/>
        <v>0.94339748455555306</v>
      </c>
      <c r="AI114" s="483">
        <f t="shared" si="29"/>
        <v>125.38573325554864</v>
      </c>
      <c r="AJ114" s="481">
        <f t="shared" si="30"/>
        <v>48.461652999999998</v>
      </c>
      <c r="AK114" s="484">
        <f t="shared" si="31"/>
        <v>0.74851207380038831</v>
      </c>
      <c r="AL114" s="483">
        <f t="shared" si="32"/>
        <v>89.000031706258056</v>
      </c>
      <c r="AM114" s="483">
        <f t="shared" si="45"/>
        <v>-69.3</v>
      </c>
      <c r="AN114" s="485">
        <f t="shared" si="33"/>
        <v>214.3857649618067</v>
      </c>
      <c r="AO114" s="485">
        <f t="shared" si="49"/>
        <v>-89.000031706258056</v>
      </c>
      <c r="AP114" s="485">
        <f t="shared" si="46"/>
        <v>89.000031706258056</v>
      </c>
      <c r="AQ114" s="486">
        <f t="shared" si="34"/>
        <v>-40.530822166096371</v>
      </c>
      <c r="AR114" s="486">
        <f t="shared" si="35"/>
        <v>-28.769177833903633</v>
      </c>
      <c r="AS114" s="487">
        <f t="shared" si="36"/>
        <v>-197.38064940345376</v>
      </c>
      <c r="AT114" s="488">
        <f t="shared" si="37"/>
        <v>-152.94145788256517</v>
      </c>
      <c r="AU114" s="489">
        <f t="shared" si="38"/>
        <v>197.38064940345376</v>
      </c>
      <c r="AV114" s="490">
        <f t="shared" si="38"/>
        <v>152.94145788256517</v>
      </c>
      <c r="AW114" s="491">
        <f t="shared" si="39"/>
        <v>0.3</v>
      </c>
      <c r="AY114" s="261">
        <v>-4</v>
      </c>
      <c r="AZ114" s="546">
        <f t="shared" si="22"/>
        <v>-102</v>
      </c>
      <c r="BA114" s="540">
        <f t="shared" si="40"/>
        <v>-102</v>
      </c>
      <c r="BB114" s="548">
        <f t="shared" si="23"/>
        <v>-167.00000003923583</v>
      </c>
      <c r="BC114" s="262">
        <f t="shared" si="10"/>
        <v>167.00000003923583</v>
      </c>
      <c r="BD114" s="262">
        <f t="shared" si="11"/>
        <v>11.499999960764171</v>
      </c>
      <c r="BE114" s="262" t="b">
        <f t="shared" si="12"/>
        <v>0</v>
      </c>
    </row>
    <row r="115" spans="1:57" ht="18.75" thickBot="1" x14ac:dyDescent="0.3">
      <c r="B115" s="492">
        <v>10</v>
      </c>
      <c r="C115" s="493"/>
      <c r="D115" s="502">
        <v>0</v>
      </c>
      <c r="E115" s="494">
        <v>0</v>
      </c>
      <c r="F115" s="495">
        <v>1</v>
      </c>
      <c r="G115" s="495">
        <f t="shared" si="47"/>
        <v>4</v>
      </c>
      <c r="H115" s="495">
        <v>5</v>
      </c>
      <c r="I115" s="495" t="str">
        <f t="shared" si="48"/>
        <v/>
      </c>
      <c r="J115" s="495">
        <v>9</v>
      </c>
      <c r="K115" s="496">
        <v>12</v>
      </c>
      <c r="L115" s="475" t="str">
        <f t="shared" si="41"/>
        <v>0;1;4;5;9;12</v>
      </c>
      <c r="M115" s="476">
        <f t="shared" si="42"/>
        <v>0.3</v>
      </c>
      <c r="N115" s="497">
        <f t="shared" si="24"/>
        <v>0.3</v>
      </c>
      <c r="O115" s="152">
        <v>118.90260000000001</v>
      </c>
      <c r="P115" s="152">
        <v>83.076694799999999</v>
      </c>
      <c r="Q115" s="454">
        <f t="shared" si="25"/>
        <v>83.076694799999999</v>
      </c>
      <c r="R115" s="454">
        <f t="shared" si="13"/>
        <v>41.538347399999999</v>
      </c>
      <c r="S115" s="454">
        <f t="shared" si="14"/>
        <v>0.66312116713723779</v>
      </c>
      <c r="T115" s="454">
        <f t="shared" si="15"/>
        <v>78.846830887652132</v>
      </c>
      <c r="U115" s="454">
        <f t="shared" si="16"/>
        <v>157.69366177530426</v>
      </c>
      <c r="V115" s="454">
        <f>+C106+D107+D108+D109+D110+D111+D112+D113+D114+(D115/2)</f>
        <v>0</v>
      </c>
      <c r="W115" s="454">
        <f t="shared" si="17"/>
        <v>0</v>
      </c>
      <c r="X115" s="454">
        <f t="shared" si="18"/>
        <v>0</v>
      </c>
      <c r="Y115" s="454">
        <f t="shared" si="26"/>
        <v>89</v>
      </c>
      <c r="Z115" s="454">
        <f t="shared" si="43"/>
        <v>89</v>
      </c>
      <c r="AA115" s="454">
        <f t="shared" si="19"/>
        <v>89</v>
      </c>
      <c r="AC115" s="478">
        <f t="shared" si="20"/>
        <v>0</v>
      </c>
      <c r="AD115" s="479" t="str">
        <f t="shared" si="44"/>
        <v>pin in groundstacking hole</v>
      </c>
      <c r="AE115" s="478">
        <f t="shared" si="27"/>
        <v>0</v>
      </c>
      <c r="AF115" s="480">
        <f>SUM(D107:D115)+$C$106</f>
        <v>0</v>
      </c>
      <c r="AG115" s="481">
        <f t="shared" si="28"/>
        <v>70.630179100000007</v>
      </c>
      <c r="AH115" s="482">
        <f t="shared" si="21"/>
        <v>0.94339748455555306</v>
      </c>
      <c r="AI115" s="483">
        <f t="shared" si="29"/>
        <v>125.38573325554864</v>
      </c>
      <c r="AJ115" s="481">
        <f t="shared" si="30"/>
        <v>48.461652999999998</v>
      </c>
      <c r="AK115" s="484">
        <f t="shared" si="31"/>
        <v>0.74851207380038831</v>
      </c>
      <c r="AL115" s="483">
        <f t="shared" si="32"/>
        <v>89.000031706258056</v>
      </c>
      <c r="AM115" s="483">
        <f t="shared" si="45"/>
        <v>-79.2</v>
      </c>
      <c r="AN115" s="485">
        <f t="shared" si="33"/>
        <v>214.3857649618067</v>
      </c>
      <c r="AO115" s="485">
        <f t="shared" si="49"/>
        <v>-89.000031706258056</v>
      </c>
      <c r="AP115" s="485">
        <f t="shared" si="46"/>
        <v>89.000031706258056</v>
      </c>
      <c r="AQ115" s="486">
        <f t="shared" si="34"/>
        <v>-46.320939618395855</v>
      </c>
      <c r="AR115" s="486">
        <f t="shared" si="35"/>
        <v>-32.879060381604155</v>
      </c>
      <c r="AS115" s="487">
        <f t="shared" si="36"/>
        <v>-172.70806822802203</v>
      </c>
      <c r="AT115" s="488">
        <f t="shared" si="37"/>
        <v>-133.8237756472445</v>
      </c>
      <c r="AU115" s="489">
        <f t="shared" si="38"/>
        <v>172.70806822802203</v>
      </c>
      <c r="AV115" s="490">
        <f t="shared" si="38"/>
        <v>133.8237756472445</v>
      </c>
      <c r="AW115" s="491">
        <f t="shared" si="39"/>
        <v>0.3</v>
      </c>
      <c r="AY115" s="261">
        <v>-3</v>
      </c>
      <c r="AZ115" s="546">
        <f t="shared" si="22"/>
        <v>-76.5</v>
      </c>
      <c r="BA115" s="540">
        <f t="shared" si="40"/>
        <v>-76.5</v>
      </c>
      <c r="BB115" s="548">
        <f t="shared" si="23"/>
        <v>-141.50000003923583</v>
      </c>
      <c r="BC115" s="262">
        <f t="shared" si="10"/>
        <v>141.50000003923583</v>
      </c>
      <c r="BD115" s="262">
        <f t="shared" si="11"/>
        <v>11.499999960764171</v>
      </c>
      <c r="BE115" s="262" t="b">
        <f t="shared" si="12"/>
        <v>0</v>
      </c>
    </row>
    <row r="116" spans="1:57" ht="18.75" thickBot="1" x14ac:dyDescent="0.3">
      <c r="A116" s="498"/>
      <c r="B116" s="492">
        <v>11</v>
      </c>
      <c r="C116" s="493"/>
      <c r="D116" s="502">
        <v>0</v>
      </c>
      <c r="E116" s="494">
        <v>0</v>
      </c>
      <c r="F116" s="495">
        <v>1</v>
      </c>
      <c r="G116" s="495">
        <f t="shared" si="47"/>
        <v>4</v>
      </c>
      <c r="H116" s="495">
        <v>5</v>
      </c>
      <c r="I116" s="495" t="str">
        <f t="shared" si="48"/>
        <v/>
      </c>
      <c r="J116" s="495">
        <v>9</v>
      </c>
      <c r="K116" s="496">
        <v>12</v>
      </c>
      <c r="L116" s="475" t="str">
        <f t="shared" si="41"/>
        <v>0;1;4;5;9;12</v>
      </c>
      <c r="M116" s="476">
        <f t="shared" si="42"/>
        <v>0.3</v>
      </c>
      <c r="N116" s="497">
        <f t="shared" si="24"/>
        <v>0.3</v>
      </c>
      <c r="O116" s="152">
        <v>118.90260000000001</v>
      </c>
      <c r="P116" s="152">
        <v>83.076694799999999</v>
      </c>
      <c r="Q116" s="454">
        <f t="shared" si="25"/>
        <v>83.076694799999999</v>
      </c>
      <c r="R116" s="454">
        <f t="shared" si="13"/>
        <v>41.538347399999999</v>
      </c>
      <c r="S116" s="454">
        <f t="shared" si="14"/>
        <v>0.66312116713723779</v>
      </c>
      <c r="T116" s="454">
        <f t="shared" si="15"/>
        <v>78.846830887652132</v>
      </c>
      <c r="U116" s="454">
        <f t="shared" si="16"/>
        <v>157.69366177530426</v>
      </c>
      <c r="V116" s="454">
        <f>+C106+D107+D108+D109+D110+D111+D112+D113+D114+D115+(D116/2)</f>
        <v>0</v>
      </c>
      <c r="W116" s="454">
        <f t="shared" si="17"/>
        <v>0</v>
      </c>
      <c r="X116" s="454">
        <f t="shared" si="18"/>
        <v>0</v>
      </c>
      <c r="Y116" s="454">
        <f t="shared" si="26"/>
        <v>89</v>
      </c>
      <c r="Z116" s="454">
        <f t="shared" si="43"/>
        <v>89</v>
      </c>
      <c r="AA116" s="454">
        <f t="shared" si="19"/>
        <v>89</v>
      </c>
      <c r="AC116" s="478">
        <f t="shared" si="20"/>
        <v>0</v>
      </c>
      <c r="AD116" s="479" t="str">
        <f t="shared" si="44"/>
        <v>pin in groundstacking hole</v>
      </c>
      <c r="AE116" s="478">
        <f t="shared" si="27"/>
        <v>0</v>
      </c>
      <c r="AF116" s="480">
        <f>SUM(D107:D116)+$C$106</f>
        <v>0</v>
      </c>
      <c r="AG116" s="481">
        <f t="shared" si="28"/>
        <v>70.630179100000007</v>
      </c>
      <c r="AH116" s="482">
        <f t="shared" si="21"/>
        <v>0.94339748455555306</v>
      </c>
      <c r="AI116" s="483">
        <f t="shared" si="29"/>
        <v>125.38573325554864</v>
      </c>
      <c r="AJ116" s="481">
        <f t="shared" si="30"/>
        <v>48.461652999999998</v>
      </c>
      <c r="AK116" s="484">
        <f t="shared" si="31"/>
        <v>0.74851207380038831</v>
      </c>
      <c r="AL116" s="483">
        <f t="shared" si="32"/>
        <v>89.000031706258056</v>
      </c>
      <c r="AM116" s="483">
        <f t="shared" si="45"/>
        <v>-89.100000000000009</v>
      </c>
      <c r="AN116" s="485">
        <f t="shared" si="33"/>
        <v>214.3857649618067</v>
      </c>
      <c r="AO116" s="485">
        <f t="shared" si="49"/>
        <v>-89.000031706258056</v>
      </c>
      <c r="AP116" s="485">
        <f t="shared" si="46"/>
        <v>89.000031706258056</v>
      </c>
      <c r="AQ116" s="486">
        <f t="shared" si="34"/>
        <v>-52.111057070695338</v>
      </c>
      <c r="AR116" s="486">
        <f t="shared" si="35"/>
        <v>-36.988942929304677</v>
      </c>
      <c r="AS116" s="487">
        <f t="shared" si="36"/>
        <v>-153.5182828693529</v>
      </c>
      <c r="AT116" s="488">
        <f t="shared" si="37"/>
        <v>-118.95446724199512</v>
      </c>
      <c r="AU116" s="489">
        <f t="shared" si="38"/>
        <v>153.5182828693529</v>
      </c>
      <c r="AV116" s="490">
        <f t="shared" si="38"/>
        <v>118.95446724199512</v>
      </c>
      <c r="AW116" s="491">
        <f t="shared" si="39"/>
        <v>0.3</v>
      </c>
      <c r="AY116" s="261">
        <v>-2</v>
      </c>
      <c r="AZ116" s="546">
        <f t="shared" si="22"/>
        <v>-51</v>
      </c>
      <c r="BA116" s="540">
        <f t="shared" si="40"/>
        <v>-51</v>
      </c>
      <c r="BB116" s="548">
        <f t="shared" si="23"/>
        <v>-116.00000003923583</v>
      </c>
      <c r="BC116" s="262">
        <f t="shared" si="10"/>
        <v>116.00000003923583</v>
      </c>
      <c r="BD116" s="262">
        <f t="shared" si="11"/>
        <v>11.499999960764171</v>
      </c>
      <c r="BE116" s="262" t="b">
        <f t="shared" si="12"/>
        <v>0</v>
      </c>
    </row>
    <row r="117" spans="1:57" ht="18.75" thickBot="1" x14ac:dyDescent="0.3">
      <c r="A117" s="498"/>
      <c r="B117" s="492">
        <v>12</v>
      </c>
      <c r="C117" s="493"/>
      <c r="D117" s="502">
        <v>0</v>
      </c>
      <c r="E117" s="494">
        <v>0</v>
      </c>
      <c r="F117" s="495">
        <v>1</v>
      </c>
      <c r="G117" s="495">
        <f t="shared" si="47"/>
        <v>4</v>
      </c>
      <c r="H117" s="495">
        <v>5</v>
      </c>
      <c r="I117" s="495" t="str">
        <f t="shared" si="48"/>
        <v/>
      </c>
      <c r="J117" s="495">
        <v>9</v>
      </c>
      <c r="K117" s="496">
        <v>12</v>
      </c>
      <c r="L117" s="475" t="str">
        <f t="shared" si="41"/>
        <v>0;1;4;5;9;12</v>
      </c>
      <c r="M117" s="476">
        <f t="shared" si="42"/>
        <v>0.3</v>
      </c>
      <c r="N117" s="497">
        <f t="shared" si="24"/>
        <v>0.3</v>
      </c>
      <c r="O117" s="152">
        <v>118.90260000000001</v>
      </c>
      <c r="P117" s="152">
        <v>83.076694799999999</v>
      </c>
      <c r="Q117" s="454">
        <f t="shared" si="25"/>
        <v>83.076694799999999</v>
      </c>
      <c r="R117" s="454">
        <f t="shared" si="13"/>
        <v>41.538347399999999</v>
      </c>
      <c r="S117" s="454">
        <f t="shared" si="14"/>
        <v>0.66312116713723779</v>
      </c>
      <c r="T117" s="454">
        <f t="shared" si="15"/>
        <v>78.846830887652132</v>
      </c>
      <c r="U117" s="454">
        <f t="shared" si="16"/>
        <v>157.69366177530426</v>
      </c>
      <c r="V117" s="454">
        <f>+C106+D107+D108+D109+D110+D111+D112+D113+D114+D115+D116+(D117/2)</f>
        <v>0</v>
      </c>
      <c r="W117" s="454">
        <f t="shared" si="17"/>
        <v>0</v>
      </c>
      <c r="X117" s="454">
        <f t="shared" si="18"/>
        <v>0</v>
      </c>
      <c r="Y117" s="454">
        <f t="shared" si="26"/>
        <v>89</v>
      </c>
      <c r="Z117" s="454">
        <f t="shared" si="43"/>
        <v>89</v>
      </c>
      <c r="AA117" s="454">
        <f t="shared" si="19"/>
        <v>89</v>
      </c>
      <c r="AC117" s="478">
        <f t="shared" si="20"/>
        <v>0</v>
      </c>
      <c r="AD117" s="479" t="str">
        <f t="shared" si="44"/>
        <v>pin in groundstacking hole</v>
      </c>
      <c r="AE117" s="478">
        <f t="shared" si="27"/>
        <v>0</v>
      </c>
      <c r="AF117" s="480">
        <f>SUM(D107:D117)+$C$106</f>
        <v>0</v>
      </c>
      <c r="AG117" s="481">
        <f t="shared" si="28"/>
        <v>70.630179100000007</v>
      </c>
      <c r="AH117" s="482">
        <f t="shared" si="21"/>
        <v>0.94339748455555306</v>
      </c>
      <c r="AI117" s="483">
        <f t="shared" si="29"/>
        <v>125.38573325554864</v>
      </c>
      <c r="AJ117" s="481">
        <f t="shared" si="30"/>
        <v>48.461652999999998</v>
      </c>
      <c r="AK117" s="484">
        <f t="shared" si="31"/>
        <v>0.74851207380038831</v>
      </c>
      <c r="AL117" s="483">
        <f t="shared" si="32"/>
        <v>89.000031706258056</v>
      </c>
      <c r="AM117" s="483">
        <f t="shared" si="45"/>
        <v>-99</v>
      </c>
      <c r="AN117" s="485">
        <f t="shared" si="33"/>
        <v>214.3857649618067</v>
      </c>
      <c r="AO117" s="485">
        <f t="shared" si="49"/>
        <v>-89.000031706258056</v>
      </c>
      <c r="AP117" s="485">
        <f t="shared" si="46"/>
        <v>89.000031706258056</v>
      </c>
      <c r="AQ117" s="486">
        <f t="shared" si="34"/>
        <v>-57.901174522994815</v>
      </c>
      <c r="AR117" s="486">
        <f t="shared" si="35"/>
        <v>-41.098825477005192</v>
      </c>
      <c r="AS117" s="487">
        <f t="shared" si="36"/>
        <v>-138.16645458241763</v>
      </c>
      <c r="AT117" s="488">
        <f t="shared" si="37"/>
        <v>-107.05902051779562</v>
      </c>
      <c r="AU117" s="489">
        <f t="shared" si="38"/>
        <v>138.16645458241763</v>
      </c>
      <c r="AV117" s="490">
        <f t="shared" si="38"/>
        <v>107.05902051779562</v>
      </c>
      <c r="AW117" s="491">
        <f t="shared" si="39"/>
        <v>0.3</v>
      </c>
      <c r="AY117" s="261">
        <v>-1</v>
      </c>
      <c r="AZ117" s="546">
        <f t="shared" si="22"/>
        <v>-25.5</v>
      </c>
      <c r="BA117" s="540">
        <f t="shared" si="40"/>
        <v>-25.5</v>
      </c>
      <c r="BB117" s="548">
        <f t="shared" si="23"/>
        <v>-90.500000039235829</v>
      </c>
      <c r="BC117" s="262">
        <f t="shared" si="10"/>
        <v>90.500000039235829</v>
      </c>
      <c r="BD117" s="262">
        <f t="shared" si="11"/>
        <v>11.499999960764171</v>
      </c>
      <c r="BE117" s="262" t="b">
        <f t="shared" si="12"/>
        <v>0</v>
      </c>
    </row>
    <row r="118" spans="1:57" ht="18.75" thickBot="1" x14ac:dyDescent="0.3">
      <c r="B118" s="492">
        <v>13</v>
      </c>
      <c r="C118" s="493"/>
      <c r="D118" s="502">
        <v>0</v>
      </c>
      <c r="E118" s="494">
        <v>0</v>
      </c>
      <c r="F118" s="495">
        <v>1</v>
      </c>
      <c r="G118" s="495">
        <f t="shared" si="47"/>
        <v>4</v>
      </c>
      <c r="H118" s="495">
        <v>5</v>
      </c>
      <c r="I118" s="495" t="str">
        <f t="shared" si="48"/>
        <v/>
      </c>
      <c r="J118" s="495">
        <v>9</v>
      </c>
      <c r="K118" s="496">
        <v>12</v>
      </c>
      <c r="L118" s="475" t="str">
        <f t="shared" si="41"/>
        <v>0;1;4;5;9;12</v>
      </c>
      <c r="M118" s="476">
        <f t="shared" si="42"/>
        <v>0.3</v>
      </c>
      <c r="N118" s="497">
        <f t="shared" si="24"/>
        <v>0.3</v>
      </c>
      <c r="O118" s="152">
        <v>118.90260000000001</v>
      </c>
      <c r="P118" s="152">
        <v>83.076694799999999</v>
      </c>
      <c r="Q118" s="454">
        <f t="shared" si="25"/>
        <v>83.076694799999999</v>
      </c>
      <c r="R118" s="454">
        <f t="shared" si="13"/>
        <v>41.538347399999999</v>
      </c>
      <c r="S118" s="454">
        <f t="shared" si="14"/>
        <v>0.66312116713723779</v>
      </c>
      <c r="T118" s="454">
        <f t="shared" si="15"/>
        <v>78.846830887652132</v>
      </c>
      <c r="U118" s="454">
        <f t="shared" si="16"/>
        <v>157.69366177530426</v>
      </c>
      <c r="V118" s="454">
        <f>+C106+D107+D108+D109+D110+D111+D112+D113+D114+D115+D116+D117+(D118/2)</f>
        <v>0</v>
      </c>
      <c r="W118" s="454">
        <f t="shared" si="17"/>
        <v>0</v>
      </c>
      <c r="X118" s="454">
        <f t="shared" si="18"/>
        <v>0</v>
      </c>
      <c r="Y118" s="454">
        <f t="shared" si="26"/>
        <v>89</v>
      </c>
      <c r="Z118" s="454">
        <f t="shared" si="43"/>
        <v>89</v>
      </c>
      <c r="AA118" s="454">
        <f t="shared" si="19"/>
        <v>89</v>
      </c>
      <c r="AC118" s="478">
        <f t="shared" si="20"/>
        <v>0</v>
      </c>
      <c r="AD118" s="479" t="str">
        <f t="shared" si="44"/>
        <v>pin in groundstacking hole</v>
      </c>
      <c r="AE118" s="478">
        <f t="shared" si="27"/>
        <v>0</v>
      </c>
      <c r="AF118" s="480">
        <f>SUM(D107:D118)+$C$106</f>
        <v>0</v>
      </c>
      <c r="AG118" s="481">
        <f t="shared" si="28"/>
        <v>70.630179100000007</v>
      </c>
      <c r="AH118" s="482">
        <f t="shared" si="21"/>
        <v>0.94339748455555306</v>
      </c>
      <c r="AI118" s="483">
        <f t="shared" si="29"/>
        <v>125.38573325554864</v>
      </c>
      <c r="AJ118" s="481">
        <f t="shared" si="30"/>
        <v>48.461652999999998</v>
      </c>
      <c r="AK118" s="484">
        <f t="shared" si="31"/>
        <v>0.74851207380038831</v>
      </c>
      <c r="AL118" s="483">
        <f t="shared" si="32"/>
        <v>89.000031706258056</v>
      </c>
      <c r="AM118" s="483">
        <f t="shared" si="45"/>
        <v>-108.9</v>
      </c>
      <c r="AN118" s="485">
        <f t="shared" si="33"/>
        <v>214.3857649618067</v>
      </c>
      <c r="AO118" s="485">
        <f t="shared" si="49"/>
        <v>-89.000031706258056</v>
      </c>
      <c r="AP118" s="485">
        <f t="shared" si="46"/>
        <v>89.000031706258056</v>
      </c>
      <c r="AQ118" s="486">
        <f t="shared" si="34"/>
        <v>-63.691291975294298</v>
      </c>
      <c r="AR118" s="486">
        <f t="shared" si="35"/>
        <v>-45.208708024705714</v>
      </c>
      <c r="AS118" s="487">
        <f t="shared" si="36"/>
        <v>-125.60586780219785</v>
      </c>
      <c r="AT118" s="488">
        <f t="shared" si="37"/>
        <v>-97.326382288905094</v>
      </c>
      <c r="AU118" s="489">
        <f t="shared" si="38"/>
        <v>125.60586780219785</v>
      </c>
      <c r="AV118" s="490">
        <f t="shared" si="38"/>
        <v>97.326382288905094</v>
      </c>
      <c r="AW118" s="491">
        <f t="shared" si="39"/>
        <v>0.3</v>
      </c>
      <c r="AY118" s="261">
        <v>1</v>
      </c>
      <c r="AZ118" s="546">
        <f t="shared" si="22"/>
        <v>0</v>
      </c>
      <c r="BA118" s="540">
        <f t="shared" si="40"/>
        <v>0</v>
      </c>
      <c r="BB118" s="548">
        <f t="shared" si="23"/>
        <v>-65.000000039235829</v>
      </c>
      <c r="BC118" s="262">
        <f t="shared" si="10"/>
        <v>65.000000039235829</v>
      </c>
      <c r="BD118" s="262">
        <f t="shared" si="11"/>
        <v>11.499999960764171</v>
      </c>
      <c r="BE118" s="262" t="b">
        <f t="shared" si="12"/>
        <v>0</v>
      </c>
    </row>
    <row r="119" spans="1:57" ht="18.75" thickBot="1" x14ac:dyDescent="0.3">
      <c r="B119" s="492">
        <v>14</v>
      </c>
      <c r="C119" s="493"/>
      <c r="D119" s="502">
        <v>0</v>
      </c>
      <c r="E119" s="494">
        <v>0</v>
      </c>
      <c r="F119" s="495">
        <v>1</v>
      </c>
      <c r="G119" s="495">
        <f t="shared" si="47"/>
        <v>4</v>
      </c>
      <c r="H119" s="495">
        <v>5</v>
      </c>
      <c r="I119" s="495" t="str">
        <f t="shared" si="48"/>
        <v/>
      </c>
      <c r="J119" s="495">
        <v>9</v>
      </c>
      <c r="K119" s="496">
        <v>12</v>
      </c>
      <c r="L119" s="475" t="str">
        <f t="shared" si="41"/>
        <v>0;1;4;5;9;12</v>
      </c>
      <c r="M119" s="476">
        <f t="shared" si="42"/>
        <v>0.3</v>
      </c>
      <c r="N119" s="497">
        <f t="shared" si="24"/>
        <v>0.3</v>
      </c>
      <c r="O119" s="152">
        <v>118.90260000000001</v>
      </c>
      <c r="P119" s="152">
        <v>83.076694799999999</v>
      </c>
      <c r="Q119" s="454">
        <f t="shared" si="25"/>
        <v>83.076694799999999</v>
      </c>
      <c r="R119" s="454">
        <f t="shared" si="13"/>
        <v>41.538347399999999</v>
      </c>
      <c r="S119" s="454">
        <f t="shared" si="14"/>
        <v>0.66312116713723779</v>
      </c>
      <c r="T119" s="454">
        <f t="shared" si="15"/>
        <v>78.846830887652132</v>
      </c>
      <c r="U119" s="454">
        <f t="shared" si="16"/>
        <v>157.69366177530426</v>
      </c>
      <c r="V119" s="454">
        <f>+C106+D107+D108+D109+D110+D111+D112+D113+D114+D115+D116+D117+D118+(D119/2)</f>
        <v>0</v>
      </c>
      <c r="W119" s="454">
        <f t="shared" si="17"/>
        <v>0</v>
      </c>
      <c r="X119" s="454">
        <f t="shared" si="18"/>
        <v>0</v>
      </c>
      <c r="Y119" s="454">
        <f t="shared" si="26"/>
        <v>89</v>
      </c>
      <c r="Z119" s="454">
        <f t="shared" si="43"/>
        <v>89</v>
      </c>
      <c r="AA119" s="454">
        <f t="shared" si="19"/>
        <v>89</v>
      </c>
      <c r="AC119" s="478">
        <f t="shared" si="20"/>
        <v>0</v>
      </c>
      <c r="AD119" s="479" t="str">
        <f t="shared" si="44"/>
        <v>pin in groundstacking hole</v>
      </c>
      <c r="AE119" s="478">
        <f t="shared" si="27"/>
        <v>0</v>
      </c>
      <c r="AF119" s="480">
        <f>SUM(D107:D119)+$C$106</f>
        <v>0</v>
      </c>
      <c r="AG119" s="481">
        <f t="shared" si="28"/>
        <v>70.630179100000007</v>
      </c>
      <c r="AH119" s="482">
        <f t="shared" si="21"/>
        <v>0.94339748455555306</v>
      </c>
      <c r="AI119" s="483">
        <f t="shared" si="29"/>
        <v>125.38573325554864</v>
      </c>
      <c r="AJ119" s="481">
        <f t="shared" si="30"/>
        <v>48.461652999999998</v>
      </c>
      <c r="AK119" s="484">
        <f t="shared" si="31"/>
        <v>0.74851207380038831</v>
      </c>
      <c r="AL119" s="483">
        <f t="shared" si="32"/>
        <v>89.000031706258056</v>
      </c>
      <c r="AM119" s="483">
        <f t="shared" si="45"/>
        <v>-118.80000000000001</v>
      </c>
      <c r="AN119" s="485">
        <f t="shared" si="33"/>
        <v>214.3857649618067</v>
      </c>
      <c r="AO119" s="485">
        <f t="shared" si="49"/>
        <v>-89.000031706258056</v>
      </c>
      <c r="AP119" s="485">
        <f t="shared" si="46"/>
        <v>89.000031706258056</v>
      </c>
      <c r="AQ119" s="486">
        <f t="shared" si="34"/>
        <v>-69.481409427593789</v>
      </c>
      <c r="AR119" s="486">
        <f t="shared" si="35"/>
        <v>-49.318590572406237</v>
      </c>
      <c r="AS119" s="487">
        <f t="shared" si="36"/>
        <v>-115.13871215201468</v>
      </c>
      <c r="AT119" s="488">
        <f t="shared" si="37"/>
        <v>-89.215850431496335</v>
      </c>
      <c r="AU119" s="489">
        <f t="shared" si="38"/>
        <v>115.13871215201468</v>
      </c>
      <c r="AV119" s="490">
        <f t="shared" si="38"/>
        <v>89.215850431496335</v>
      </c>
      <c r="AW119" s="491">
        <f t="shared" si="39"/>
        <v>0.3</v>
      </c>
      <c r="AY119" s="261">
        <v>2</v>
      </c>
      <c r="AZ119" s="546">
        <f t="shared" si="22"/>
        <v>25.5</v>
      </c>
      <c r="BA119" s="540">
        <f t="shared" si="40"/>
        <v>25.5</v>
      </c>
      <c r="BB119" s="548">
        <f t="shared" si="23"/>
        <v>-39.500000039235829</v>
      </c>
      <c r="BC119" s="262">
        <f t="shared" si="10"/>
        <v>39.500000039235829</v>
      </c>
      <c r="BD119" s="262">
        <f t="shared" si="11"/>
        <v>11.499999960764171</v>
      </c>
      <c r="BE119" s="262" t="b">
        <f t="shared" si="12"/>
        <v>0</v>
      </c>
    </row>
    <row r="120" spans="1:57" ht="18.75" thickBot="1" x14ac:dyDescent="0.3">
      <c r="B120" s="492">
        <v>15</v>
      </c>
      <c r="C120" s="493"/>
      <c r="D120" s="502">
        <v>0</v>
      </c>
      <c r="E120" s="494">
        <v>0</v>
      </c>
      <c r="F120" s="495">
        <v>1</v>
      </c>
      <c r="G120" s="495">
        <f t="shared" si="47"/>
        <v>4</v>
      </c>
      <c r="H120" s="495">
        <v>5</v>
      </c>
      <c r="I120" s="495" t="str">
        <f t="shared" si="48"/>
        <v/>
      </c>
      <c r="J120" s="495">
        <v>9</v>
      </c>
      <c r="K120" s="496">
        <v>12</v>
      </c>
      <c r="L120" s="475" t="str">
        <f t="shared" si="41"/>
        <v>0;1;4;5;9;12</v>
      </c>
      <c r="M120" s="476">
        <f t="shared" si="42"/>
        <v>0.3</v>
      </c>
      <c r="N120" s="497">
        <f t="shared" si="24"/>
        <v>0.3</v>
      </c>
      <c r="O120" s="152">
        <v>118.90260000000001</v>
      </c>
      <c r="P120" s="152">
        <v>83.076694799999999</v>
      </c>
      <c r="Q120" s="454">
        <f t="shared" si="25"/>
        <v>83.076694799999999</v>
      </c>
      <c r="R120" s="454">
        <f t="shared" si="13"/>
        <v>41.538347399999999</v>
      </c>
      <c r="S120" s="454">
        <f t="shared" si="14"/>
        <v>0.66312116713723779</v>
      </c>
      <c r="T120" s="454">
        <f t="shared" si="15"/>
        <v>78.846830887652132</v>
      </c>
      <c r="U120" s="454">
        <f t="shared" si="16"/>
        <v>157.69366177530426</v>
      </c>
      <c r="V120" s="454">
        <f>+C106+D107+D108+D109+D110+D111+D112+D113+D114+D115+D116+D117+D118+D119+(D120/2)</f>
        <v>0</v>
      </c>
      <c r="W120" s="454">
        <f t="shared" si="17"/>
        <v>0</v>
      </c>
      <c r="X120" s="454">
        <f t="shared" si="18"/>
        <v>0</v>
      </c>
      <c r="Y120" s="454">
        <f t="shared" si="26"/>
        <v>89</v>
      </c>
      <c r="Z120" s="454">
        <f t="shared" si="43"/>
        <v>89</v>
      </c>
      <c r="AA120" s="454">
        <f t="shared" si="19"/>
        <v>89</v>
      </c>
      <c r="AC120" s="478">
        <f t="shared" si="20"/>
        <v>0</v>
      </c>
      <c r="AD120" s="479" t="str">
        <f t="shared" si="44"/>
        <v>pin in groundstacking hole</v>
      </c>
      <c r="AE120" s="478">
        <f t="shared" si="27"/>
        <v>0</v>
      </c>
      <c r="AF120" s="480">
        <f>SUM(D107:D120)+$C$106</f>
        <v>0</v>
      </c>
      <c r="AG120" s="481">
        <f t="shared" si="28"/>
        <v>70.630179100000007</v>
      </c>
      <c r="AH120" s="482">
        <f t="shared" si="21"/>
        <v>0.94339748455555306</v>
      </c>
      <c r="AI120" s="483">
        <f t="shared" si="29"/>
        <v>125.38573325554864</v>
      </c>
      <c r="AJ120" s="481">
        <f t="shared" si="30"/>
        <v>48.461652999999998</v>
      </c>
      <c r="AK120" s="484">
        <f t="shared" si="31"/>
        <v>0.74851207380038831</v>
      </c>
      <c r="AL120" s="483">
        <f t="shared" si="32"/>
        <v>89.000031706258056</v>
      </c>
      <c r="AM120" s="483">
        <f t="shared" si="45"/>
        <v>-128.70000000000002</v>
      </c>
      <c r="AN120" s="485">
        <f t="shared" si="33"/>
        <v>214.3857649618067</v>
      </c>
      <c r="AO120" s="485">
        <f t="shared" si="49"/>
        <v>-89.000031706258056</v>
      </c>
      <c r="AP120" s="485">
        <f t="shared" si="46"/>
        <v>89.000031706258056</v>
      </c>
      <c r="AQ120" s="486">
        <f t="shared" si="34"/>
        <v>-75.271526879893273</v>
      </c>
      <c r="AR120" s="486">
        <f t="shared" si="35"/>
        <v>-53.428473120106759</v>
      </c>
      <c r="AS120" s="487">
        <f t="shared" si="36"/>
        <v>-106.28188814032124</v>
      </c>
      <c r="AT120" s="488">
        <f t="shared" si="37"/>
        <v>-82.353092705996616</v>
      </c>
      <c r="AU120" s="489">
        <f t="shared" si="38"/>
        <v>106.28188814032124</v>
      </c>
      <c r="AV120" s="490">
        <f t="shared" si="38"/>
        <v>82.353092705996616</v>
      </c>
      <c r="AW120" s="491">
        <f t="shared" si="39"/>
        <v>0.3</v>
      </c>
      <c r="AY120" s="261">
        <v>3</v>
      </c>
      <c r="AZ120" s="546">
        <f t="shared" si="22"/>
        <v>51</v>
      </c>
      <c r="BA120" s="540">
        <f t="shared" si="40"/>
        <v>51</v>
      </c>
      <c r="BB120" s="548">
        <f t="shared" si="23"/>
        <v>-14.000000039235829</v>
      </c>
      <c r="BC120" s="262">
        <f t="shared" si="10"/>
        <v>14.000000039235829</v>
      </c>
      <c r="BD120" s="262">
        <f t="shared" si="11"/>
        <v>11.499999960764171</v>
      </c>
      <c r="BE120" s="262" t="b">
        <f t="shared" si="12"/>
        <v>0</v>
      </c>
    </row>
    <row r="121" spans="1:57" ht="18.75" thickBot="1" x14ac:dyDescent="0.3">
      <c r="B121" s="492">
        <v>16</v>
      </c>
      <c r="C121" s="493"/>
      <c r="D121" s="502">
        <v>0</v>
      </c>
      <c r="E121" s="494">
        <v>0</v>
      </c>
      <c r="F121" s="495">
        <v>1</v>
      </c>
      <c r="G121" s="495">
        <f t="shared" si="47"/>
        <v>4</v>
      </c>
      <c r="H121" s="495">
        <v>5</v>
      </c>
      <c r="I121" s="495" t="str">
        <f t="shared" si="48"/>
        <v/>
      </c>
      <c r="J121" s="495">
        <v>9</v>
      </c>
      <c r="K121" s="496">
        <v>12</v>
      </c>
      <c r="L121" s="475" t="str">
        <f t="shared" si="41"/>
        <v>0;1;4;5;9;12</v>
      </c>
      <c r="M121" s="476">
        <f t="shared" si="42"/>
        <v>0.3</v>
      </c>
      <c r="N121" s="497">
        <f t="shared" si="24"/>
        <v>0.3</v>
      </c>
      <c r="O121" s="152">
        <v>118.90260000000001</v>
      </c>
      <c r="P121" s="152">
        <v>83.076694799999999</v>
      </c>
      <c r="Q121" s="454">
        <f t="shared" si="25"/>
        <v>83.076694799999999</v>
      </c>
      <c r="R121" s="454">
        <f t="shared" si="13"/>
        <v>41.538347399999999</v>
      </c>
      <c r="S121" s="454">
        <f t="shared" si="14"/>
        <v>0.66312116713723779</v>
      </c>
      <c r="T121" s="454">
        <f t="shared" si="15"/>
        <v>78.846830887652132</v>
      </c>
      <c r="U121" s="454">
        <f t="shared" si="16"/>
        <v>157.69366177530426</v>
      </c>
      <c r="V121" s="454">
        <f>+C106+D107+D108+D109+D110+D111+D112+D113+D114+D115+D116+D117+D118+D119+D120+(D121/2)</f>
        <v>0</v>
      </c>
      <c r="W121" s="454">
        <f t="shared" si="17"/>
        <v>0</v>
      </c>
      <c r="X121" s="454">
        <f t="shared" si="18"/>
        <v>0</v>
      </c>
      <c r="Y121" s="454">
        <f t="shared" si="26"/>
        <v>89</v>
      </c>
      <c r="Z121" s="454">
        <f t="shared" si="43"/>
        <v>89</v>
      </c>
      <c r="AA121" s="454">
        <f t="shared" si="19"/>
        <v>89</v>
      </c>
      <c r="AC121" s="478">
        <f t="shared" si="20"/>
        <v>0</v>
      </c>
      <c r="AD121" s="479" t="str">
        <f t="shared" si="44"/>
        <v>pin in groundstacking hole</v>
      </c>
      <c r="AE121" s="478">
        <f t="shared" si="27"/>
        <v>0</v>
      </c>
      <c r="AF121" s="480">
        <f>SUM(D107:D121)+$C$106</f>
        <v>0</v>
      </c>
      <c r="AG121" s="481">
        <f t="shared" si="28"/>
        <v>70.630179100000007</v>
      </c>
      <c r="AH121" s="482">
        <f t="shared" si="21"/>
        <v>0.94339748455555306</v>
      </c>
      <c r="AI121" s="483">
        <f t="shared" si="29"/>
        <v>125.38573325554864</v>
      </c>
      <c r="AJ121" s="481">
        <f t="shared" si="30"/>
        <v>48.461652999999998</v>
      </c>
      <c r="AK121" s="484">
        <f t="shared" si="31"/>
        <v>0.74851207380038831</v>
      </c>
      <c r="AL121" s="483">
        <f t="shared" si="32"/>
        <v>89.000031706258056</v>
      </c>
      <c r="AM121" s="483">
        <f t="shared" si="45"/>
        <v>-138.6</v>
      </c>
      <c r="AN121" s="485">
        <f t="shared" si="33"/>
        <v>214.3857649618067</v>
      </c>
      <c r="AO121" s="485">
        <f t="shared" si="49"/>
        <v>-89.000031706258056</v>
      </c>
      <c r="AP121" s="485">
        <f t="shared" si="46"/>
        <v>89.000031706258056</v>
      </c>
      <c r="AQ121" s="486">
        <f t="shared" si="34"/>
        <v>-81.061644332192742</v>
      </c>
      <c r="AR121" s="486">
        <f t="shared" si="35"/>
        <v>-57.538355667807267</v>
      </c>
      <c r="AS121" s="487">
        <f t="shared" si="36"/>
        <v>-98.69032470172688</v>
      </c>
      <c r="AT121" s="488">
        <f t="shared" si="37"/>
        <v>-76.470728941282587</v>
      </c>
      <c r="AU121" s="489">
        <f t="shared" si="38"/>
        <v>98.69032470172688</v>
      </c>
      <c r="AV121" s="490">
        <f t="shared" si="38"/>
        <v>76.470728941282587</v>
      </c>
      <c r="AW121" s="491">
        <f t="shared" si="39"/>
        <v>0.3</v>
      </c>
      <c r="AY121" s="261">
        <v>4</v>
      </c>
      <c r="AZ121" s="546">
        <f t="shared" si="22"/>
        <v>76.5</v>
      </c>
      <c r="BA121" s="540">
        <f t="shared" si="40"/>
        <v>76.5</v>
      </c>
      <c r="BB121" s="548">
        <f t="shared" si="23"/>
        <v>11.499999960764171</v>
      </c>
      <c r="BC121" s="262">
        <f t="shared" si="10"/>
        <v>11.499999960764171</v>
      </c>
      <c r="BD121" s="262">
        <f t="shared" si="11"/>
        <v>11.499999960764171</v>
      </c>
      <c r="BE121" s="262">
        <f t="shared" si="12"/>
        <v>4</v>
      </c>
    </row>
    <row r="122" spans="1:57" ht="18.75" thickBot="1" x14ac:dyDescent="0.3">
      <c r="B122" s="492">
        <v>17</v>
      </c>
      <c r="C122" s="493"/>
      <c r="D122" s="502">
        <v>0</v>
      </c>
      <c r="E122" s="494">
        <v>0</v>
      </c>
      <c r="F122" s="495">
        <v>1</v>
      </c>
      <c r="G122" s="495">
        <f t="shared" si="47"/>
        <v>4</v>
      </c>
      <c r="H122" s="495">
        <v>5</v>
      </c>
      <c r="I122" s="495" t="str">
        <f t="shared" si="48"/>
        <v/>
      </c>
      <c r="J122" s="495">
        <v>9</v>
      </c>
      <c r="K122" s="496">
        <v>12</v>
      </c>
      <c r="L122" s="475" t="str">
        <f t="shared" si="41"/>
        <v>0;1;4;5;9;12</v>
      </c>
      <c r="M122" s="476">
        <f t="shared" si="42"/>
        <v>0.3</v>
      </c>
      <c r="N122" s="497">
        <f t="shared" si="24"/>
        <v>0.3</v>
      </c>
      <c r="O122" s="152">
        <v>118.90260000000001</v>
      </c>
      <c r="P122" s="152">
        <v>83.076694799999999</v>
      </c>
      <c r="Q122" s="454">
        <f t="shared" si="25"/>
        <v>83.076694799999999</v>
      </c>
      <c r="R122" s="454">
        <f t="shared" si="13"/>
        <v>41.538347399999999</v>
      </c>
      <c r="S122" s="454">
        <f t="shared" si="14"/>
        <v>0.66312116713723779</v>
      </c>
      <c r="T122" s="454">
        <f t="shared" si="15"/>
        <v>78.846830887652132</v>
      </c>
      <c r="U122" s="454">
        <f t="shared" si="16"/>
        <v>157.69366177530426</v>
      </c>
      <c r="V122" s="454">
        <f>+C106+D107+D108+D109+D110+D111+D112+D113+D114+D115+D116+D117+D118+D119+D120+D121+(D122/2)</f>
        <v>0</v>
      </c>
      <c r="W122" s="454">
        <f t="shared" si="17"/>
        <v>0</v>
      </c>
      <c r="X122" s="454">
        <f t="shared" si="18"/>
        <v>0</v>
      </c>
      <c r="Y122" s="454">
        <f t="shared" si="26"/>
        <v>89</v>
      </c>
      <c r="Z122" s="454">
        <f t="shared" si="43"/>
        <v>89</v>
      </c>
      <c r="AA122" s="454">
        <f t="shared" si="19"/>
        <v>89</v>
      </c>
      <c r="AC122" s="478">
        <f t="shared" si="20"/>
        <v>0</v>
      </c>
      <c r="AD122" s="479" t="str">
        <f t="shared" si="44"/>
        <v>pin in groundstacking hole</v>
      </c>
      <c r="AE122" s="478">
        <f t="shared" si="27"/>
        <v>0</v>
      </c>
      <c r="AF122" s="480">
        <f>SUM(D107:D122)+$C$106</f>
        <v>0</v>
      </c>
      <c r="AG122" s="481">
        <f t="shared" si="28"/>
        <v>70.630179100000007</v>
      </c>
      <c r="AH122" s="482">
        <f t="shared" si="21"/>
        <v>0.94339748455555306</v>
      </c>
      <c r="AI122" s="483">
        <f t="shared" si="29"/>
        <v>125.38573325554864</v>
      </c>
      <c r="AJ122" s="481">
        <f t="shared" si="30"/>
        <v>48.461652999999998</v>
      </c>
      <c r="AK122" s="484">
        <f t="shared" si="31"/>
        <v>0.74851207380038831</v>
      </c>
      <c r="AL122" s="483">
        <f t="shared" si="32"/>
        <v>89.000031706258056</v>
      </c>
      <c r="AM122" s="483">
        <f t="shared" si="45"/>
        <v>-148.5</v>
      </c>
      <c r="AN122" s="485">
        <f t="shared" si="33"/>
        <v>214.3857649618067</v>
      </c>
      <c r="AO122" s="485">
        <f t="shared" si="49"/>
        <v>-89.000031706258056</v>
      </c>
      <c r="AP122" s="485">
        <f t="shared" si="46"/>
        <v>89.000031706258056</v>
      </c>
      <c r="AQ122" s="486">
        <f t="shared" si="34"/>
        <v>-86.851761784492226</v>
      </c>
      <c r="AR122" s="486">
        <f t="shared" si="35"/>
        <v>-61.648238215507789</v>
      </c>
      <c r="AS122" s="487">
        <f t="shared" si="36"/>
        <v>-92.110969721611752</v>
      </c>
      <c r="AT122" s="488">
        <f t="shared" si="37"/>
        <v>-71.372680345197082</v>
      </c>
      <c r="AU122" s="489">
        <f t="shared" si="38"/>
        <v>92.110969721611752</v>
      </c>
      <c r="AV122" s="490">
        <f t="shared" si="38"/>
        <v>71.372680345197082</v>
      </c>
      <c r="AW122" s="491">
        <f t="shared" si="39"/>
        <v>0.3</v>
      </c>
      <c r="AY122" s="261">
        <v>5</v>
      </c>
      <c r="AZ122" s="546">
        <f t="shared" si="22"/>
        <v>102</v>
      </c>
      <c r="BA122" s="540">
        <f t="shared" si="40"/>
        <v>102</v>
      </c>
      <c r="BB122" s="548">
        <f t="shared" si="23"/>
        <v>36.999999960764171</v>
      </c>
      <c r="BC122" s="262">
        <f t="shared" si="10"/>
        <v>36.999999960764171</v>
      </c>
      <c r="BD122" s="262">
        <f t="shared" si="11"/>
        <v>11.499999960764171</v>
      </c>
      <c r="BE122" s="262" t="b">
        <f t="shared" si="12"/>
        <v>0</v>
      </c>
    </row>
    <row r="123" spans="1:57" ht="18.75" thickBot="1" x14ac:dyDescent="0.3">
      <c r="B123" s="492">
        <v>18</v>
      </c>
      <c r="C123" s="493"/>
      <c r="D123" s="502">
        <v>0</v>
      </c>
      <c r="E123" s="494">
        <v>0</v>
      </c>
      <c r="F123" s="495">
        <v>1</v>
      </c>
      <c r="G123" s="495">
        <f t="shared" si="47"/>
        <v>4</v>
      </c>
      <c r="H123" s="495">
        <v>5</v>
      </c>
      <c r="I123" s="495" t="str">
        <f t="shared" si="48"/>
        <v/>
      </c>
      <c r="J123" s="495">
        <v>9</v>
      </c>
      <c r="K123" s="496">
        <v>12</v>
      </c>
      <c r="L123" s="475" t="str">
        <f t="shared" si="41"/>
        <v>0;1;4;5;9;12</v>
      </c>
      <c r="M123" s="476">
        <f t="shared" si="42"/>
        <v>0.3</v>
      </c>
      <c r="N123" s="497">
        <f t="shared" si="24"/>
        <v>0.3</v>
      </c>
      <c r="O123" s="152">
        <v>118.90260000000001</v>
      </c>
      <c r="P123" s="152">
        <v>83.076694799999999</v>
      </c>
      <c r="Q123" s="454">
        <f t="shared" si="25"/>
        <v>83.076694799999999</v>
      </c>
      <c r="R123" s="454">
        <f t="shared" si="13"/>
        <v>41.538347399999999</v>
      </c>
      <c r="S123" s="454">
        <f t="shared" si="14"/>
        <v>0.66312116713723779</v>
      </c>
      <c r="T123" s="454">
        <f t="shared" si="15"/>
        <v>78.846830887652132</v>
      </c>
      <c r="U123" s="454">
        <f t="shared" si="16"/>
        <v>157.69366177530426</v>
      </c>
      <c r="V123" s="454">
        <f>+C106+D107+D108+D109+D110+D111+D112+D113+D114+D115+D116+D117+D118+D119+D120+D121+D122+(D123/2)</f>
        <v>0</v>
      </c>
      <c r="W123" s="454">
        <f t="shared" si="17"/>
        <v>0</v>
      </c>
      <c r="X123" s="454">
        <f t="shared" si="18"/>
        <v>0</v>
      </c>
      <c r="Y123" s="454">
        <f t="shared" si="26"/>
        <v>89</v>
      </c>
      <c r="Z123" s="454">
        <f t="shared" si="43"/>
        <v>89</v>
      </c>
      <c r="AA123" s="454">
        <f t="shared" si="19"/>
        <v>89</v>
      </c>
      <c r="AC123" s="478">
        <f t="shared" si="20"/>
        <v>0</v>
      </c>
      <c r="AD123" s="479" t="str">
        <f t="shared" si="44"/>
        <v>pin in groundstacking hole</v>
      </c>
      <c r="AE123" s="478">
        <f t="shared" si="27"/>
        <v>0</v>
      </c>
      <c r="AF123" s="480">
        <f>SUM(D107:D123)+$C$106</f>
        <v>0</v>
      </c>
      <c r="AG123" s="481">
        <f t="shared" si="28"/>
        <v>70.630179100000007</v>
      </c>
      <c r="AH123" s="482">
        <f t="shared" si="21"/>
        <v>0.94339748455555306</v>
      </c>
      <c r="AI123" s="483">
        <f t="shared" si="29"/>
        <v>125.38573325554864</v>
      </c>
      <c r="AJ123" s="481">
        <f t="shared" si="30"/>
        <v>48.461652999999998</v>
      </c>
      <c r="AK123" s="484">
        <f t="shared" si="31"/>
        <v>0.74851207380038831</v>
      </c>
      <c r="AL123" s="483">
        <f t="shared" si="32"/>
        <v>89.000031706258056</v>
      </c>
      <c r="AM123" s="483">
        <f t="shared" si="45"/>
        <v>-158.4</v>
      </c>
      <c r="AN123" s="485">
        <f t="shared" si="33"/>
        <v>214.3857649618067</v>
      </c>
      <c r="AO123" s="485">
        <f t="shared" si="49"/>
        <v>-89.000031706258056</v>
      </c>
      <c r="AP123" s="485">
        <f t="shared" si="46"/>
        <v>89.000031706258056</v>
      </c>
      <c r="AQ123" s="486">
        <f t="shared" si="34"/>
        <v>-92.641879236791709</v>
      </c>
      <c r="AR123" s="486">
        <f t="shared" si="35"/>
        <v>-65.758120763208311</v>
      </c>
      <c r="AS123" s="487">
        <f t="shared" si="36"/>
        <v>-86.354034114011014</v>
      </c>
      <c r="AT123" s="488">
        <f t="shared" si="37"/>
        <v>-66.911887823622251</v>
      </c>
      <c r="AU123" s="489">
        <f t="shared" si="38"/>
        <v>86.354034114011014</v>
      </c>
      <c r="AV123" s="490">
        <f t="shared" si="38"/>
        <v>66.911887823622251</v>
      </c>
      <c r="AW123" s="491">
        <f t="shared" si="39"/>
        <v>0.3</v>
      </c>
      <c r="AY123" s="261">
        <v>6</v>
      </c>
      <c r="AZ123" s="546">
        <f t="shared" si="22"/>
        <v>127.5</v>
      </c>
      <c r="BA123" s="540">
        <f t="shared" si="40"/>
        <v>127.5</v>
      </c>
      <c r="BB123" s="548">
        <f t="shared" si="23"/>
        <v>62.499999960764171</v>
      </c>
      <c r="BC123" s="262">
        <f t="shared" si="10"/>
        <v>62.499999960764171</v>
      </c>
      <c r="BD123" s="262">
        <f t="shared" si="11"/>
        <v>11.499999960764171</v>
      </c>
      <c r="BE123" s="262" t="b">
        <f t="shared" si="12"/>
        <v>0</v>
      </c>
    </row>
    <row r="124" spans="1:57" ht="18.75" thickBot="1" x14ac:dyDescent="0.3">
      <c r="B124" s="492">
        <v>19</v>
      </c>
      <c r="C124" s="493"/>
      <c r="D124" s="502">
        <v>0</v>
      </c>
      <c r="E124" s="494">
        <v>0</v>
      </c>
      <c r="F124" s="495">
        <v>1</v>
      </c>
      <c r="G124" s="495">
        <f t="shared" si="47"/>
        <v>4</v>
      </c>
      <c r="H124" s="495">
        <v>5</v>
      </c>
      <c r="I124" s="495" t="str">
        <f t="shared" si="48"/>
        <v/>
      </c>
      <c r="J124" s="495">
        <v>9</v>
      </c>
      <c r="K124" s="496">
        <v>12</v>
      </c>
      <c r="L124" s="475" t="str">
        <f t="shared" si="41"/>
        <v>0;1;4;5;9;12</v>
      </c>
      <c r="M124" s="476">
        <f t="shared" si="42"/>
        <v>0.3</v>
      </c>
      <c r="N124" s="497">
        <f t="shared" si="24"/>
        <v>0.3</v>
      </c>
      <c r="O124" s="152">
        <v>118.90260000000001</v>
      </c>
      <c r="P124" s="152">
        <v>83.076694799999999</v>
      </c>
      <c r="Q124" s="454">
        <f t="shared" si="25"/>
        <v>83.076694799999999</v>
      </c>
      <c r="R124" s="454">
        <f t="shared" si="13"/>
        <v>41.538347399999999</v>
      </c>
      <c r="S124" s="454">
        <f t="shared" si="14"/>
        <v>0.66312116713723779</v>
      </c>
      <c r="T124" s="454">
        <f t="shared" si="15"/>
        <v>78.846830887652132</v>
      </c>
      <c r="U124" s="454">
        <f t="shared" si="16"/>
        <v>157.69366177530426</v>
      </c>
      <c r="V124" s="454">
        <f>+C106+D107+D108+D109+D110+D111+D112+D113+D114+D115+D116+D117+D118+D119+D120+D121+D122+D123+(D124/2)</f>
        <v>0</v>
      </c>
      <c r="W124" s="454">
        <f t="shared" si="17"/>
        <v>0</v>
      </c>
      <c r="X124" s="454">
        <f t="shared" si="18"/>
        <v>0</v>
      </c>
      <c r="Y124" s="454">
        <f t="shared" si="26"/>
        <v>89</v>
      </c>
      <c r="Z124" s="454">
        <f t="shared" si="43"/>
        <v>89</v>
      </c>
      <c r="AA124" s="454">
        <f t="shared" si="19"/>
        <v>89</v>
      </c>
      <c r="AC124" s="478">
        <f t="shared" si="20"/>
        <v>0</v>
      </c>
      <c r="AD124" s="479" t="str">
        <f t="shared" si="44"/>
        <v>pin in groundstacking hole</v>
      </c>
      <c r="AE124" s="478">
        <f t="shared" si="27"/>
        <v>0</v>
      </c>
      <c r="AF124" s="480">
        <f>SUM(D107:D124)+$C$106</f>
        <v>0</v>
      </c>
      <c r="AG124" s="481">
        <f t="shared" si="28"/>
        <v>70.630179100000007</v>
      </c>
      <c r="AH124" s="482">
        <f t="shared" si="21"/>
        <v>0.94339748455555306</v>
      </c>
      <c r="AI124" s="483">
        <f t="shared" si="29"/>
        <v>125.38573325554864</v>
      </c>
      <c r="AJ124" s="481">
        <f t="shared" si="30"/>
        <v>48.461652999999998</v>
      </c>
      <c r="AK124" s="484">
        <f t="shared" si="31"/>
        <v>0.74851207380038831</v>
      </c>
      <c r="AL124" s="483">
        <f t="shared" si="32"/>
        <v>89.000031706258056</v>
      </c>
      <c r="AM124" s="483">
        <f t="shared" si="45"/>
        <v>-168.3</v>
      </c>
      <c r="AN124" s="485">
        <f t="shared" si="33"/>
        <v>214.3857649618067</v>
      </c>
      <c r="AO124" s="485">
        <f t="shared" si="49"/>
        <v>-89.000031706258056</v>
      </c>
      <c r="AP124" s="485">
        <f t="shared" si="46"/>
        <v>89.000031706258056</v>
      </c>
      <c r="AQ124" s="486">
        <f t="shared" si="34"/>
        <v>-98.431996689091193</v>
      </c>
      <c r="AR124" s="486">
        <f t="shared" si="35"/>
        <v>-69.868003310908833</v>
      </c>
      <c r="AS124" s="487">
        <f t="shared" si="36"/>
        <v>-81.274385048480951</v>
      </c>
      <c r="AT124" s="488">
        <f t="shared" si="37"/>
        <v>-62.975894422232706</v>
      </c>
      <c r="AU124" s="489">
        <f t="shared" si="38"/>
        <v>81.274385048480951</v>
      </c>
      <c r="AV124" s="490">
        <f t="shared" si="38"/>
        <v>62.975894422232706</v>
      </c>
      <c r="AW124" s="491">
        <f t="shared" si="39"/>
        <v>0.3</v>
      </c>
      <c r="AY124" s="261">
        <v>7</v>
      </c>
      <c r="AZ124" s="546">
        <f t="shared" si="22"/>
        <v>153</v>
      </c>
      <c r="BA124" s="540">
        <f t="shared" si="40"/>
        <v>153</v>
      </c>
      <c r="BB124" s="548">
        <f t="shared" si="23"/>
        <v>87.999999960764171</v>
      </c>
      <c r="BC124" s="262">
        <f t="shared" si="10"/>
        <v>87.999999960764171</v>
      </c>
      <c r="BD124" s="262">
        <f t="shared" si="11"/>
        <v>11.499999960764171</v>
      </c>
      <c r="BE124" s="262" t="b">
        <f t="shared" si="12"/>
        <v>0</v>
      </c>
    </row>
    <row r="125" spans="1:57" ht="18.75" thickBot="1" x14ac:dyDescent="0.3">
      <c r="B125" s="492">
        <v>20</v>
      </c>
      <c r="C125" s="493"/>
      <c r="D125" s="502">
        <v>0</v>
      </c>
      <c r="E125" s="494">
        <v>0</v>
      </c>
      <c r="F125" s="495">
        <v>1</v>
      </c>
      <c r="G125" s="495">
        <f t="shared" si="47"/>
        <v>4</v>
      </c>
      <c r="H125" s="495">
        <v>5</v>
      </c>
      <c r="I125" s="495" t="str">
        <f t="shared" si="48"/>
        <v/>
      </c>
      <c r="J125" s="495">
        <v>9</v>
      </c>
      <c r="K125" s="496">
        <v>12</v>
      </c>
      <c r="L125" s="475" t="str">
        <f t="shared" si="41"/>
        <v>0;1;4;5;9;12</v>
      </c>
      <c r="M125" s="476">
        <f t="shared" si="42"/>
        <v>0.3</v>
      </c>
      <c r="N125" s="497">
        <f t="shared" si="24"/>
        <v>0.3</v>
      </c>
      <c r="O125" s="152">
        <v>118.90260000000001</v>
      </c>
      <c r="P125" s="152">
        <v>83.076694799999999</v>
      </c>
      <c r="Q125" s="454">
        <f t="shared" si="25"/>
        <v>83.076694799999999</v>
      </c>
      <c r="R125" s="454">
        <f t="shared" si="13"/>
        <v>41.538347399999999</v>
      </c>
      <c r="S125" s="454">
        <f t="shared" si="14"/>
        <v>0.66312116713723779</v>
      </c>
      <c r="T125" s="454">
        <f t="shared" si="15"/>
        <v>78.846830887652132</v>
      </c>
      <c r="U125" s="454">
        <f t="shared" si="16"/>
        <v>157.69366177530426</v>
      </c>
      <c r="V125" s="454">
        <f>+C106+D107+D108+D109+D110+D111+D112+D113+D114+D115+D116+D117+D118+D119+D120+D121+D122+D123+D124+(D125/2)</f>
        <v>0</v>
      </c>
      <c r="W125" s="454">
        <f t="shared" si="17"/>
        <v>0</v>
      </c>
      <c r="X125" s="454">
        <f t="shared" si="18"/>
        <v>0</v>
      </c>
      <c r="Y125" s="454">
        <f t="shared" si="26"/>
        <v>89</v>
      </c>
      <c r="Z125" s="454">
        <f t="shared" si="43"/>
        <v>89</v>
      </c>
      <c r="AA125" s="454">
        <f t="shared" si="19"/>
        <v>89</v>
      </c>
      <c r="AC125" s="478">
        <f t="shared" si="20"/>
        <v>0</v>
      </c>
      <c r="AD125" s="479" t="str">
        <f t="shared" si="44"/>
        <v>pin in groundstacking hole</v>
      </c>
      <c r="AE125" s="478">
        <f t="shared" si="27"/>
        <v>0</v>
      </c>
      <c r="AF125" s="480">
        <f>SUM(D107:D125)+$C$106</f>
        <v>0</v>
      </c>
      <c r="AG125" s="481">
        <f t="shared" si="28"/>
        <v>70.630179100000007</v>
      </c>
      <c r="AH125" s="482">
        <f t="shared" si="21"/>
        <v>0.94339748455555306</v>
      </c>
      <c r="AI125" s="483">
        <f t="shared" si="29"/>
        <v>125.38573325554864</v>
      </c>
      <c r="AJ125" s="481">
        <f t="shared" si="30"/>
        <v>48.461652999999998</v>
      </c>
      <c r="AK125" s="484">
        <f t="shared" si="31"/>
        <v>0.74851207380038831</v>
      </c>
      <c r="AL125" s="483">
        <f t="shared" si="32"/>
        <v>89.000031706258056</v>
      </c>
      <c r="AM125" s="483">
        <f t="shared" si="45"/>
        <v>-178.20000000000002</v>
      </c>
      <c r="AN125" s="485">
        <f t="shared" si="33"/>
        <v>214.3857649618067</v>
      </c>
      <c r="AO125" s="485">
        <f t="shared" si="49"/>
        <v>-89.000031706258056</v>
      </c>
      <c r="AP125" s="485">
        <f t="shared" si="46"/>
        <v>89.000031706258056</v>
      </c>
      <c r="AQ125" s="486">
        <f t="shared" si="34"/>
        <v>-104.22211414139068</v>
      </c>
      <c r="AR125" s="486">
        <f t="shared" si="35"/>
        <v>-73.977885858609355</v>
      </c>
      <c r="AS125" s="487">
        <f t="shared" si="36"/>
        <v>-76.759141434676451</v>
      </c>
      <c r="AT125" s="488">
        <f t="shared" si="37"/>
        <v>-59.477233620997559</v>
      </c>
      <c r="AU125" s="489">
        <f t="shared" si="38"/>
        <v>76.759141434676451</v>
      </c>
      <c r="AV125" s="490">
        <f t="shared" si="38"/>
        <v>59.477233620997559</v>
      </c>
      <c r="AW125" s="491">
        <f t="shared" si="39"/>
        <v>0.3</v>
      </c>
      <c r="AY125" s="261">
        <v>8</v>
      </c>
      <c r="AZ125" s="546">
        <f t="shared" si="22"/>
        <v>178.5</v>
      </c>
      <c r="BA125" s="540">
        <f t="shared" si="40"/>
        <v>178.5</v>
      </c>
      <c r="BB125" s="548">
        <f t="shared" si="23"/>
        <v>113.49999996076417</v>
      </c>
      <c r="BC125" s="262">
        <f t="shared" si="10"/>
        <v>113.49999996076417</v>
      </c>
      <c r="BD125" s="262">
        <f t="shared" si="11"/>
        <v>11.499999960764171</v>
      </c>
      <c r="BE125" s="262" t="b">
        <f t="shared" si="12"/>
        <v>0</v>
      </c>
    </row>
    <row r="126" spans="1:57" ht="18.75" thickBot="1" x14ac:dyDescent="0.3">
      <c r="B126" s="492">
        <v>21</v>
      </c>
      <c r="C126" s="493"/>
      <c r="D126" s="502">
        <v>0</v>
      </c>
      <c r="E126" s="494">
        <v>0</v>
      </c>
      <c r="F126" s="495">
        <v>1</v>
      </c>
      <c r="G126" s="495">
        <f t="shared" si="47"/>
        <v>4</v>
      </c>
      <c r="H126" s="495">
        <v>5</v>
      </c>
      <c r="I126" s="495" t="str">
        <f t="shared" si="48"/>
        <v/>
      </c>
      <c r="J126" s="495">
        <v>9</v>
      </c>
      <c r="K126" s="496">
        <v>12</v>
      </c>
      <c r="L126" s="475" t="str">
        <f t="shared" si="41"/>
        <v>0;1;4;5;9;12</v>
      </c>
      <c r="M126" s="476">
        <f t="shared" si="42"/>
        <v>0.3</v>
      </c>
      <c r="N126" s="497">
        <f t="shared" si="24"/>
        <v>0.3</v>
      </c>
      <c r="O126" s="152">
        <v>118.90260000000001</v>
      </c>
      <c r="P126" s="152">
        <v>83.076694799999999</v>
      </c>
      <c r="Q126" s="454">
        <f t="shared" si="25"/>
        <v>83.076694799999999</v>
      </c>
      <c r="R126" s="454">
        <f t="shared" si="13"/>
        <v>41.538347399999999</v>
      </c>
      <c r="S126" s="454">
        <f t="shared" si="14"/>
        <v>0.66312116713723779</v>
      </c>
      <c r="T126" s="454">
        <f t="shared" si="15"/>
        <v>78.846830887652132</v>
      </c>
      <c r="U126" s="454">
        <f t="shared" si="16"/>
        <v>157.69366177530426</v>
      </c>
      <c r="V126" s="454">
        <f>+C106+D107+D108+D109+D110+D111+D112+D113+D114+D115+D116+D117+D118+D119+D120+D121+D122+D123+D124+D125+(D126/2)</f>
        <v>0</v>
      </c>
      <c r="W126" s="454">
        <f t="shared" si="17"/>
        <v>0</v>
      </c>
      <c r="X126" s="454">
        <f t="shared" si="18"/>
        <v>0</v>
      </c>
      <c r="Y126" s="454">
        <f t="shared" si="26"/>
        <v>89</v>
      </c>
      <c r="Z126" s="454">
        <f t="shared" si="43"/>
        <v>89</v>
      </c>
      <c r="AA126" s="454">
        <f t="shared" si="19"/>
        <v>89</v>
      </c>
      <c r="AC126" s="478">
        <f t="shared" si="20"/>
        <v>0</v>
      </c>
      <c r="AD126" s="479" t="str">
        <f t="shared" si="44"/>
        <v>pin in groundstacking hole</v>
      </c>
      <c r="AE126" s="478">
        <f t="shared" si="27"/>
        <v>0</v>
      </c>
      <c r="AF126" s="480">
        <f>SUM(D107:D126)+$C$106</f>
        <v>0</v>
      </c>
      <c r="AG126" s="481">
        <f t="shared" si="28"/>
        <v>70.630179100000007</v>
      </c>
      <c r="AH126" s="482">
        <f t="shared" si="21"/>
        <v>0.94339748455555306</v>
      </c>
      <c r="AI126" s="483">
        <f t="shared" si="29"/>
        <v>125.38573325554864</v>
      </c>
      <c r="AJ126" s="481">
        <f t="shared" si="30"/>
        <v>48.461652999999998</v>
      </c>
      <c r="AK126" s="484">
        <f t="shared" si="31"/>
        <v>0.74851207380038831</v>
      </c>
      <c r="AL126" s="483">
        <f t="shared" si="32"/>
        <v>89.000031706258056</v>
      </c>
      <c r="AM126" s="483">
        <f t="shared" si="45"/>
        <v>-188.1</v>
      </c>
      <c r="AN126" s="485">
        <f t="shared" si="33"/>
        <v>214.3857649618067</v>
      </c>
      <c r="AO126" s="485">
        <f t="shared" si="49"/>
        <v>-89.000031706258056</v>
      </c>
      <c r="AP126" s="485">
        <f t="shared" si="46"/>
        <v>89.000031706258056</v>
      </c>
      <c r="AQ126" s="486">
        <f t="shared" si="34"/>
        <v>-110.01223159369015</v>
      </c>
      <c r="AR126" s="486">
        <f t="shared" si="35"/>
        <v>-78.087768406309863</v>
      </c>
      <c r="AS126" s="487">
        <f t="shared" si="36"/>
        <v>-72.719186622325068</v>
      </c>
      <c r="AT126" s="488">
        <f t="shared" si="37"/>
        <v>-56.34685290410296</v>
      </c>
      <c r="AU126" s="489">
        <f t="shared" si="38"/>
        <v>72.719186622325068</v>
      </c>
      <c r="AV126" s="490">
        <f t="shared" si="38"/>
        <v>56.34685290410296</v>
      </c>
      <c r="AW126" s="491">
        <f t="shared" si="39"/>
        <v>0.3</v>
      </c>
      <c r="AY126" s="261">
        <v>81</v>
      </c>
      <c r="AZ126" s="546">
        <f t="shared" si="22"/>
        <v>204</v>
      </c>
      <c r="BA126" s="540">
        <f t="shared" si="40"/>
        <v>204</v>
      </c>
      <c r="BB126" s="548">
        <f t="shared" si="23"/>
        <v>138.99999996076417</v>
      </c>
      <c r="BC126" s="262">
        <f t="shared" si="10"/>
        <v>138.99999996076417</v>
      </c>
      <c r="BD126" s="262">
        <f t="shared" si="11"/>
        <v>11.499999960764171</v>
      </c>
      <c r="BE126" s="262" t="b">
        <f t="shared" si="12"/>
        <v>0</v>
      </c>
    </row>
    <row r="127" spans="1:57" ht="18.75" thickBot="1" x14ac:dyDescent="0.3">
      <c r="B127" s="492">
        <v>22</v>
      </c>
      <c r="C127" s="493"/>
      <c r="D127" s="502">
        <v>0</v>
      </c>
      <c r="E127" s="494">
        <v>0</v>
      </c>
      <c r="F127" s="495">
        <v>1</v>
      </c>
      <c r="G127" s="495">
        <f t="shared" si="47"/>
        <v>4</v>
      </c>
      <c r="H127" s="495">
        <v>5</v>
      </c>
      <c r="I127" s="495" t="str">
        <f t="shared" si="48"/>
        <v/>
      </c>
      <c r="J127" s="495">
        <v>9</v>
      </c>
      <c r="K127" s="496">
        <v>12</v>
      </c>
      <c r="L127" s="475" t="str">
        <f t="shared" si="41"/>
        <v>0;1;4;5;9;12</v>
      </c>
      <c r="M127" s="476">
        <f t="shared" si="42"/>
        <v>0.3</v>
      </c>
      <c r="N127" s="497">
        <f t="shared" si="24"/>
        <v>0.3</v>
      </c>
      <c r="O127" s="152">
        <v>118.90260000000001</v>
      </c>
      <c r="P127" s="152">
        <v>83.076694799999999</v>
      </c>
      <c r="Q127" s="454">
        <f t="shared" si="25"/>
        <v>83.076694799999999</v>
      </c>
      <c r="R127" s="454">
        <f t="shared" si="13"/>
        <v>41.538347399999999</v>
      </c>
      <c r="S127" s="454">
        <f t="shared" si="14"/>
        <v>0.66312116713723779</v>
      </c>
      <c r="T127" s="454">
        <f t="shared" si="15"/>
        <v>78.846830887652132</v>
      </c>
      <c r="U127" s="454">
        <f t="shared" si="16"/>
        <v>157.69366177530426</v>
      </c>
      <c r="V127" s="454">
        <f>+C106+D107+D108+D109+D110+D111+D112+D113+D114+D115+D116+D117+D118+D119+D120+D121+D122+D123+D124+D125+D126+(D127/2)</f>
        <v>0</v>
      </c>
      <c r="W127" s="454">
        <f t="shared" si="17"/>
        <v>0</v>
      </c>
      <c r="X127" s="454">
        <f t="shared" si="18"/>
        <v>0</v>
      </c>
      <c r="Y127" s="454">
        <f t="shared" si="26"/>
        <v>89</v>
      </c>
      <c r="Z127" s="454">
        <f t="shared" si="43"/>
        <v>89</v>
      </c>
      <c r="AA127" s="454">
        <f t="shared" si="19"/>
        <v>89</v>
      </c>
      <c r="AC127" s="478">
        <f t="shared" si="20"/>
        <v>0</v>
      </c>
      <c r="AD127" s="479" t="str">
        <f t="shared" si="44"/>
        <v>pin in groundstacking hole</v>
      </c>
      <c r="AE127" s="478">
        <f t="shared" si="27"/>
        <v>0</v>
      </c>
      <c r="AF127" s="480">
        <f>SUM(D107:D127)+$C$106</f>
        <v>0</v>
      </c>
      <c r="AG127" s="481">
        <f t="shared" si="28"/>
        <v>70.630179100000007</v>
      </c>
      <c r="AH127" s="482">
        <f t="shared" si="21"/>
        <v>0.94339748455555306</v>
      </c>
      <c r="AI127" s="483">
        <f t="shared" si="29"/>
        <v>125.38573325554864</v>
      </c>
      <c r="AJ127" s="481">
        <f t="shared" si="30"/>
        <v>48.461652999999998</v>
      </c>
      <c r="AK127" s="484">
        <f t="shared" si="31"/>
        <v>0.74851207380038831</v>
      </c>
      <c r="AL127" s="483">
        <f t="shared" si="32"/>
        <v>89.000031706258056</v>
      </c>
      <c r="AM127" s="483">
        <f t="shared" si="45"/>
        <v>-198</v>
      </c>
      <c r="AN127" s="485">
        <f t="shared" si="33"/>
        <v>214.3857649618067</v>
      </c>
      <c r="AO127" s="485">
        <f t="shared" si="49"/>
        <v>-89.000031706258056</v>
      </c>
      <c r="AP127" s="485">
        <f t="shared" si="46"/>
        <v>89.000031706258056</v>
      </c>
      <c r="AQ127" s="486">
        <f t="shared" si="34"/>
        <v>-115.80234904598963</v>
      </c>
      <c r="AR127" s="486">
        <f t="shared" si="35"/>
        <v>-82.197650954010385</v>
      </c>
      <c r="AS127" s="487">
        <f t="shared" si="36"/>
        <v>-69.083227291208814</v>
      </c>
      <c r="AT127" s="488">
        <f t="shared" si="37"/>
        <v>-53.529510258897808</v>
      </c>
      <c r="AU127" s="489">
        <f t="shared" si="38"/>
        <v>69.083227291208814</v>
      </c>
      <c r="AV127" s="490">
        <f t="shared" si="38"/>
        <v>53.529510258897808</v>
      </c>
      <c r="AW127" s="491">
        <f t="shared" si="39"/>
        <v>0.3</v>
      </c>
      <c r="AY127" s="261">
        <v>82</v>
      </c>
      <c r="AZ127" s="546">
        <f t="shared" si="22"/>
        <v>229.5</v>
      </c>
      <c r="BA127" s="540">
        <f t="shared" si="40"/>
        <v>229.5</v>
      </c>
      <c r="BB127" s="548">
        <f t="shared" si="23"/>
        <v>164.49999996076417</v>
      </c>
      <c r="BC127" s="262">
        <f t="shared" si="10"/>
        <v>164.49999996076417</v>
      </c>
      <c r="BD127" s="262">
        <f t="shared" si="11"/>
        <v>11.499999960764171</v>
      </c>
      <c r="BE127" s="262" t="b">
        <f t="shared" si="12"/>
        <v>0</v>
      </c>
    </row>
    <row r="128" spans="1:57" ht="18.75" thickBot="1" x14ac:dyDescent="0.3">
      <c r="B128" s="492">
        <v>23</v>
      </c>
      <c r="C128" s="493"/>
      <c r="D128" s="502">
        <v>0</v>
      </c>
      <c r="E128" s="494">
        <v>0</v>
      </c>
      <c r="F128" s="495">
        <v>1</v>
      </c>
      <c r="G128" s="495">
        <f t="shared" si="47"/>
        <v>4</v>
      </c>
      <c r="H128" s="495">
        <v>5</v>
      </c>
      <c r="I128" s="495" t="str">
        <f t="shared" si="48"/>
        <v/>
      </c>
      <c r="J128" s="495">
        <v>9</v>
      </c>
      <c r="K128" s="496">
        <v>12</v>
      </c>
      <c r="L128" s="475" t="str">
        <f t="shared" si="41"/>
        <v>0;1;4;5;9;12</v>
      </c>
      <c r="M128" s="476">
        <f t="shared" si="42"/>
        <v>0.3</v>
      </c>
      <c r="N128" s="497">
        <f t="shared" si="24"/>
        <v>0.3</v>
      </c>
      <c r="O128" s="152">
        <v>118.90260000000001</v>
      </c>
      <c r="P128" s="152">
        <v>83.076694799999999</v>
      </c>
      <c r="Q128" s="454">
        <f t="shared" si="25"/>
        <v>83.076694799999999</v>
      </c>
      <c r="R128" s="454">
        <f t="shared" si="13"/>
        <v>41.538347399999999</v>
      </c>
      <c r="S128" s="454">
        <f t="shared" si="14"/>
        <v>0.66312116713723779</v>
      </c>
      <c r="T128" s="454">
        <f t="shared" si="15"/>
        <v>78.846830887652132</v>
      </c>
      <c r="U128" s="454">
        <f t="shared" si="16"/>
        <v>157.69366177530426</v>
      </c>
      <c r="V128" s="454">
        <f>+C106+D107+D108+D109+D110+D111+D112+D113+D114+D115+D116+D117+D118+D119+D120+D121+D122+D123+D124+D125+D126+D127+(D128/2)</f>
        <v>0</v>
      </c>
      <c r="W128" s="454">
        <f t="shared" si="17"/>
        <v>0</v>
      </c>
      <c r="X128" s="454">
        <f t="shared" si="18"/>
        <v>0</v>
      </c>
      <c r="Y128" s="454">
        <f t="shared" si="26"/>
        <v>89</v>
      </c>
      <c r="Z128" s="454">
        <f t="shared" si="43"/>
        <v>89</v>
      </c>
      <c r="AA128" s="454">
        <f t="shared" si="19"/>
        <v>89</v>
      </c>
      <c r="AC128" s="478">
        <f t="shared" si="20"/>
        <v>0</v>
      </c>
      <c r="AD128" s="479" t="str">
        <f t="shared" si="44"/>
        <v>pin in groundstacking hole</v>
      </c>
      <c r="AE128" s="478">
        <f t="shared" si="27"/>
        <v>0</v>
      </c>
      <c r="AF128" s="480">
        <f>SUM(D107:D128)+$C$106</f>
        <v>0</v>
      </c>
      <c r="AG128" s="481">
        <f t="shared" si="28"/>
        <v>70.630179100000007</v>
      </c>
      <c r="AH128" s="482">
        <f t="shared" si="21"/>
        <v>0.94339748455555306</v>
      </c>
      <c r="AI128" s="483">
        <f t="shared" si="29"/>
        <v>125.38573325554864</v>
      </c>
      <c r="AJ128" s="481">
        <f t="shared" si="30"/>
        <v>48.461652999999998</v>
      </c>
      <c r="AK128" s="484">
        <f t="shared" si="31"/>
        <v>0.74851207380038831</v>
      </c>
      <c r="AL128" s="483">
        <f t="shared" si="32"/>
        <v>89.000031706258056</v>
      </c>
      <c r="AM128" s="483">
        <f t="shared" si="45"/>
        <v>-207.9</v>
      </c>
      <c r="AN128" s="485">
        <f t="shared" si="33"/>
        <v>214.3857649618067</v>
      </c>
      <c r="AO128" s="485">
        <f t="shared" si="49"/>
        <v>-89.000031706258056</v>
      </c>
      <c r="AP128" s="485">
        <f t="shared" si="46"/>
        <v>89.000031706258056</v>
      </c>
      <c r="AQ128" s="486">
        <f t="shared" si="34"/>
        <v>-121.59246649828911</v>
      </c>
      <c r="AR128" s="486">
        <f t="shared" si="35"/>
        <v>-86.307533501710907</v>
      </c>
      <c r="AS128" s="487">
        <f t="shared" si="36"/>
        <v>-65.793549801151258</v>
      </c>
      <c r="AT128" s="488">
        <f t="shared" si="37"/>
        <v>-50.980485960855056</v>
      </c>
      <c r="AU128" s="489">
        <f t="shared" si="38"/>
        <v>65.793549801151258</v>
      </c>
      <c r="AV128" s="490">
        <f t="shared" si="38"/>
        <v>50.980485960855056</v>
      </c>
      <c r="AW128" s="491">
        <f t="shared" si="39"/>
        <v>0.3</v>
      </c>
      <c r="AY128" s="261">
        <v>83</v>
      </c>
      <c r="AZ128" s="546">
        <f t="shared" si="22"/>
        <v>255</v>
      </c>
      <c r="BA128" s="540">
        <f t="shared" si="40"/>
        <v>255</v>
      </c>
      <c r="BB128" s="548">
        <f t="shared" si="23"/>
        <v>189.99999996076417</v>
      </c>
      <c r="BC128" s="262">
        <f t="shared" si="10"/>
        <v>189.99999996076417</v>
      </c>
      <c r="BD128" s="262">
        <f t="shared" si="11"/>
        <v>11.499999960764171</v>
      </c>
      <c r="BE128" s="262" t="b">
        <f t="shared" si="12"/>
        <v>0</v>
      </c>
    </row>
    <row r="129" spans="2:94" ht="18.75" thickBot="1" x14ac:dyDescent="0.3">
      <c r="B129" s="492">
        <v>24</v>
      </c>
      <c r="C129" s="493"/>
      <c r="D129" s="502">
        <v>0</v>
      </c>
      <c r="E129" s="494">
        <v>0</v>
      </c>
      <c r="F129" s="495">
        <v>1</v>
      </c>
      <c r="G129" s="495">
        <f t="shared" si="47"/>
        <v>4</v>
      </c>
      <c r="H129" s="495">
        <v>5</v>
      </c>
      <c r="I129" s="495" t="str">
        <f t="shared" si="48"/>
        <v/>
      </c>
      <c r="J129" s="495">
        <v>9</v>
      </c>
      <c r="K129" s="496">
        <v>12</v>
      </c>
      <c r="L129" s="475" t="str">
        <f t="shared" si="41"/>
        <v>0;1;4;5;9;12</v>
      </c>
      <c r="M129" s="476">
        <f t="shared" si="42"/>
        <v>0.3</v>
      </c>
      <c r="N129" s="497">
        <f t="shared" si="24"/>
        <v>0.3</v>
      </c>
      <c r="O129" s="152">
        <v>118.90260000000001</v>
      </c>
      <c r="P129" s="152">
        <v>83.076694799999999</v>
      </c>
      <c r="Q129" s="454">
        <f t="shared" si="25"/>
        <v>83.076694799999999</v>
      </c>
      <c r="R129" s="454">
        <f t="shared" si="13"/>
        <v>41.538347399999999</v>
      </c>
      <c r="S129" s="454">
        <f t="shared" si="14"/>
        <v>0.66312116713723779</v>
      </c>
      <c r="T129" s="454">
        <f t="shared" si="15"/>
        <v>78.846830887652132</v>
      </c>
      <c r="U129" s="454">
        <f t="shared" si="16"/>
        <v>157.69366177530426</v>
      </c>
      <c r="V129" s="454">
        <f>+SUM(D107:D128)+(D129/2)+C106</f>
        <v>0</v>
      </c>
      <c r="W129" s="454">
        <f t="shared" si="17"/>
        <v>0</v>
      </c>
      <c r="X129" s="454">
        <f t="shared" si="18"/>
        <v>0</v>
      </c>
      <c r="Y129" s="454">
        <f t="shared" si="26"/>
        <v>89</v>
      </c>
      <c r="Z129" s="454">
        <f t="shared" si="43"/>
        <v>89</v>
      </c>
      <c r="AA129" s="454">
        <f t="shared" si="19"/>
        <v>89</v>
      </c>
      <c r="AC129" s="478">
        <f t="shared" si="20"/>
        <v>0</v>
      </c>
      <c r="AD129" s="479" t="str">
        <f t="shared" si="44"/>
        <v>pin in groundstacking hole</v>
      </c>
      <c r="AE129" s="478">
        <f t="shared" si="27"/>
        <v>0</v>
      </c>
      <c r="AF129" s="480">
        <f>SUM(D107:D129)+$C$106</f>
        <v>0</v>
      </c>
      <c r="AG129" s="481">
        <f t="shared" si="28"/>
        <v>70.630179100000007</v>
      </c>
      <c r="AH129" s="482">
        <f t="shared" si="21"/>
        <v>0.94339748455555306</v>
      </c>
      <c r="AI129" s="483">
        <f t="shared" si="29"/>
        <v>125.38573325554864</v>
      </c>
      <c r="AJ129" s="481">
        <f t="shared" si="30"/>
        <v>48.461652999999998</v>
      </c>
      <c r="AK129" s="484">
        <f t="shared" si="31"/>
        <v>0.74851207380038831</v>
      </c>
      <c r="AL129" s="483">
        <f t="shared" si="32"/>
        <v>89.000031706258056</v>
      </c>
      <c r="AM129" s="483">
        <f t="shared" si="45"/>
        <v>-217.8</v>
      </c>
      <c r="AN129" s="485">
        <f t="shared" si="33"/>
        <v>214.3857649618067</v>
      </c>
      <c r="AO129" s="485">
        <f t="shared" si="49"/>
        <v>-89.000031706258056</v>
      </c>
      <c r="AP129" s="485">
        <f t="shared" si="46"/>
        <v>89.000031706258056</v>
      </c>
      <c r="AQ129" s="486">
        <f t="shared" si="34"/>
        <v>-127.3825839505886</v>
      </c>
      <c r="AR129" s="486">
        <f t="shared" si="35"/>
        <v>-90.417416049411429</v>
      </c>
      <c r="AS129" s="487">
        <f t="shared" si="36"/>
        <v>-62.802933901098925</v>
      </c>
      <c r="AT129" s="488">
        <f t="shared" si="37"/>
        <v>-48.663191144452547</v>
      </c>
      <c r="AU129" s="489">
        <f t="shared" si="38"/>
        <v>62.802933901098925</v>
      </c>
      <c r="AV129" s="490">
        <f t="shared" si="38"/>
        <v>48.663191144452547</v>
      </c>
      <c r="AW129" s="491">
        <f t="shared" si="39"/>
        <v>0.3</v>
      </c>
      <c r="AY129" s="261">
        <v>9</v>
      </c>
      <c r="AZ129" s="546">
        <f t="shared" si="22"/>
        <v>280.5</v>
      </c>
      <c r="BA129" s="540">
        <f t="shared" si="40"/>
        <v>280.5</v>
      </c>
      <c r="BB129" s="548">
        <f t="shared" si="23"/>
        <v>215.49999996076417</v>
      </c>
      <c r="BC129" s="262">
        <f t="shared" si="10"/>
        <v>215.49999996076417</v>
      </c>
      <c r="BD129" s="262">
        <f t="shared" si="11"/>
        <v>11.499999960764171</v>
      </c>
      <c r="BE129" s="262" t="b">
        <f t="shared" si="12"/>
        <v>0</v>
      </c>
    </row>
    <row r="130" spans="2:94" ht="18" x14ac:dyDescent="0.25">
      <c r="AY130" s="261">
        <v>10</v>
      </c>
      <c r="AZ130" s="546">
        <f t="shared" si="22"/>
        <v>306</v>
      </c>
      <c r="BA130" s="540">
        <f t="shared" si="40"/>
        <v>306</v>
      </c>
      <c r="BB130" s="548">
        <f t="shared" si="23"/>
        <v>240.99999996076417</v>
      </c>
      <c r="BC130" s="262">
        <f t="shared" si="10"/>
        <v>240.99999996076417</v>
      </c>
      <c r="BD130" s="262">
        <f t="shared" si="11"/>
        <v>11.499999960764171</v>
      </c>
      <c r="BE130" s="262" t="b">
        <f t="shared" si="12"/>
        <v>0</v>
      </c>
    </row>
    <row r="131" spans="2:94" ht="18" x14ac:dyDescent="0.25">
      <c r="AY131" s="261">
        <v>11</v>
      </c>
      <c r="AZ131" s="546">
        <f t="shared" si="22"/>
        <v>331.5</v>
      </c>
      <c r="BA131" s="540">
        <f t="shared" si="40"/>
        <v>331.5</v>
      </c>
      <c r="BB131" s="548">
        <f t="shared" si="23"/>
        <v>266.49999996076417</v>
      </c>
      <c r="BC131" s="262">
        <f t="shared" si="10"/>
        <v>266.49999996076417</v>
      </c>
      <c r="BD131" s="262">
        <f t="shared" si="11"/>
        <v>11.499999960764171</v>
      </c>
      <c r="BE131" s="262" t="b">
        <f t="shared" si="12"/>
        <v>0</v>
      </c>
    </row>
    <row r="132" spans="2:94" ht="18" x14ac:dyDescent="0.25">
      <c r="L132" s="393" t="s">
        <v>107</v>
      </c>
      <c r="AY132" s="261">
        <v>12</v>
      </c>
      <c r="AZ132" s="546">
        <f t="shared" si="22"/>
        <v>357</v>
      </c>
      <c r="BA132" s="540">
        <f t="shared" si="40"/>
        <v>357</v>
      </c>
      <c r="BB132" s="548">
        <f t="shared" si="23"/>
        <v>291.99999996076417</v>
      </c>
      <c r="BC132" s="262">
        <f t="shared" si="10"/>
        <v>291.99999996076417</v>
      </c>
      <c r="BD132" s="262">
        <f t="shared" si="11"/>
        <v>11.499999960764171</v>
      </c>
      <c r="BE132" s="262" t="b">
        <f t="shared" si="12"/>
        <v>0</v>
      </c>
    </row>
    <row r="133" spans="2:94" ht="18" x14ac:dyDescent="0.25">
      <c r="AY133" s="261">
        <v>13</v>
      </c>
      <c r="AZ133" s="546">
        <f t="shared" si="22"/>
        <v>382.5</v>
      </c>
      <c r="BA133" s="540">
        <f t="shared" si="40"/>
        <v>382.5</v>
      </c>
      <c r="BB133" s="548">
        <f t="shared" si="23"/>
        <v>317.49999996076417</v>
      </c>
      <c r="BC133" s="262">
        <f t="shared" si="10"/>
        <v>317.49999996076417</v>
      </c>
      <c r="BD133" s="262">
        <f t="shared" si="11"/>
        <v>11.499999960764171</v>
      </c>
      <c r="BE133" s="262" t="b">
        <f t="shared" si="12"/>
        <v>0</v>
      </c>
    </row>
    <row r="134" spans="2:94" ht="18" x14ac:dyDescent="0.25">
      <c r="AY134" s="261">
        <v>14</v>
      </c>
      <c r="AZ134" s="546">
        <f t="shared" si="22"/>
        <v>408</v>
      </c>
      <c r="BA134" s="540">
        <f t="shared" si="40"/>
        <v>408</v>
      </c>
      <c r="BB134" s="548">
        <f t="shared" si="23"/>
        <v>342.99999996076417</v>
      </c>
      <c r="BC134" s="262">
        <f t="shared" si="10"/>
        <v>342.99999996076417</v>
      </c>
      <c r="BD134" s="262">
        <f t="shared" si="11"/>
        <v>11.499999960764171</v>
      </c>
      <c r="BE134" s="262" t="b">
        <f t="shared" si="12"/>
        <v>0</v>
      </c>
    </row>
    <row r="135" spans="2:94" ht="18" x14ac:dyDescent="0.25">
      <c r="AY135" s="261">
        <v>15</v>
      </c>
      <c r="AZ135" s="546">
        <f t="shared" si="22"/>
        <v>433.5</v>
      </c>
      <c r="BA135" s="540">
        <f t="shared" si="40"/>
        <v>433.5</v>
      </c>
      <c r="BB135" s="548">
        <f t="shared" si="23"/>
        <v>368.49999996076417</v>
      </c>
      <c r="BC135" s="262">
        <f t="shared" si="10"/>
        <v>368.49999996076417</v>
      </c>
      <c r="BD135" s="262">
        <f t="shared" si="11"/>
        <v>11.499999960764171</v>
      </c>
      <c r="BE135" s="262" t="b">
        <f t="shared" si="12"/>
        <v>0</v>
      </c>
    </row>
    <row r="136" spans="2:94" ht="18" x14ac:dyDescent="0.25">
      <c r="AY136" s="261">
        <v>16</v>
      </c>
      <c r="AZ136" s="546">
        <f t="shared" si="22"/>
        <v>459</v>
      </c>
      <c r="BA136" s="540">
        <f t="shared" si="40"/>
        <v>459</v>
      </c>
      <c r="BB136" s="548">
        <f t="shared" si="23"/>
        <v>393.99999996076417</v>
      </c>
      <c r="BC136" s="262">
        <f t="shared" si="10"/>
        <v>393.99999996076417</v>
      </c>
      <c r="BD136" s="262">
        <f t="shared" si="11"/>
        <v>11.499999960764171</v>
      </c>
      <c r="BE136" s="262" t="b">
        <f t="shared" si="12"/>
        <v>0</v>
      </c>
    </row>
    <row r="137" spans="2:94" ht="18" x14ac:dyDescent="0.25">
      <c r="AY137" s="261">
        <v>17</v>
      </c>
      <c r="AZ137" s="546">
        <f t="shared" si="22"/>
        <v>484.5</v>
      </c>
      <c r="BA137" s="540">
        <f t="shared" si="40"/>
        <v>484.5</v>
      </c>
      <c r="BB137" s="548">
        <f t="shared" si="23"/>
        <v>419.49999996076417</v>
      </c>
      <c r="BC137" s="262">
        <f t="shared" si="10"/>
        <v>419.49999996076417</v>
      </c>
      <c r="BD137" s="262">
        <f t="shared" si="11"/>
        <v>11.499999960764171</v>
      </c>
      <c r="BE137" s="262" t="b">
        <f t="shared" si="12"/>
        <v>0</v>
      </c>
    </row>
    <row r="138" spans="2:94" ht="18" x14ac:dyDescent="0.25">
      <c r="AY138" s="261">
        <v>18</v>
      </c>
      <c r="AZ138" s="546">
        <f t="shared" si="22"/>
        <v>510</v>
      </c>
      <c r="BA138" s="540">
        <f t="shared" si="40"/>
        <v>510</v>
      </c>
      <c r="BB138" s="548">
        <f t="shared" si="23"/>
        <v>444.99999996076417</v>
      </c>
      <c r="BC138" s="262">
        <f t="shared" si="10"/>
        <v>444.99999996076417</v>
      </c>
      <c r="BD138" s="262">
        <f t="shared" si="11"/>
        <v>11.499999960764171</v>
      </c>
      <c r="BE138" s="262" t="b">
        <f t="shared" si="12"/>
        <v>0</v>
      </c>
    </row>
    <row r="139" spans="2:94" ht="18" x14ac:dyDescent="0.25">
      <c r="AY139" s="261">
        <v>19</v>
      </c>
      <c r="AZ139" s="546">
        <f t="shared" si="22"/>
        <v>535.5</v>
      </c>
      <c r="BA139" s="540">
        <f t="shared" si="40"/>
        <v>535.5</v>
      </c>
      <c r="BB139" s="548">
        <f t="shared" si="23"/>
        <v>470.49999996076417</v>
      </c>
      <c r="BC139" s="262">
        <f t="shared" si="10"/>
        <v>470.49999996076417</v>
      </c>
      <c r="BD139" s="262">
        <f t="shared" si="11"/>
        <v>11.499999960764171</v>
      </c>
      <c r="BE139" s="262" t="b">
        <f t="shared" si="12"/>
        <v>0</v>
      </c>
    </row>
    <row r="140" spans="2:94" ht="18" x14ac:dyDescent="0.25">
      <c r="AY140" s="261">
        <v>20</v>
      </c>
      <c r="AZ140" s="546">
        <f t="shared" si="22"/>
        <v>561</v>
      </c>
      <c r="BA140" s="540">
        <f t="shared" si="40"/>
        <v>561</v>
      </c>
      <c r="BB140" s="548">
        <f t="shared" si="23"/>
        <v>495.99999996076417</v>
      </c>
      <c r="BC140" s="262">
        <f t="shared" si="10"/>
        <v>495.99999996076417</v>
      </c>
      <c r="BD140" s="262">
        <f t="shared" si="11"/>
        <v>11.499999960764171</v>
      </c>
      <c r="BE140" s="262" t="b">
        <f t="shared" si="12"/>
        <v>0</v>
      </c>
      <c r="CP140" s="434"/>
    </row>
    <row r="141" spans="2:94" ht="18" x14ac:dyDescent="0.25">
      <c r="AY141" s="261">
        <v>21</v>
      </c>
      <c r="AZ141" s="546">
        <f t="shared" si="22"/>
        <v>586.5</v>
      </c>
      <c r="BA141" s="540">
        <f t="shared" si="40"/>
        <v>586.5</v>
      </c>
      <c r="BB141" s="548">
        <f t="shared" si="23"/>
        <v>521.49999996076417</v>
      </c>
      <c r="BC141" s="262">
        <f t="shared" si="10"/>
        <v>521.49999996076417</v>
      </c>
      <c r="BD141" s="262">
        <f t="shared" si="11"/>
        <v>11.499999960764171</v>
      </c>
      <c r="BE141" s="262" t="b">
        <f t="shared" si="12"/>
        <v>0</v>
      </c>
    </row>
    <row r="142" spans="2:94" ht="18" x14ac:dyDescent="0.25">
      <c r="AY142" s="261">
        <v>22</v>
      </c>
      <c r="AZ142" s="546">
        <f t="shared" si="22"/>
        <v>612</v>
      </c>
      <c r="BA142" s="540">
        <f t="shared" si="40"/>
        <v>612</v>
      </c>
      <c r="BB142" s="548">
        <f t="shared" si="23"/>
        <v>546.99999996076417</v>
      </c>
      <c r="BC142" s="262">
        <f t="shared" si="10"/>
        <v>546.99999996076417</v>
      </c>
      <c r="BD142" s="262">
        <f t="shared" si="11"/>
        <v>11.499999960764171</v>
      </c>
      <c r="BE142" s="262" t="b">
        <f t="shared" si="12"/>
        <v>0</v>
      </c>
    </row>
    <row r="143" spans="2:94" ht="18" x14ac:dyDescent="0.25">
      <c r="AY143" s="261">
        <v>23</v>
      </c>
      <c r="AZ143" s="546">
        <f t="shared" si="22"/>
        <v>637.5</v>
      </c>
      <c r="BA143" s="540">
        <f t="shared" si="40"/>
        <v>637.5</v>
      </c>
      <c r="BB143" s="548">
        <f t="shared" si="23"/>
        <v>572.49999996076417</v>
      </c>
      <c r="BC143" s="262">
        <f t="shared" si="10"/>
        <v>572.49999996076417</v>
      </c>
      <c r="BD143" s="262">
        <f t="shared" si="11"/>
        <v>11.499999960764171</v>
      </c>
      <c r="BE143" s="262" t="b">
        <f t="shared" si="12"/>
        <v>0</v>
      </c>
    </row>
    <row r="144" spans="2:94" ht="18" x14ac:dyDescent="0.25">
      <c r="AY144" s="261">
        <v>24</v>
      </c>
      <c r="AZ144" s="546">
        <f t="shared" si="22"/>
        <v>663</v>
      </c>
      <c r="BA144" s="540">
        <f t="shared" si="40"/>
        <v>663</v>
      </c>
      <c r="BB144" s="548">
        <f t="shared" si="23"/>
        <v>597.99999996076417</v>
      </c>
      <c r="BC144" s="262">
        <f t="shared" si="10"/>
        <v>597.99999996076417</v>
      </c>
      <c r="BD144" s="262">
        <f t="shared" si="11"/>
        <v>11.499999960764171</v>
      </c>
      <c r="BE144" s="262" t="b">
        <f t="shared" si="12"/>
        <v>0</v>
      </c>
    </row>
    <row r="145" spans="51:81" ht="18" x14ac:dyDescent="0.25">
      <c r="AY145" s="261">
        <v>25</v>
      </c>
      <c r="AZ145" s="546">
        <f t="shared" si="22"/>
        <v>688.5</v>
      </c>
      <c r="BA145" s="540">
        <f t="shared" si="40"/>
        <v>688.5</v>
      </c>
      <c r="BB145" s="548">
        <f t="shared" si="23"/>
        <v>623.49999996076417</v>
      </c>
      <c r="BC145" s="262">
        <f t="shared" si="10"/>
        <v>623.49999996076417</v>
      </c>
      <c r="BD145" s="262">
        <f t="shared" si="11"/>
        <v>11.499999960764171</v>
      </c>
      <c r="BE145" s="262" t="b">
        <f t="shared" si="12"/>
        <v>0</v>
      </c>
    </row>
    <row r="146" spans="51:81" ht="18" x14ac:dyDescent="0.25">
      <c r="AY146" s="261">
        <v>26</v>
      </c>
      <c r="AZ146" s="546">
        <f t="shared" si="22"/>
        <v>714</v>
      </c>
      <c r="BA146" s="540">
        <f t="shared" si="40"/>
        <v>714</v>
      </c>
      <c r="BB146" s="548">
        <f t="shared" si="23"/>
        <v>648.99999996076417</v>
      </c>
      <c r="BC146" s="262">
        <f t="shared" si="10"/>
        <v>648.99999996076417</v>
      </c>
      <c r="BD146" s="262">
        <f t="shared" si="11"/>
        <v>11.499999960764171</v>
      </c>
      <c r="BE146" s="262" t="b">
        <f t="shared" si="12"/>
        <v>0</v>
      </c>
    </row>
    <row r="147" spans="51:81" ht="18" x14ac:dyDescent="0.25">
      <c r="AY147" s="261">
        <v>27</v>
      </c>
      <c r="AZ147" s="546">
        <f t="shared" si="22"/>
        <v>739.5</v>
      </c>
      <c r="BA147" s="540">
        <f t="shared" si="40"/>
        <v>739.5</v>
      </c>
      <c r="BB147" s="548">
        <f t="shared" si="23"/>
        <v>674.49999996076417</v>
      </c>
      <c r="BC147" s="262">
        <f t="shared" si="10"/>
        <v>674.49999996076417</v>
      </c>
      <c r="BD147" s="262">
        <f t="shared" si="11"/>
        <v>11.499999960764171</v>
      </c>
      <c r="BE147" s="262" t="b">
        <f t="shared" si="12"/>
        <v>0</v>
      </c>
    </row>
    <row r="150" spans="51:81" x14ac:dyDescent="0.25">
      <c r="BW150" s="50"/>
      <c r="BX150" s="50"/>
      <c r="BY150" s="50"/>
      <c r="BZ150" s="50"/>
      <c r="CA150" s="50"/>
      <c r="CB150" s="50"/>
      <c r="CC150" s="50"/>
    </row>
    <row r="151" spans="51:81" x14ac:dyDescent="0.25">
      <c r="BW151" s="50"/>
      <c r="BX151" s="50"/>
      <c r="BY151" s="50"/>
      <c r="BZ151" s="50"/>
      <c r="CA151" s="50"/>
      <c r="CB151" s="50"/>
      <c r="CC151" s="499"/>
    </row>
    <row r="152" spans="51:81" x14ac:dyDescent="0.25">
      <c r="BW152" s="50"/>
      <c r="BX152" s="50"/>
      <c r="BY152" s="50"/>
      <c r="BZ152" s="50"/>
      <c r="CA152" s="50"/>
      <c r="CB152" s="714"/>
      <c r="CC152" s="714"/>
    </row>
    <row r="153" spans="51:81" x14ac:dyDescent="0.25">
      <c r="BW153" s="50"/>
      <c r="BX153" s="50"/>
      <c r="BY153" s="50"/>
      <c r="BZ153" s="50"/>
      <c r="CA153" s="50"/>
      <c r="CB153" s="50"/>
      <c r="CC153" s="50"/>
    </row>
    <row r="154" spans="51:81" x14ac:dyDescent="0.25">
      <c r="BW154" s="50"/>
      <c r="BX154" s="50"/>
      <c r="BY154" s="50"/>
      <c r="BZ154" s="50"/>
      <c r="CA154" s="50"/>
      <c r="CB154" s="50"/>
      <c r="CC154" s="50"/>
    </row>
    <row r="155" spans="51:81" x14ac:dyDescent="0.25">
      <c r="BO155" s="50"/>
      <c r="BW155" s="50"/>
      <c r="BX155" s="50"/>
      <c r="BY155" s="50"/>
      <c r="BZ155" s="50"/>
      <c r="CA155" s="50"/>
      <c r="CB155" s="50"/>
      <c r="CC155" s="50"/>
    </row>
    <row r="156" spans="51:81" x14ac:dyDescent="0.25">
      <c r="BO156" s="50"/>
      <c r="BW156" s="50"/>
      <c r="BX156" s="50"/>
      <c r="BY156" s="50"/>
      <c r="BZ156" s="50"/>
      <c r="CA156" s="50"/>
      <c r="CB156" s="50"/>
      <c r="CC156" s="50"/>
    </row>
    <row r="157" spans="51:81" x14ac:dyDescent="0.25">
      <c r="BJ157" s="50"/>
      <c r="BK157" s="50"/>
      <c r="BL157" s="50"/>
      <c r="BM157" s="50"/>
      <c r="BN157" s="50"/>
      <c r="BO157" s="50"/>
      <c r="BW157" s="50"/>
      <c r="BX157" s="50"/>
      <c r="BY157" s="50"/>
      <c r="BZ157" s="50"/>
      <c r="CA157" s="50"/>
      <c r="CB157" s="50"/>
      <c r="CC157" s="50"/>
    </row>
    <row r="158" spans="51:81" x14ac:dyDescent="0.25">
      <c r="BJ158" s="50"/>
      <c r="BK158" s="50"/>
      <c r="BL158" s="50"/>
      <c r="BM158" s="50"/>
      <c r="BN158" s="50"/>
      <c r="BO158" s="50"/>
      <c r="BW158" s="50"/>
      <c r="BX158" s="50"/>
      <c r="BY158" s="50"/>
      <c r="BZ158" s="50"/>
      <c r="CA158" s="50"/>
      <c r="CB158" s="50"/>
      <c r="CC158" s="50"/>
    </row>
    <row r="159" spans="51:81" x14ac:dyDescent="0.25">
      <c r="BJ159" s="50"/>
      <c r="BK159" s="50"/>
      <c r="BL159" s="50"/>
      <c r="BM159" s="50"/>
      <c r="BN159" s="50"/>
      <c r="BO159" s="50"/>
      <c r="BW159" s="50"/>
      <c r="BX159" s="50"/>
      <c r="BY159" s="50"/>
      <c r="BZ159" s="50"/>
      <c r="CA159" s="50"/>
      <c r="CB159" s="50"/>
      <c r="CC159" s="50"/>
    </row>
    <row r="160" spans="51:81" x14ac:dyDescent="0.25">
      <c r="BJ160" s="50"/>
      <c r="BK160" s="50"/>
      <c r="BL160" s="50"/>
      <c r="BM160" s="50"/>
      <c r="BN160" s="50"/>
      <c r="BO160" s="50"/>
      <c r="BW160" s="50"/>
      <c r="BX160" s="50"/>
      <c r="BY160" s="50"/>
      <c r="BZ160" s="50"/>
      <c r="CA160" s="50"/>
      <c r="CB160" s="50"/>
      <c r="CC160" s="50"/>
    </row>
    <row r="161" spans="62:81" x14ac:dyDescent="0.25">
      <c r="BJ161" s="50"/>
      <c r="BK161" s="50"/>
      <c r="BL161" s="50"/>
      <c r="BM161" s="50"/>
      <c r="BN161" s="50"/>
      <c r="BO161" s="50"/>
      <c r="BW161" s="50"/>
      <c r="BX161" s="50"/>
      <c r="BY161" s="50"/>
      <c r="BZ161" s="50"/>
      <c r="CA161" s="50"/>
      <c r="CB161" s="50"/>
      <c r="CC161" s="50"/>
    </row>
    <row r="162" spans="62:81" x14ac:dyDescent="0.25"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</row>
    <row r="163" spans="62:81" x14ac:dyDescent="0.25"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</row>
    <row r="164" spans="62:81" x14ac:dyDescent="0.25"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</row>
    <row r="165" spans="62:81" x14ac:dyDescent="0.25">
      <c r="BJ165" s="50"/>
      <c r="BK165" s="50"/>
      <c r="BL165" s="50"/>
      <c r="BM165" s="50"/>
      <c r="BN165" s="50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50"/>
      <c r="BZ165" s="50"/>
      <c r="CA165" s="50"/>
      <c r="CB165" s="50"/>
      <c r="CC165" s="50"/>
    </row>
    <row r="166" spans="62:81" x14ac:dyDescent="0.25">
      <c r="BJ166" s="50"/>
      <c r="BK166" s="50"/>
      <c r="BL166" s="50"/>
      <c r="BM166" s="50"/>
      <c r="BN166" s="50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50"/>
      <c r="BZ166" s="50"/>
      <c r="CA166" s="50"/>
      <c r="CB166" s="50"/>
      <c r="CC166" s="50"/>
    </row>
    <row r="167" spans="62:81" x14ac:dyDescent="0.25">
      <c r="BJ167" s="50"/>
      <c r="BK167" s="50"/>
      <c r="BL167" s="50"/>
      <c r="BM167" s="50"/>
      <c r="BN167" s="50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50"/>
      <c r="BZ167" s="50"/>
      <c r="CA167" s="50"/>
      <c r="CB167" s="50"/>
      <c r="CC167" s="50"/>
    </row>
    <row r="168" spans="62:81" x14ac:dyDescent="0.25">
      <c r="BJ168" s="50"/>
      <c r="BK168" s="50"/>
      <c r="BL168" s="50"/>
      <c r="BM168" s="50"/>
      <c r="BN168" s="50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50"/>
      <c r="BZ168" s="50"/>
      <c r="CA168" s="50"/>
      <c r="CB168" s="50"/>
      <c r="CC168" s="50"/>
    </row>
    <row r="169" spans="62:81" x14ac:dyDescent="0.25">
      <c r="BJ169" s="18"/>
      <c r="BK169" s="50"/>
      <c r="BL169" s="18"/>
      <c r="BM169" s="50"/>
      <c r="BN169" s="18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50"/>
      <c r="BZ169" s="50"/>
      <c r="CA169" s="50"/>
      <c r="CB169" s="50"/>
      <c r="CC169" s="50"/>
    </row>
    <row r="170" spans="62:81" x14ac:dyDescent="0.25">
      <c r="BJ170" s="18"/>
      <c r="BK170" s="50"/>
      <c r="BL170" s="50"/>
      <c r="BM170" s="50"/>
      <c r="BN170" s="18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50"/>
      <c r="BZ170" s="50"/>
      <c r="CA170" s="50"/>
      <c r="CB170" s="50"/>
      <c r="CC170" s="50"/>
    </row>
    <row r="171" spans="62:81" x14ac:dyDescent="0.25">
      <c r="BJ171" s="18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</row>
    <row r="172" spans="62:81" x14ac:dyDescent="0.25">
      <c r="BJ172" s="18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</row>
    <row r="173" spans="62:81" x14ac:dyDescent="0.25">
      <c r="BJ173" s="87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</row>
    <row r="174" spans="62:81" x14ac:dyDescent="0.25">
      <c r="BJ174" s="18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</row>
    <row r="175" spans="62:81" x14ac:dyDescent="0.25"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</row>
    <row r="176" spans="62:81" x14ac:dyDescent="0.25">
      <c r="BJ176" s="50"/>
      <c r="BK176" s="92"/>
      <c r="BL176" s="92"/>
      <c r="BM176" s="92"/>
      <c r="BN176" s="92"/>
      <c r="BO176" s="92"/>
      <c r="BP176" s="92"/>
      <c r="BQ176" s="18"/>
      <c r="BR176" s="18"/>
      <c r="BS176" s="18"/>
      <c r="BT176" s="18"/>
      <c r="BU176" s="18"/>
      <c r="BV176" s="92"/>
      <c r="BW176" s="92"/>
      <c r="BX176" s="92"/>
      <c r="BY176" s="18"/>
      <c r="BZ176" s="18"/>
      <c r="CA176" s="18"/>
      <c r="CB176" s="18"/>
      <c r="CC176" s="18"/>
    </row>
    <row r="177" spans="62:81" x14ac:dyDescent="0.25">
      <c r="BJ177" s="50"/>
      <c r="BK177" s="92"/>
      <c r="BL177" s="92"/>
      <c r="BM177" s="92"/>
      <c r="BN177" s="92"/>
      <c r="BO177" s="92"/>
      <c r="BP177" s="92"/>
      <c r="BQ177" s="50"/>
      <c r="BR177" s="50"/>
      <c r="BS177" s="50"/>
      <c r="BT177" s="50"/>
      <c r="BU177" s="92"/>
      <c r="BV177" s="92"/>
      <c r="BW177" s="92"/>
      <c r="BX177" s="92"/>
      <c r="BY177" s="50"/>
      <c r="BZ177" s="50"/>
      <c r="CA177" s="50"/>
      <c r="CB177" s="50"/>
      <c r="CC177" s="92"/>
    </row>
    <row r="178" spans="62:81" x14ac:dyDescent="0.25"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</row>
    <row r="179" spans="62:81" x14ac:dyDescent="0.25"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</row>
  </sheetData>
  <sheetProtection algorithmName="SHA-512" hashValue="EA8M2CGsm8+7eJ9ADh3Eq5+sjoVsKaGR1cqulFXrEQq4sNOJ/XNVq9lILN6RMN1L8fLBPJwCLQYk5bhQ67ATEw==" saltValue="5RvfNkzZmVaD6TaputXXGw==" spinCount="100000" sheet="1" objects="1" scenarios="1"/>
  <protectedRanges>
    <protectedRange sqref="B100 B103 D106:D129" name="Range1"/>
  </protectedRanges>
  <mergeCells count="20">
    <mergeCell ref="CB152:CC152"/>
    <mergeCell ref="BK1:BL1"/>
    <mergeCell ref="AY3:AZ3"/>
    <mergeCell ref="B98:B99"/>
    <mergeCell ref="B101:B102"/>
    <mergeCell ref="AU104:AV104"/>
    <mergeCell ref="E69:K69"/>
    <mergeCell ref="E78:K78"/>
    <mergeCell ref="E82:K82"/>
    <mergeCell ref="E84:K84"/>
    <mergeCell ref="B80:K80"/>
    <mergeCell ref="E105:K105"/>
    <mergeCell ref="E83:K83"/>
    <mergeCell ref="B77:K77"/>
    <mergeCell ref="BK3:BL3"/>
    <mergeCell ref="CM50:CN50"/>
    <mergeCell ref="BX50:BY50"/>
    <mergeCell ref="BX5:BY5"/>
    <mergeCell ref="CZ5:DA5"/>
    <mergeCell ref="CM3:CN3"/>
  </mergeCells>
  <conditionalFormatting sqref="E101:K101">
    <cfRule type="cellIs" dxfId="369" priority="97" stopIfTrue="1" operator="equal">
      <formula>"USE EXBAR TR AT THE FRONT"</formula>
    </cfRule>
  </conditionalFormatting>
  <conditionalFormatting sqref="E78 B78 AY3:AY4 BB6:BE6">
    <cfRule type="cellIs" dxfId="368" priority="96" stopIfTrue="1" operator="between">
      <formula>"OVERLOAD"</formula>
      <formula>"OVERLOAD"</formula>
    </cfRule>
  </conditionalFormatting>
  <conditionalFormatting sqref="BK173:CC174 BK74:CH77 BP86:CC86 BP87:BP98 BX87:CC103 BY78:CE78">
    <cfRule type="cellIs" dxfId="367" priority="95" stopIfTrue="1" operator="equal">
      <formula>FALSE</formula>
    </cfRule>
  </conditionalFormatting>
  <conditionalFormatting sqref="BP70:CC72 BK171:CC171 BP69:BX69 BK46">
    <cfRule type="cellIs" dxfId="366" priority="41" stopIfTrue="1" operator="equal">
      <formula>0</formula>
    </cfRule>
  </conditionalFormatting>
  <conditionalFormatting sqref="BI106:BI112 BE105:BE147">
    <cfRule type="cellIs" dxfId="365" priority="93" stopIfTrue="1" operator="equal">
      <formula>FALSE</formula>
    </cfRule>
  </conditionalFormatting>
  <conditionalFormatting sqref="AY105:AY147">
    <cfRule type="cellIs" dxfId="364" priority="92" stopIfTrue="1" operator="between">
      <formula>"заяка"</formula>
      <formula>"заявка"</formula>
    </cfRule>
  </conditionalFormatting>
  <conditionalFormatting sqref="AY73:AY77">
    <cfRule type="cellIs" dxfId="363" priority="91" stopIfTrue="1" operator="equal">
      <formula>"change the angle"</formula>
    </cfRule>
  </conditionalFormatting>
  <conditionalFormatting sqref="AD106 AS106:AV106 M107 D106:N106">
    <cfRule type="expression" dxfId="362" priority="85" stopIfTrue="1">
      <formula>$B$103&lt;1</formula>
    </cfRule>
  </conditionalFormatting>
  <conditionalFormatting sqref="AD107 AU107:AV107 D107:N107">
    <cfRule type="expression" dxfId="361" priority="7" stopIfTrue="1">
      <formula>$B$103&lt;2</formula>
    </cfRule>
  </conditionalFormatting>
  <conditionalFormatting sqref="AD108 AU108:AV108 D108:F108 M108:N108 H108 J108:K108">
    <cfRule type="expression" dxfId="360" priority="84" stopIfTrue="1">
      <formula>$B$103&lt;3</formula>
    </cfRule>
  </conditionalFormatting>
  <conditionalFormatting sqref="AD109 AU109:AV109 D109 L109:N109">
    <cfRule type="expression" dxfId="359" priority="83" stopIfTrue="1">
      <formula>$B$103&lt;4</formula>
    </cfRule>
  </conditionalFormatting>
  <conditionalFormatting sqref="AD110 AU110:AV110 D110 L110:N110">
    <cfRule type="expression" dxfId="358" priority="82" stopIfTrue="1">
      <formula>$B$103&lt;5</formula>
    </cfRule>
  </conditionalFormatting>
  <conditionalFormatting sqref="AD111 AU111:AV111 D111 L111:N111">
    <cfRule type="expression" dxfId="357" priority="81">
      <formula>$B$103&lt;6</formula>
    </cfRule>
  </conditionalFormatting>
  <conditionalFormatting sqref="AD112 AU112:AV112 D112 L112:N112">
    <cfRule type="expression" dxfId="356" priority="80">
      <formula>$B$103&lt;7</formula>
    </cfRule>
  </conditionalFormatting>
  <conditionalFormatting sqref="AD113 AU113:AV113 D113 L113:N113">
    <cfRule type="expression" dxfId="355" priority="79">
      <formula>$B$103&lt;8</formula>
    </cfRule>
  </conditionalFormatting>
  <conditionalFormatting sqref="AD114 AU114:AV114 D114 L114:N114">
    <cfRule type="expression" dxfId="354" priority="78">
      <formula>$B$103&lt;9</formula>
    </cfRule>
  </conditionalFormatting>
  <conditionalFormatting sqref="AD115 AU115:AV115 D115 L115:N115">
    <cfRule type="expression" dxfId="353" priority="77">
      <formula>$B$103&lt;10</formula>
    </cfRule>
  </conditionalFormatting>
  <conditionalFormatting sqref="AD116 AU116:AV116 D116:N116">
    <cfRule type="expression" dxfId="352" priority="76">
      <formula>$B$103&lt;11</formula>
    </cfRule>
  </conditionalFormatting>
  <conditionalFormatting sqref="AD117 AU117:AV117 D117:N117">
    <cfRule type="expression" dxfId="351" priority="75">
      <formula>$B$103&lt;12</formula>
    </cfRule>
  </conditionalFormatting>
  <conditionalFormatting sqref="AD118 AU118:AV118 D118:N118">
    <cfRule type="expression" dxfId="350" priority="74">
      <formula>$B$103&lt;13</formula>
    </cfRule>
  </conditionalFormatting>
  <conditionalFormatting sqref="AD119 AU119:AV119 D119:N119">
    <cfRule type="expression" dxfId="349" priority="73">
      <formula>$B$103&lt;14</formula>
    </cfRule>
  </conditionalFormatting>
  <conditionalFormatting sqref="AD120 AU120:AV120 D120:N120">
    <cfRule type="expression" dxfId="348" priority="72">
      <formula>$B$103&lt;15</formula>
    </cfRule>
  </conditionalFormatting>
  <conditionalFormatting sqref="AD121 AU121:AV121 D121:N121">
    <cfRule type="expression" dxfId="347" priority="71">
      <formula>$B$103&lt;16</formula>
    </cfRule>
  </conditionalFormatting>
  <conditionalFormatting sqref="AD122 AU122:AV122 D122:N122">
    <cfRule type="expression" dxfId="346" priority="70">
      <formula>$B$103&lt;17</formula>
    </cfRule>
  </conditionalFormatting>
  <conditionalFormatting sqref="AD123 AU123:AV123 D123:N123">
    <cfRule type="expression" dxfId="345" priority="69">
      <formula>$B$103&lt;18</formula>
    </cfRule>
  </conditionalFormatting>
  <conditionalFormatting sqref="AD124 AU124:AV124 D124:N124">
    <cfRule type="expression" dxfId="344" priority="68">
      <formula>$B$103&lt;19</formula>
    </cfRule>
  </conditionalFormatting>
  <conditionalFormatting sqref="AD125 AU125:AV125 D125:N125">
    <cfRule type="expression" dxfId="343" priority="67">
      <formula>$B$103&lt;20</formula>
    </cfRule>
  </conditionalFormatting>
  <conditionalFormatting sqref="AD126 AU126:AV126 D126:N126">
    <cfRule type="expression" dxfId="342" priority="66">
      <formula>$B$103&lt;21</formula>
    </cfRule>
  </conditionalFormatting>
  <conditionalFormatting sqref="AD127 AU127:AV127 D127:N127">
    <cfRule type="expression" dxfId="341" priority="10">
      <formula>$B$103&lt;22</formula>
    </cfRule>
  </conditionalFormatting>
  <conditionalFormatting sqref="AD128 AU128:AV128 D128:N128">
    <cfRule type="expression" dxfId="340" priority="9">
      <formula>$B$103&lt;23</formula>
    </cfRule>
  </conditionalFormatting>
  <conditionalFormatting sqref="AD129 AU129:AV129 D129:N129">
    <cfRule type="expression" dxfId="339" priority="8">
      <formula>$B$103&lt;24</formula>
    </cfRule>
  </conditionalFormatting>
  <conditionalFormatting sqref="AD106:AD129 M107">
    <cfRule type="cellIs" dxfId="338" priority="90" stopIfTrue="1" operator="equal">
      <formula>"pin in groundstacking hole"</formula>
    </cfRule>
  </conditionalFormatting>
  <conditionalFormatting sqref="D99:K100 M99:N100">
    <cfRule type="cellIs" dxfId="337" priority="65" stopIfTrue="1" operator="equal">
      <formula>"change the angle of frame or of cabinets"</formula>
    </cfRule>
  </conditionalFormatting>
  <conditionalFormatting sqref="B106:B129">
    <cfRule type="cellIs" dxfId="336" priority="64" stopIfTrue="1" operator="greaterThan">
      <formula>$B$103</formula>
    </cfRule>
  </conditionalFormatting>
  <conditionalFormatting sqref="B84 AU106:AV129 D84:E84">
    <cfRule type="cellIs" dxfId="335" priority="63" stopIfTrue="1" operator="lessThan">
      <formula>10</formula>
    </cfRule>
  </conditionalFormatting>
  <conditionalFormatting sqref="E102:K102">
    <cfRule type="cellIs" dxfId="334" priority="61" operator="equal">
      <formula>"USE EXBAR TR AT THE BACK"</formula>
    </cfRule>
  </conditionalFormatting>
  <conditionalFormatting sqref="CI74:DA75">
    <cfRule type="cellIs" dxfId="333" priority="52" stopIfTrue="1" operator="equal">
      <formula>FALSE</formula>
    </cfRule>
  </conditionalFormatting>
  <conditionalFormatting sqref="BX78">
    <cfRule type="cellIs" dxfId="332" priority="51" stopIfTrue="1" operator="equal">
      <formula>FALSE</formula>
    </cfRule>
  </conditionalFormatting>
  <conditionalFormatting sqref="CI78">
    <cfRule type="cellIs" dxfId="331" priority="50" stopIfTrue="1" operator="equal">
      <formula>FALSE</formula>
    </cfRule>
  </conditionalFormatting>
  <conditionalFormatting sqref="CJ78">
    <cfRule type="cellIs" dxfId="330" priority="49" stopIfTrue="1" operator="equal">
      <formula>FALSE</formula>
    </cfRule>
  </conditionalFormatting>
  <conditionalFormatting sqref="CK78">
    <cfRule type="cellIs" dxfId="329" priority="48" stopIfTrue="1" operator="equal">
      <formula>FALSE</formula>
    </cfRule>
  </conditionalFormatting>
  <conditionalFormatting sqref="CL78">
    <cfRule type="cellIs" dxfId="328" priority="47" stopIfTrue="1" operator="equal">
      <formula>FALSE</formula>
    </cfRule>
  </conditionalFormatting>
  <conditionalFormatting sqref="CM78">
    <cfRule type="cellIs" dxfId="327" priority="46" stopIfTrue="1" operator="equal">
      <formula>FALSE</formula>
    </cfRule>
  </conditionalFormatting>
  <conditionalFormatting sqref="CN78">
    <cfRule type="cellIs" dxfId="326" priority="44" stopIfTrue="1" operator="equal">
      <formula>FALSE</formula>
    </cfRule>
  </conditionalFormatting>
  <conditionalFormatting sqref="BK70:BO72">
    <cfRule type="cellIs" dxfId="325" priority="42" stopIfTrue="1" operator="equal">
      <formula>0</formula>
    </cfRule>
  </conditionalFormatting>
  <conditionalFormatting sqref="BY69:CN69">
    <cfRule type="cellIs" dxfId="324" priority="31" stopIfTrue="1" operator="equal">
      <formula>0</formula>
    </cfRule>
  </conditionalFormatting>
  <conditionalFormatting sqref="BL46:DA46">
    <cfRule type="cellIs" dxfId="323" priority="40" stopIfTrue="1" operator="equal">
      <formula>0</formula>
    </cfRule>
  </conditionalFormatting>
  <conditionalFormatting sqref="BX47">
    <cfRule type="cellIs" dxfId="322" priority="6" operator="equal">
      <formula>$BX$47</formula>
    </cfRule>
    <cfRule type="cellIs" dxfId="321" priority="30" operator="equal">
      <formula>0</formula>
    </cfRule>
  </conditionalFormatting>
  <conditionalFormatting sqref="L108">
    <cfRule type="expression" dxfId="320" priority="29" stopIfTrue="1">
      <formula>$B$103&lt;3</formula>
    </cfRule>
  </conditionalFormatting>
  <conditionalFormatting sqref="AS107:AT129">
    <cfRule type="expression" dxfId="319" priority="28" stopIfTrue="1">
      <formula>$B$103&lt;1</formula>
    </cfRule>
  </conditionalFormatting>
  <conditionalFormatting sqref="G108">
    <cfRule type="expression" dxfId="318" priority="27" stopIfTrue="1">
      <formula>$B$103&lt;3</formula>
    </cfRule>
  </conditionalFormatting>
  <conditionalFormatting sqref="I108">
    <cfRule type="expression" dxfId="317" priority="25" stopIfTrue="1">
      <formula>$B$103&lt;3</formula>
    </cfRule>
  </conditionalFormatting>
  <conditionalFormatting sqref="E109:K109">
    <cfRule type="expression" dxfId="316" priority="17" stopIfTrue="1">
      <formula>$B$103&lt;4</formula>
    </cfRule>
  </conditionalFormatting>
  <conditionalFormatting sqref="E110:K110">
    <cfRule type="expression" dxfId="315" priority="16" stopIfTrue="1">
      <formula>$B$103&lt;5</formula>
    </cfRule>
  </conditionalFormatting>
  <conditionalFormatting sqref="E111:K111">
    <cfRule type="expression" dxfId="314" priority="15">
      <formula>$B$103&lt;6</formula>
    </cfRule>
  </conditionalFormatting>
  <conditionalFormatting sqref="E112:K112">
    <cfRule type="expression" dxfId="313" priority="14">
      <formula>$B$103&lt;7</formula>
    </cfRule>
  </conditionalFormatting>
  <conditionalFormatting sqref="E113:K113">
    <cfRule type="expression" dxfId="312" priority="13">
      <formula>$B$103&lt;8</formula>
    </cfRule>
  </conditionalFormatting>
  <conditionalFormatting sqref="E114:K114">
    <cfRule type="expression" dxfId="311" priority="12">
      <formula>$B$103&lt;9</formula>
    </cfRule>
  </conditionalFormatting>
  <conditionalFormatting sqref="E115:K115">
    <cfRule type="expression" dxfId="310" priority="11">
      <formula>$B$103&lt;10</formula>
    </cfRule>
  </conditionalFormatting>
  <conditionalFormatting sqref="D107:D129">
    <cfRule type="expression" dxfId="309" priority="86">
      <formula>AND(D107=7,I107="")</formula>
    </cfRule>
    <cfRule type="expression" dxfId="308" priority="87">
      <formula>AND(D107=3,G107=4)</formula>
    </cfRule>
    <cfRule type="expression" dxfId="307" priority="88">
      <formula>AND(D107=4,G107=3)</formula>
    </cfRule>
  </conditionalFormatting>
  <conditionalFormatting sqref="D106:D129">
    <cfRule type="cellIs" dxfId="306" priority="89" operator="notEqual">
      <formula>0</formula>
    </cfRule>
  </conditionalFormatting>
  <conditionalFormatting sqref="CI47:CN47 BX47:CE47">
    <cfRule type="cellIs" dxfId="305" priority="3" operator="equal">
      <formula>0</formula>
    </cfRule>
  </conditionalFormatting>
  <conditionalFormatting sqref="D102">
    <cfRule type="cellIs" dxfId="304" priority="4" stopIfTrue="1" operator="equal">
      <formula>"USE EXBAR TR AT THE BACK"</formula>
    </cfRule>
  </conditionalFormatting>
  <conditionalFormatting sqref="D101">
    <cfRule type="cellIs" dxfId="303" priority="5" stopIfTrue="1" operator="equal">
      <formula>"USE EXBAR TR AT THE FRONT"</formula>
    </cfRule>
  </conditionalFormatting>
  <conditionalFormatting sqref="BK47:DA47 BX69:CN69">
    <cfRule type="expression" dxfId="302" priority="2">
      <formula>$B$100=0</formula>
    </cfRule>
    <cfRule type="expression" dxfId="301" priority="94">
      <formula>$B$100=0</formula>
    </cfRule>
  </conditionalFormatting>
  <conditionalFormatting sqref="B78 E78:K78 B84 D84:K84">
    <cfRule type="expression" dxfId="300" priority="1">
      <formula>$BG$50=0</formula>
    </cfRule>
  </conditionalFormatting>
  <dataValidations count="12">
    <dataValidation type="list" allowBlank="1" showInputMessage="1" showErrorMessage="1" sqref="E106:K106">
      <formula1>"-6,-4,-2,0,2,4,6"</formula1>
    </dataValidation>
    <dataValidation type="whole" allowBlank="1" showInputMessage="1" showErrorMessage="1" sqref="E116:K129">
      <formula1>0</formula1>
      <formula2>8</formula2>
    </dataValidation>
    <dataValidation type="decimal" allowBlank="1" showInputMessage="1" showErrorMessage="1" sqref="N107:N129 M108:M129">
      <formula1>0</formula1>
      <formula2>8</formula2>
    </dataValidation>
    <dataValidation type="decimal" allowBlank="1" showInputMessage="1" showErrorMessage="1" sqref="M106:N106">
      <formula1>0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24" sqref="B103">
      <formula1>1</formula1>
      <formula2>24</formula2>
    </dataValidation>
    <dataValidation type="custom" allowBlank="1" showInputMessage="1" showErrorMessage="1" sqref="K107">
      <formula1>IF(AE107="pin in groundstacking hole",K107=1,K107=0)</formula1>
    </dataValidation>
    <dataValidation type="custom" allowBlank="1" showInputMessage="1" showErrorMessage="1" sqref="I107:J107">
      <formula1>IF(AE107="pin in groundstacking hole",I107=1,I107=0)</formula1>
    </dataValidation>
    <dataValidation type="custom" allowBlank="1" showInputMessage="1" showErrorMessage="1" sqref="H107">
      <formula1>IF(AE107="pin in groundstacking hole",H107=1,H107=0)</formula1>
    </dataValidation>
    <dataValidation type="custom" allowBlank="1" showInputMessage="1" showErrorMessage="1" sqref="E107:F107">
      <formula1>IF(AE107="pin in groundstacking hole",E107=1,E107=0)</formula1>
    </dataValidation>
    <dataValidation type="custom" allowBlank="1" showInputMessage="1" showErrorMessage="1" sqref="G107">
      <formula1>IF(AE107="pin in groundstacking hole",G107=1,G107=0)</formula1>
    </dataValidation>
    <dataValidation type="list" allowBlank="1" showInputMessage="1" showErrorMessage="1" sqref="D106:D129">
      <formula1>$E106:$K106</formula1>
    </dataValidation>
    <dataValidation type="decimal" allowBlank="1" showInputMessage="1" showErrorMessage="1" sqref="B100">
      <formula1>-89.9</formula1>
      <formula2>89.9</formula2>
    </dataValidation>
  </dataValidations>
  <pageMargins left="0.75" right="0.75" top="1" bottom="1" header="0.5" footer="0.5"/>
  <pageSetup paperSize="9" orientation="portrait" horizontalDpi="4294967293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DO157"/>
  <sheetViews>
    <sheetView zoomScale="55" zoomScaleNormal="55" workbookViewId="0">
      <selection activeCell="B109" sqref="B109"/>
    </sheetView>
  </sheetViews>
  <sheetFormatPr baseColWidth="10" defaultColWidth="9.140625" defaultRowHeight="18" x14ac:dyDescent="0.25"/>
  <cols>
    <col min="1" max="1" width="2.140625" style="2" customWidth="1"/>
    <col min="2" max="2" width="28.7109375" style="3" customWidth="1"/>
    <col min="3" max="3" width="20.140625" style="3" hidden="1" customWidth="1"/>
    <col min="4" max="4" width="27.7109375" style="4" customWidth="1"/>
    <col min="5" max="11" width="5" style="4" customWidth="1"/>
    <col min="12" max="12" width="36.85546875" style="4" hidden="1" customWidth="1"/>
    <col min="13" max="13" width="87.28515625" style="4" hidden="1" customWidth="1"/>
    <col min="14" max="14" width="8.85546875" style="4" hidden="1" customWidth="1"/>
    <col min="15" max="15" width="13" style="5" hidden="1" customWidth="1"/>
    <col min="16" max="16" width="14.7109375" style="5" hidden="1" customWidth="1"/>
    <col min="17" max="18" width="17.140625" style="5" hidden="1" customWidth="1"/>
    <col min="19" max="21" width="18.85546875" style="5" hidden="1" customWidth="1"/>
    <col min="22" max="22" width="8.140625" style="5" hidden="1" customWidth="1"/>
    <col min="23" max="23" width="18.85546875" style="5" hidden="1" customWidth="1"/>
    <col min="24" max="24" width="19.7109375" style="5" hidden="1" customWidth="1"/>
    <col min="25" max="25" width="27.7109375" style="5" hidden="1" customWidth="1"/>
    <col min="26" max="26" width="18.85546875" style="5" hidden="1" customWidth="1"/>
    <col min="27" max="27" width="22.28515625" style="5" hidden="1" customWidth="1"/>
    <col min="28" max="28" width="11.7109375" style="5" hidden="1" customWidth="1"/>
    <col min="29" max="29" width="18.85546875" style="5" hidden="1" customWidth="1"/>
    <col min="30" max="31" width="14.28515625" style="5" hidden="1" customWidth="1"/>
    <col min="32" max="32" width="12.85546875" style="5" hidden="1" customWidth="1"/>
    <col min="33" max="33" width="15.5703125" style="5" hidden="1" customWidth="1"/>
    <col min="34" max="34" width="18.85546875" style="5" hidden="1" customWidth="1"/>
    <col min="35" max="35" width="37.5703125" style="5" bestFit="1" customWidth="1"/>
    <col min="36" max="36" width="26.28515625" style="5" hidden="1" customWidth="1"/>
    <col min="37" max="37" width="3" style="5" hidden="1" customWidth="1"/>
    <col min="38" max="38" width="3.28515625" style="5" hidden="1" customWidth="1"/>
    <col min="39" max="39" width="94.7109375" style="5" hidden="1" customWidth="1"/>
    <col min="40" max="40" width="17.28515625" style="5" hidden="1" customWidth="1"/>
    <col min="41" max="41" width="9.28515625" style="5" hidden="1" customWidth="1"/>
    <col min="42" max="42" width="24.5703125" style="5" hidden="1" customWidth="1"/>
    <col min="43" max="43" width="19.42578125" style="5" hidden="1" customWidth="1"/>
    <col min="44" max="44" width="23.28515625" style="5" hidden="1" customWidth="1"/>
    <col min="45" max="45" width="19.85546875" style="5" hidden="1" customWidth="1"/>
    <col min="46" max="46" width="19.42578125" style="5" hidden="1" customWidth="1"/>
    <col min="47" max="47" width="22.28515625" style="5" hidden="1" customWidth="1"/>
    <col min="48" max="48" width="35" style="5" hidden="1" customWidth="1"/>
    <col min="49" max="49" width="54.42578125" style="5" hidden="1" customWidth="1"/>
    <col min="50" max="50" width="73.7109375" style="5" hidden="1" customWidth="1"/>
    <col min="51" max="51" width="19.42578125" style="5" hidden="1" customWidth="1"/>
    <col min="52" max="52" width="20.42578125" style="5" hidden="1" customWidth="1"/>
    <col min="53" max="53" width="35.42578125" style="5" hidden="1" customWidth="1"/>
    <col min="54" max="54" width="19.42578125" style="5" hidden="1" customWidth="1"/>
    <col min="55" max="56" width="20.140625" style="5" hidden="1" customWidth="1"/>
    <col min="57" max="57" width="12.5703125" style="5" hidden="1" customWidth="1"/>
    <col min="58" max="58" width="11" style="5" hidden="1" customWidth="1"/>
    <col min="59" max="60" width="13.140625" style="5" customWidth="1"/>
    <col min="61" max="61" width="7.7109375" style="2" hidden="1" customWidth="1"/>
    <col min="62" max="62" width="14.42578125" style="2" hidden="1" customWidth="1"/>
    <col min="63" max="68" width="11.28515625" style="2" hidden="1" customWidth="1"/>
    <col min="69" max="69" width="9.85546875" style="2" hidden="1" customWidth="1"/>
    <col min="70" max="70" width="22" style="13" hidden="1" customWidth="1"/>
    <col min="71" max="71" width="19.42578125" style="13" hidden="1" customWidth="1"/>
    <col min="72" max="72" width="34.42578125" style="13" bestFit="1" customWidth="1"/>
    <col min="73" max="114" width="5.42578125" style="13" customWidth="1"/>
    <col min="115" max="115" width="6.42578125" style="13" customWidth="1"/>
    <col min="116" max="116" width="18.42578125" style="13" hidden="1" customWidth="1"/>
    <col min="117" max="117" width="16.7109375" style="13" hidden="1" customWidth="1"/>
    <col min="118" max="118" width="0" style="13" hidden="1" customWidth="1"/>
    <col min="119" max="119" width="9.28515625" style="2" hidden="1" customWidth="1"/>
    <col min="120" max="127" width="0" style="2" hidden="1" customWidth="1"/>
    <col min="128" max="16384" width="9.140625" style="2"/>
  </cols>
  <sheetData>
    <row r="1" spans="2:118" ht="24.75" customHeight="1" thickBot="1" x14ac:dyDescent="0.35">
      <c r="BR1" s="7"/>
      <c r="BS1" s="7"/>
      <c r="BT1" s="693" t="s">
        <v>27</v>
      </c>
      <c r="BU1" s="750">
        <f>+C20</f>
        <v>63.4</v>
      </c>
      <c r="BV1" s="750"/>
      <c r="BW1" s="694" t="s">
        <v>17</v>
      </c>
      <c r="BX1" s="694"/>
      <c r="BY1" s="695" t="s">
        <v>126</v>
      </c>
      <c r="BZ1" s="696"/>
      <c r="CA1" s="696"/>
      <c r="CB1" s="696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</row>
    <row r="2" spans="2:118" ht="24.75" customHeight="1" x14ac:dyDescent="0.25">
      <c r="BR2" s="12"/>
      <c r="BS2" s="12"/>
      <c r="BT2" s="581" t="s">
        <v>29</v>
      </c>
      <c r="BU2" s="582" t="s">
        <v>30</v>
      </c>
      <c r="BV2" s="583"/>
      <c r="BW2" s="583"/>
      <c r="BX2" s="583"/>
      <c r="BY2" s="583"/>
      <c r="BZ2" s="583"/>
      <c r="CA2" s="583"/>
      <c r="CB2" s="583"/>
      <c r="CC2" s="583"/>
      <c r="CD2" s="583"/>
      <c r="CE2" s="583"/>
      <c r="CF2" s="583"/>
      <c r="CG2" s="583"/>
      <c r="CH2" s="583"/>
      <c r="CI2" s="583"/>
      <c r="CJ2" s="583"/>
      <c r="CK2" s="583"/>
      <c r="CL2" s="583"/>
      <c r="CM2" s="584"/>
      <c r="CN2" s="585"/>
      <c r="CO2" s="585"/>
      <c r="CP2" s="585"/>
      <c r="CQ2" s="585"/>
      <c r="CR2" s="585"/>
      <c r="CS2" s="584"/>
      <c r="CT2" s="584"/>
      <c r="CU2" s="584"/>
      <c r="CV2" s="584"/>
      <c r="CW2" s="584"/>
      <c r="CX2" s="586" t="s">
        <v>31</v>
      </c>
      <c r="CY2" s="587"/>
      <c r="CZ2" s="588"/>
      <c r="DA2" s="588"/>
      <c r="DB2" s="588"/>
      <c r="DC2" s="588"/>
      <c r="DD2" s="588"/>
      <c r="DE2" s="588"/>
      <c r="DF2" s="588"/>
      <c r="DG2" s="588"/>
      <c r="DH2" s="588"/>
      <c r="DI2" s="588"/>
      <c r="DJ2" s="588"/>
      <c r="DK2" s="589"/>
    </row>
    <row r="3" spans="2:118" ht="42.75" customHeight="1" thickBot="1" x14ac:dyDescent="0.4">
      <c r="BR3" s="12"/>
      <c r="BS3" s="684">
        <f>+IF(AND(CW3&gt;0,BU3&gt;0),BU3)</f>
        <v>22.754386432151783</v>
      </c>
      <c r="BT3" s="590" t="s">
        <v>104</v>
      </c>
      <c r="BU3" s="764">
        <f>+((D16-D18)/D16)*C20</f>
        <v>22.754386432151783</v>
      </c>
      <c r="BV3" s="765"/>
      <c r="BW3" s="591"/>
      <c r="BX3" s="591"/>
      <c r="BY3" s="591"/>
      <c r="BZ3" s="591"/>
      <c r="CA3" s="591"/>
      <c r="CB3" s="591"/>
      <c r="CC3" s="591"/>
      <c r="CD3" s="591"/>
      <c r="CE3" s="591"/>
      <c r="CF3" s="591"/>
      <c r="CG3" s="591"/>
      <c r="CH3" s="591"/>
      <c r="CI3" s="591"/>
      <c r="CJ3" s="591"/>
      <c r="CK3" s="591"/>
      <c r="CL3" s="591"/>
      <c r="CM3" s="592"/>
      <c r="CN3" s="593"/>
      <c r="CO3" s="593"/>
      <c r="CP3" s="593"/>
      <c r="CQ3" s="593"/>
      <c r="CR3" s="594"/>
      <c r="CS3" s="592"/>
      <c r="CT3" s="592"/>
      <c r="CU3" s="592"/>
      <c r="CV3" s="592"/>
      <c r="CW3" s="745">
        <f>+(D18/D16)*C20</f>
        <v>40.645613567848216</v>
      </c>
      <c r="CX3" s="746"/>
      <c r="CY3" s="595"/>
      <c r="CZ3" s="596"/>
      <c r="DA3" s="596"/>
      <c r="DB3" s="596"/>
      <c r="DC3" s="596"/>
      <c r="DD3" s="596"/>
      <c r="DE3" s="596"/>
      <c r="DF3" s="596"/>
      <c r="DG3" s="596"/>
      <c r="DH3" s="596"/>
      <c r="DI3" s="596"/>
      <c r="DJ3" s="596"/>
      <c r="DK3" s="597"/>
      <c r="DL3" s="684">
        <f>+IF(AND(BU3&gt;0,CW3&gt;0),CW3)</f>
        <v>40.645613567848216</v>
      </c>
    </row>
    <row r="4" spans="2:118" ht="25.5" customHeight="1" x14ac:dyDescent="0.25">
      <c r="BR4" s="12"/>
      <c r="BS4" s="12"/>
      <c r="BT4" s="658" t="s">
        <v>29</v>
      </c>
      <c r="BU4" s="587"/>
      <c r="BV4" s="588"/>
      <c r="BW4" s="588"/>
      <c r="BX4" s="588"/>
      <c r="BY4" s="588"/>
      <c r="BZ4" s="588"/>
      <c r="CA4" s="588"/>
      <c r="CB4" s="588"/>
      <c r="CC4" s="588"/>
      <c r="CD4" s="588"/>
      <c r="CE4" s="588"/>
      <c r="CF4" s="588"/>
      <c r="CG4" s="589"/>
      <c r="CH4" s="599" t="s">
        <v>30</v>
      </c>
      <c r="CI4" s="600"/>
      <c r="CJ4" s="600"/>
      <c r="CK4" s="600"/>
      <c r="CL4" s="600"/>
      <c r="CM4" s="600"/>
      <c r="CN4" s="600"/>
      <c r="CO4" s="600"/>
      <c r="CP4" s="600"/>
      <c r="CQ4" s="600"/>
      <c r="CR4" s="584"/>
      <c r="CS4" s="584"/>
      <c r="CT4" s="584"/>
      <c r="CU4" s="584"/>
      <c r="CV4" s="584"/>
      <c r="CW4" s="584"/>
      <c r="CX4" s="584"/>
      <c r="CY4" s="601"/>
      <c r="CZ4" s="601"/>
      <c r="DA4" s="601"/>
      <c r="DB4" s="601"/>
      <c r="DC4" s="601"/>
      <c r="DD4" s="601"/>
      <c r="DE4" s="601"/>
      <c r="DF4" s="601"/>
      <c r="DG4" s="601"/>
      <c r="DH4" s="601"/>
      <c r="DI4" s="601"/>
      <c r="DJ4" s="601"/>
      <c r="DK4" s="602" t="s">
        <v>31</v>
      </c>
    </row>
    <row r="5" spans="2:118" ht="38.25" customHeight="1" thickBot="1" x14ac:dyDescent="0.4">
      <c r="BR5" s="12"/>
      <c r="BS5" s="684">
        <f>+IF(AND(DJ5&gt;0,CH5&gt;0),CH5)</f>
        <v>51.175076087324193</v>
      </c>
      <c r="BT5" s="660" t="s">
        <v>103</v>
      </c>
      <c r="BU5" s="595"/>
      <c r="BV5" s="596"/>
      <c r="BW5" s="596"/>
      <c r="BX5" s="596"/>
      <c r="BY5" s="596"/>
      <c r="BZ5" s="596"/>
      <c r="CA5" s="596"/>
      <c r="CB5" s="596"/>
      <c r="CC5" s="596"/>
      <c r="CD5" s="596"/>
      <c r="CE5" s="596"/>
      <c r="CF5" s="596"/>
      <c r="CG5" s="597"/>
      <c r="CH5" s="743">
        <f>+((D16-D15)/D16)*C20</f>
        <v>51.175076087324193</v>
      </c>
      <c r="CI5" s="744"/>
      <c r="CJ5" s="604"/>
      <c r="CK5" s="604"/>
      <c r="CL5" s="604"/>
      <c r="CM5" s="604"/>
      <c r="CN5" s="604"/>
      <c r="CO5" s="604"/>
      <c r="CP5" s="604"/>
      <c r="CQ5" s="604"/>
      <c r="CR5" s="592"/>
      <c r="CS5" s="592"/>
      <c r="CT5" s="592"/>
      <c r="CU5" s="592"/>
      <c r="CV5" s="592"/>
      <c r="CW5" s="592"/>
      <c r="CX5" s="592"/>
      <c r="CY5" s="592"/>
      <c r="CZ5" s="592"/>
      <c r="DA5" s="592"/>
      <c r="DB5" s="592"/>
      <c r="DC5" s="592"/>
      <c r="DD5" s="592"/>
      <c r="DE5" s="592"/>
      <c r="DF5" s="592"/>
      <c r="DG5" s="592"/>
      <c r="DH5" s="592"/>
      <c r="DI5" s="592"/>
      <c r="DJ5" s="741">
        <f>+(D15/D16)*C20</f>
        <v>12.224923912675807</v>
      </c>
      <c r="DK5" s="742"/>
      <c r="DL5" s="684">
        <f>+IF(AND(CH5&gt;0,DJ5&gt;0),DJ5)</f>
        <v>12.224923912675807</v>
      </c>
    </row>
    <row r="6" spans="2:118" ht="18.75" thickBot="1" x14ac:dyDescent="0.3">
      <c r="BR6" s="12"/>
      <c r="BS6" s="12"/>
      <c r="BT6" s="434"/>
      <c r="BU6" s="434"/>
      <c r="BV6" s="434"/>
      <c r="BW6" s="434"/>
      <c r="BX6" s="434"/>
      <c r="BY6" s="434"/>
      <c r="BZ6" s="434"/>
      <c r="CA6" s="434"/>
      <c r="CB6" s="434"/>
      <c r="CC6" s="434"/>
      <c r="CD6" s="434"/>
      <c r="CE6" s="434"/>
      <c r="CF6" s="434"/>
      <c r="CG6" s="434"/>
      <c r="CH6" s="434"/>
      <c r="CI6" s="434"/>
      <c r="CJ6" s="434"/>
      <c r="CK6" s="434"/>
      <c r="CL6" s="434"/>
      <c r="CM6" s="434"/>
      <c r="CN6" s="434"/>
      <c r="CO6" s="434"/>
      <c r="CP6" s="434"/>
      <c r="CQ6" s="434"/>
      <c r="CR6" s="434"/>
      <c r="CS6" s="434"/>
      <c r="CT6" s="434"/>
      <c r="CU6" s="434"/>
      <c r="CV6" s="434"/>
      <c r="CW6" s="434"/>
      <c r="CX6" s="434"/>
      <c r="CY6" s="434"/>
      <c r="CZ6" s="434"/>
      <c r="DA6" s="434"/>
      <c r="DB6" s="434"/>
      <c r="DC6" s="434"/>
      <c r="DD6" s="434"/>
      <c r="DE6" s="434"/>
      <c r="DF6" s="434"/>
      <c r="DG6" s="434"/>
      <c r="DH6" s="434"/>
      <c r="DI6" s="434"/>
      <c r="DJ6" s="434"/>
      <c r="DK6" s="434"/>
    </row>
    <row r="7" spans="2:118" ht="18.75" hidden="1" thickBot="1" x14ac:dyDescent="0.3">
      <c r="BR7" s="22"/>
      <c r="BS7" s="22"/>
      <c r="BT7" s="434"/>
      <c r="BU7" s="434"/>
      <c r="BV7" s="434"/>
      <c r="BW7" s="434"/>
      <c r="BX7" s="434"/>
      <c r="BY7" s="434"/>
      <c r="BZ7" s="434"/>
      <c r="CA7" s="434"/>
      <c r="CB7" s="434"/>
      <c r="CC7" s="434"/>
      <c r="CD7" s="434"/>
      <c r="CE7" s="434"/>
      <c r="CF7" s="434"/>
      <c r="CG7" s="434"/>
      <c r="CH7" s="434"/>
      <c r="CI7" s="434"/>
      <c r="CJ7" s="434"/>
      <c r="CK7" s="434"/>
      <c r="CL7" s="434"/>
      <c r="CM7" s="434"/>
      <c r="CN7" s="434"/>
      <c r="CO7" s="434"/>
      <c r="CP7" s="434"/>
      <c r="CQ7" s="434"/>
      <c r="CR7" s="434"/>
      <c r="CS7" s="434"/>
      <c r="CT7" s="434"/>
      <c r="CU7" s="434"/>
      <c r="CV7" s="434"/>
      <c r="CW7" s="434"/>
      <c r="CX7" s="434"/>
      <c r="CY7" s="434"/>
      <c r="CZ7" s="434"/>
      <c r="DA7" s="434"/>
      <c r="DB7" s="434"/>
      <c r="DC7" s="434"/>
      <c r="DD7" s="434"/>
      <c r="DE7" s="434"/>
      <c r="DF7" s="434"/>
      <c r="DG7" s="434"/>
      <c r="DH7" s="434"/>
      <c r="DI7" s="434"/>
      <c r="DJ7" s="434"/>
      <c r="DK7" s="434"/>
    </row>
    <row r="8" spans="2:118" ht="18.75" hidden="1" thickBot="1" x14ac:dyDescent="0.3">
      <c r="BR8" s="12"/>
      <c r="BS8" s="12"/>
      <c r="BT8" s="434">
        <v>26</v>
      </c>
      <c r="BU8" s="434"/>
      <c r="BV8" s="434"/>
      <c r="BW8" s="434"/>
      <c r="BX8" s="434"/>
      <c r="BY8" s="434"/>
      <c r="BZ8" s="434"/>
      <c r="CA8" s="434"/>
      <c r="CB8" s="434"/>
      <c r="CC8" s="434"/>
      <c r="CD8" s="434"/>
      <c r="CE8" s="434"/>
      <c r="CF8" s="434"/>
      <c r="CG8" s="434"/>
      <c r="CH8" s="434"/>
      <c r="CI8" s="434"/>
      <c r="CJ8" s="434"/>
      <c r="CK8" s="434"/>
      <c r="CL8" s="434"/>
      <c r="CM8" s="434"/>
      <c r="CN8" s="434"/>
      <c r="CO8" s="434"/>
      <c r="CP8" s="434"/>
      <c r="CQ8" s="434"/>
      <c r="CR8" s="434"/>
      <c r="CS8" s="434"/>
      <c r="CT8" s="434"/>
      <c r="CU8" s="434"/>
      <c r="CV8" s="434"/>
      <c r="CW8" s="434"/>
      <c r="CX8" s="434"/>
      <c r="CY8" s="434"/>
      <c r="CZ8" s="434"/>
      <c r="DA8" s="434"/>
      <c r="DB8" s="434"/>
      <c r="DC8" s="434"/>
      <c r="DD8" s="434"/>
      <c r="DE8" s="434"/>
      <c r="DF8" s="434"/>
      <c r="DG8" s="434"/>
      <c r="DH8" s="434"/>
      <c r="DI8" s="605" t="b">
        <f>IF(DJ72=26,25)</f>
        <v>0</v>
      </c>
      <c r="DJ8" s="606"/>
      <c r="DK8" s="607" t="b">
        <f>IF(DJ72=26,27)</f>
        <v>0</v>
      </c>
    </row>
    <row r="9" spans="2:118" ht="18.75" hidden="1" thickBot="1" x14ac:dyDescent="0.3">
      <c r="BR9" s="12"/>
      <c r="BS9" s="12"/>
      <c r="BT9" s="434">
        <v>25</v>
      </c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434"/>
      <c r="CX9" s="434"/>
      <c r="CY9" s="434"/>
      <c r="CZ9" s="434"/>
      <c r="DA9" s="434"/>
      <c r="DB9" s="434"/>
      <c r="DC9" s="434"/>
      <c r="DD9" s="434"/>
      <c r="DE9" s="434"/>
      <c r="DF9" s="434"/>
      <c r="DG9" s="605" t="b">
        <f>IF(DI72=25,23)</f>
        <v>0</v>
      </c>
      <c r="DH9" s="606"/>
      <c r="DI9" s="606"/>
      <c r="DJ9" s="606"/>
      <c r="DK9" s="607" t="b">
        <f>IF(DI72=25,27)</f>
        <v>0</v>
      </c>
    </row>
    <row r="10" spans="2:118" ht="18.75" hidden="1" thickBot="1" x14ac:dyDescent="0.3">
      <c r="BR10" s="12"/>
      <c r="BS10" s="12"/>
      <c r="BT10" s="434">
        <v>24</v>
      </c>
      <c r="BU10" s="608"/>
      <c r="BV10" s="608"/>
      <c r="BW10" s="608"/>
      <c r="BX10" s="608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434"/>
      <c r="CL10" s="434"/>
      <c r="CM10" s="434"/>
      <c r="CN10" s="434"/>
      <c r="CO10" s="434"/>
      <c r="CP10" s="434"/>
      <c r="CQ10" s="434"/>
      <c r="CR10" s="434"/>
      <c r="CS10" s="434"/>
      <c r="CT10" s="434"/>
      <c r="CU10" s="434"/>
      <c r="CV10" s="434"/>
      <c r="CW10" s="434"/>
      <c r="CX10" s="434"/>
      <c r="CY10" s="434"/>
      <c r="CZ10" s="434"/>
      <c r="DA10" s="434"/>
      <c r="DB10" s="434"/>
      <c r="DC10" s="434"/>
      <c r="DD10" s="434"/>
      <c r="DE10" s="605" t="b">
        <f>IF(DH72=24,21)</f>
        <v>0</v>
      </c>
      <c r="DF10" s="606"/>
      <c r="DG10" s="606"/>
      <c r="DH10" s="606"/>
      <c r="DI10" s="606"/>
      <c r="DJ10" s="609"/>
      <c r="DK10" s="607" t="b">
        <f>IF(DH72=24,27)</f>
        <v>0</v>
      </c>
    </row>
    <row r="11" spans="2:118" ht="18.75" hidden="1" thickBot="1" x14ac:dyDescent="0.3">
      <c r="BR11" s="12"/>
      <c r="BS11" s="12"/>
      <c r="BT11" s="434">
        <v>23</v>
      </c>
      <c r="BU11" s="608"/>
      <c r="BV11" s="608"/>
      <c r="BW11" s="608"/>
      <c r="BX11" s="608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L11" s="434"/>
      <c r="CM11" s="434"/>
      <c r="CN11" s="434"/>
      <c r="CO11" s="434"/>
      <c r="CP11" s="434"/>
      <c r="CQ11" s="434"/>
      <c r="CR11" s="434"/>
      <c r="CS11" s="434"/>
      <c r="CT11" s="434"/>
      <c r="CU11" s="434"/>
      <c r="CV11" s="434"/>
      <c r="CW11" s="434"/>
      <c r="CX11" s="434"/>
      <c r="CY11" s="434"/>
      <c r="CZ11" s="434"/>
      <c r="DA11" s="434"/>
      <c r="DB11" s="434"/>
      <c r="DC11" s="605" t="b">
        <f>IF(DG72=23,19)</f>
        <v>0</v>
      </c>
      <c r="DD11" s="606"/>
      <c r="DE11" s="606"/>
      <c r="DF11" s="606"/>
      <c r="DG11" s="606"/>
      <c r="DH11" s="606"/>
      <c r="DI11" s="606"/>
      <c r="DJ11" s="606"/>
      <c r="DK11" s="607" t="b">
        <f>IF(DG72=23,27)</f>
        <v>0</v>
      </c>
    </row>
    <row r="12" spans="2:118" ht="18.75" hidden="1" thickBot="1" x14ac:dyDescent="0.3">
      <c r="BR12" s="12"/>
      <c r="BS12" s="12"/>
      <c r="BT12" s="434">
        <v>22</v>
      </c>
      <c r="BU12" s="608"/>
      <c r="BV12" s="608"/>
      <c r="BW12" s="608"/>
      <c r="BX12" s="608"/>
      <c r="BY12" s="434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434"/>
      <c r="CR12" s="434"/>
      <c r="CS12" s="434"/>
      <c r="CT12" s="434"/>
      <c r="CU12" s="434"/>
      <c r="CV12" s="434"/>
      <c r="CW12" s="434"/>
      <c r="CX12" s="434"/>
      <c r="CY12" s="434"/>
      <c r="CZ12" s="434"/>
      <c r="DA12" s="605" t="b">
        <f>IF(DF72=22,17)</f>
        <v>0</v>
      </c>
      <c r="DB12" s="606"/>
      <c r="DC12" s="606"/>
      <c r="DD12" s="606"/>
      <c r="DE12" s="606"/>
      <c r="DF12" s="606"/>
      <c r="DG12" s="606"/>
      <c r="DH12" s="606"/>
      <c r="DI12" s="606"/>
      <c r="DJ12" s="606"/>
      <c r="DK12" s="607" t="b">
        <f>IF(DF72=22,27)</f>
        <v>0</v>
      </c>
    </row>
    <row r="13" spans="2:118" ht="18.75" hidden="1" thickBot="1" x14ac:dyDescent="0.3">
      <c r="B13" s="264" t="s">
        <v>92</v>
      </c>
      <c r="D13" s="538" t="s">
        <v>158</v>
      </c>
      <c r="E13" s="538" t="s">
        <v>159</v>
      </c>
      <c r="F13" s="538" t="s">
        <v>160</v>
      </c>
      <c r="G13" s="28"/>
      <c r="H13" s="28"/>
      <c r="I13" s="28"/>
      <c r="J13" s="28"/>
      <c r="K13" s="28"/>
      <c r="BR13" s="12"/>
      <c r="BS13" s="12"/>
      <c r="BT13" s="434">
        <v>21</v>
      </c>
      <c r="BU13" s="608"/>
      <c r="BV13" s="608"/>
      <c r="BW13" s="608"/>
      <c r="BX13" s="608"/>
      <c r="BY13" s="434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434"/>
      <c r="CP13" s="434"/>
      <c r="CQ13" s="434"/>
      <c r="CR13" s="434"/>
      <c r="CS13" s="434"/>
      <c r="CT13" s="434"/>
      <c r="CU13" s="434"/>
      <c r="CV13" s="434"/>
      <c r="CW13" s="434"/>
      <c r="CX13" s="434"/>
      <c r="CY13" s="605" t="b">
        <f>IF(DE72=21,15)</f>
        <v>0</v>
      </c>
      <c r="CZ13" s="606"/>
      <c r="DA13" s="606"/>
      <c r="DB13" s="606"/>
      <c r="DC13" s="606"/>
      <c r="DD13" s="606"/>
      <c r="DE13" s="606"/>
      <c r="DF13" s="606"/>
      <c r="DG13" s="606"/>
      <c r="DH13" s="606"/>
      <c r="DI13" s="606"/>
      <c r="DJ13" s="606"/>
      <c r="DK13" s="607" t="b">
        <f>IF(DE72=21,27)</f>
        <v>0</v>
      </c>
    </row>
    <row r="14" spans="2:118" ht="21" hidden="1" thickBot="1" x14ac:dyDescent="0.35">
      <c r="B14" s="19" t="s">
        <v>28</v>
      </c>
      <c r="C14" s="266">
        <v>408</v>
      </c>
      <c r="D14" s="539">
        <f>+COS(($B$104*-1)*3.14159265358979/180)*C14</f>
        <v>408</v>
      </c>
      <c r="E14" s="540">
        <f>+COS(($B$104*-1)*3.14159265358979/180)*25.5</f>
        <v>25.5</v>
      </c>
      <c r="F14" s="540">
        <f>+COS((($B$104*-1)+58.4416265)*3.14159265358979/180)*45.856925</f>
        <v>23.999999960764171</v>
      </c>
      <c r="G14" s="28"/>
      <c r="H14" s="28"/>
      <c r="I14" s="28"/>
      <c r="J14" s="28"/>
      <c r="K14" s="28"/>
      <c r="BR14" s="12"/>
      <c r="BS14" s="12"/>
      <c r="BT14" s="434">
        <v>20</v>
      </c>
      <c r="BU14" s="608"/>
      <c r="BV14" s="608"/>
      <c r="BW14" s="608"/>
      <c r="BX14" s="608"/>
      <c r="BY14" s="434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434"/>
      <c r="CN14" s="434"/>
      <c r="CO14" s="434"/>
      <c r="CP14" s="434"/>
      <c r="CQ14" s="434"/>
      <c r="CR14" s="434"/>
      <c r="CS14" s="434"/>
      <c r="CT14" s="434"/>
      <c r="CU14" s="434"/>
      <c r="CV14" s="434"/>
      <c r="CW14" s="605" t="b">
        <f>IF(DD72=20,13)</f>
        <v>0</v>
      </c>
      <c r="CX14" s="606"/>
      <c r="CY14" s="606"/>
      <c r="CZ14" s="606"/>
      <c r="DA14" s="606"/>
      <c r="DB14" s="606"/>
      <c r="DC14" s="606"/>
      <c r="DD14" s="606"/>
      <c r="DE14" s="606"/>
      <c r="DF14" s="606"/>
      <c r="DG14" s="606"/>
      <c r="DH14" s="606"/>
      <c r="DI14" s="606"/>
      <c r="DJ14" s="606"/>
      <c r="DK14" s="607" t="b">
        <f>IF(DD72=20,27)</f>
        <v>0</v>
      </c>
    </row>
    <row r="15" spans="2:118" ht="53.25" hidden="1" customHeight="1" thickBot="1" x14ac:dyDescent="0.35">
      <c r="B15" s="265" t="s">
        <v>93</v>
      </c>
      <c r="C15" s="21">
        <f>+C22-24</f>
        <v>142.59197525135974</v>
      </c>
      <c r="D15" s="539">
        <f>+C22-F14</f>
        <v>142.59197529059557</v>
      </c>
      <c r="E15" s="28"/>
      <c r="F15" s="28"/>
      <c r="G15" s="28"/>
      <c r="H15" s="28"/>
      <c r="I15" s="28"/>
      <c r="J15" s="28"/>
      <c r="K15" s="28"/>
      <c r="BR15" s="12"/>
      <c r="BS15" s="12"/>
      <c r="BT15" s="434">
        <v>19</v>
      </c>
      <c r="BU15" s="608"/>
      <c r="BV15" s="608"/>
      <c r="BW15" s="608"/>
      <c r="BX15" s="608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605" t="b">
        <f>IF(DC72=19,11)</f>
        <v>0</v>
      </c>
      <c r="CV15" s="606"/>
      <c r="CW15" s="606"/>
      <c r="CX15" s="606"/>
      <c r="CY15" s="606"/>
      <c r="CZ15" s="606"/>
      <c r="DA15" s="606"/>
      <c r="DB15" s="606"/>
      <c r="DC15" s="606"/>
      <c r="DD15" s="606"/>
      <c r="DE15" s="606"/>
      <c r="DF15" s="606"/>
      <c r="DG15" s="606"/>
      <c r="DH15" s="606"/>
      <c r="DI15" s="606"/>
      <c r="DJ15" s="606"/>
      <c r="DK15" s="607" t="b">
        <f>IF(DC72=19,27)</f>
        <v>0</v>
      </c>
    </row>
    <row r="16" spans="2:118" ht="53.25" hidden="1" customHeight="1" thickBot="1" x14ac:dyDescent="0.35">
      <c r="B16" s="267" t="s">
        <v>67</v>
      </c>
      <c r="C16" s="24">
        <v>739.5</v>
      </c>
      <c r="D16" s="539">
        <f>+COS(($B$104*-1)*3.14159265358979/180)*C16</f>
        <v>739.5</v>
      </c>
      <c r="E16" s="28"/>
      <c r="F16" s="28"/>
      <c r="G16" s="28"/>
      <c r="H16" s="28"/>
      <c r="I16" s="28"/>
      <c r="J16" s="28"/>
      <c r="K16" s="28"/>
      <c r="BR16" s="12"/>
      <c r="BS16" s="12"/>
      <c r="BT16" s="434">
        <v>18</v>
      </c>
      <c r="BU16" s="608"/>
      <c r="BV16" s="608"/>
      <c r="BW16" s="608"/>
      <c r="BX16" s="608"/>
      <c r="BY16" s="434"/>
      <c r="BZ16" s="434"/>
      <c r="CA16" s="434"/>
      <c r="CB16" s="434"/>
      <c r="CC16" s="434"/>
      <c r="CD16" s="434"/>
      <c r="CE16" s="434"/>
      <c r="CF16" s="434"/>
      <c r="CG16" s="434"/>
      <c r="CH16" s="434"/>
      <c r="CI16" s="434"/>
      <c r="CJ16" s="434"/>
      <c r="CK16" s="434"/>
      <c r="CL16" s="434"/>
      <c r="CM16" s="434"/>
      <c r="CN16" s="434"/>
      <c r="CO16" s="434"/>
      <c r="CP16" s="434"/>
      <c r="CQ16" s="434"/>
      <c r="CR16" s="434"/>
      <c r="CS16" s="605" t="b">
        <f>IF(DB72=18,9)</f>
        <v>0</v>
      </c>
      <c r="CT16" s="606"/>
      <c r="CU16" s="606"/>
      <c r="CV16" s="606"/>
      <c r="CW16" s="606"/>
      <c r="CX16" s="606"/>
      <c r="CY16" s="606"/>
      <c r="CZ16" s="606"/>
      <c r="DA16" s="606"/>
      <c r="DB16" s="606"/>
      <c r="DC16" s="606"/>
      <c r="DD16" s="606"/>
      <c r="DE16" s="606"/>
      <c r="DF16" s="606"/>
      <c r="DG16" s="606"/>
      <c r="DH16" s="606"/>
      <c r="DI16" s="606"/>
      <c r="DJ16" s="606"/>
      <c r="DK16" s="607" t="b">
        <f>IF(DB72=18,27)</f>
        <v>0</v>
      </c>
    </row>
    <row r="17" spans="2:118" ht="53.25" hidden="1" customHeight="1" thickBot="1" x14ac:dyDescent="0.35">
      <c r="B17" s="267" t="s">
        <v>68</v>
      </c>
      <c r="C17" s="25">
        <v>739.5</v>
      </c>
      <c r="E17" s="28"/>
      <c r="F17" s="28"/>
      <c r="G17" s="28"/>
      <c r="H17" s="28"/>
      <c r="I17" s="28"/>
      <c r="J17" s="28"/>
      <c r="K17" s="28"/>
      <c r="BR17" s="12"/>
      <c r="BS17" s="12"/>
      <c r="BT17" s="434">
        <v>17</v>
      </c>
      <c r="BU17" s="608"/>
      <c r="BV17" s="608"/>
      <c r="BW17" s="608"/>
      <c r="BX17" s="608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434"/>
      <c r="CQ17" s="434"/>
      <c r="CR17" s="434"/>
      <c r="CS17" s="610" t="b">
        <f>IF(DA72=17,9)</f>
        <v>0</v>
      </c>
      <c r="CT17" s="611"/>
      <c r="CU17" s="611"/>
      <c r="CV17" s="611"/>
      <c r="CW17" s="611"/>
      <c r="CX17" s="611"/>
      <c r="CY17" s="611"/>
      <c r="CZ17" s="611"/>
      <c r="DA17" s="611"/>
      <c r="DB17" s="611"/>
      <c r="DC17" s="611"/>
      <c r="DD17" s="611"/>
      <c r="DE17" s="611"/>
      <c r="DF17" s="611"/>
      <c r="DG17" s="611"/>
      <c r="DH17" s="611"/>
      <c r="DI17" s="612" t="b">
        <f>IF(DA72=17,25)</f>
        <v>0</v>
      </c>
      <c r="DJ17" s="434"/>
      <c r="DK17" s="434"/>
    </row>
    <row r="18" spans="2:118" ht="55.5" hidden="1" thickBot="1" x14ac:dyDescent="0.35">
      <c r="B18" s="574" t="s">
        <v>161</v>
      </c>
      <c r="C18" s="575">
        <f>+C22+307.5</f>
        <v>474.09197525135971</v>
      </c>
      <c r="D18" s="550">
        <f>+(COS(($B$104*-1)*3.14159265358979/180)*331.5)+$D$15</f>
        <v>474.09197529059554</v>
      </c>
      <c r="E18" s="28"/>
      <c r="F18" s="28"/>
      <c r="G18" s="28"/>
      <c r="H18" s="28"/>
      <c r="I18" s="28"/>
      <c r="J18" s="28"/>
      <c r="K18" s="28"/>
      <c r="BR18" s="12"/>
      <c r="BS18" s="12"/>
      <c r="BT18" s="434">
        <v>16</v>
      </c>
      <c r="BU18" s="608"/>
      <c r="BV18" s="608"/>
      <c r="BW18" s="608"/>
      <c r="BX18" s="608"/>
      <c r="BY18" s="608"/>
      <c r="BZ18" s="608"/>
      <c r="CA18" s="608"/>
      <c r="CB18" s="608"/>
      <c r="CC18" s="608"/>
      <c r="CD18" s="608"/>
      <c r="CE18" s="608"/>
      <c r="CF18" s="608"/>
      <c r="CG18" s="608"/>
      <c r="CH18" s="608"/>
      <c r="CI18" s="608"/>
      <c r="CJ18" s="608"/>
      <c r="CK18" s="608"/>
      <c r="CL18" s="608"/>
      <c r="CM18" s="608"/>
      <c r="CN18" s="608"/>
      <c r="CO18" s="613" t="b">
        <f>IF(CZ72=16,8)</f>
        <v>0</v>
      </c>
      <c r="CP18" s="614"/>
      <c r="CQ18" s="614"/>
      <c r="CR18" s="614"/>
      <c r="CS18" s="606"/>
      <c r="CT18" s="606"/>
      <c r="CU18" s="606"/>
      <c r="CV18" s="606"/>
      <c r="CW18" s="606"/>
      <c r="CX18" s="606"/>
      <c r="CY18" s="606"/>
      <c r="CZ18" s="606"/>
      <c r="DA18" s="606"/>
      <c r="DB18" s="606"/>
      <c r="DC18" s="606"/>
      <c r="DD18" s="606"/>
      <c r="DE18" s="606"/>
      <c r="DF18" s="606"/>
      <c r="DG18" s="606"/>
      <c r="DH18" s="606"/>
      <c r="DI18" s="606"/>
      <c r="DJ18" s="606"/>
      <c r="DK18" s="615" t="b">
        <f>IF(CZ72=16,27)</f>
        <v>0</v>
      </c>
    </row>
    <row r="19" spans="2:118" ht="18.75" hidden="1" thickBot="1" x14ac:dyDescent="0.3">
      <c r="B19" s="350"/>
      <c r="C19" s="350"/>
      <c r="D19" s="28"/>
      <c r="E19" s="28"/>
      <c r="F19" s="28"/>
      <c r="G19" s="28"/>
      <c r="H19" s="28"/>
      <c r="I19" s="28"/>
      <c r="J19" s="28"/>
      <c r="K19" s="28"/>
      <c r="BR19" s="12"/>
      <c r="BS19" s="12"/>
      <c r="BT19" s="434">
        <v>15</v>
      </c>
      <c r="BU19" s="608"/>
      <c r="BV19" s="608"/>
      <c r="BW19" s="608"/>
      <c r="BX19" s="608"/>
      <c r="BY19" s="608"/>
      <c r="BZ19" s="608"/>
      <c r="CA19" s="608"/>
      <c r="CB19" s="608"/>
      <c r="CC19" s="608"/>
      <c r="CD19" s="608"/>
      <c r="CE19" s="608"/>
      <c r="CF19" s="608"/>
      <c r="CG19" s="608"/>
      <c r="CH19" s="608"/>
      <c r="CI19" s="608"/>
      <c r="CJ19" s="608"/>
      <c r="CK19" s="608"/>
      <c r="CL19" s="608"/>
      <c r="CM19" s="613" t="b">
        <f>IF(CY72=15,6)</f>
        <v>0</v>
      </c>
      <c r="CN19" s="614"/>
      <c r="CO19" s="614"/>
      <c r="CP19" s="614"/>
      <c r="CQ19" s="614"/>
      <c r="CR19" s="614"/>
      <c r="CS19" s="606"/>
      <c r="CT19" s="606"/>
      <c r="CU19" s="606"/>
      <c r="CV19" s="606"/>
      <c r="CW19" s="606"/>
      <c r="CX19" s="606"/>
      <c r="CY19" s="606"/>
      <c r="CZ19" s="606"/>
      <c r="DA19" s="606"/>
      <c r="DB19" s="606"/>
      <c r="DC19" s="606"/>
      <c r="DD19" s="606"/>
      <c r="DE19" s="606"/>
      <c r="DF19" s="606"/>
      <c r="DG19" s="606"/>
      <c r="DH19" s="606"/>
      <c r="DI19" s="606"/>
      <c r="DJ19" s="606"/>
      <c r="DK19" s="615" t="b">
        <f>IF(CY72=15,27)</f>
        <v>0</v>
      </c>
    </row>
    <row r="20" spans="2:118" ht="18.75" hidden="1" thickBot="1" x14ac:dyDescent="0.3">
      <c r="B20" s="566" t="s">
        <v>18</v>
      </c>
      <c r="C20" s="567">
        <f>+C24+C27+6+6+1.5+20</f>
        <v>63.4</v>
      </c>
      <c r="D20" s="28"/>
      <c r="E20" s="28"/>
      <c r="F20" s="28"/>
      <c r="G20" s="28"/>
      <c r="H20" s="28"/>
      <c r="I20" s="28"/>
      <c r="J20" s="28"/>
      <c r="K20" s="28"/>
      <c r="BR20" s="12"/>
      <c r="BS20" s="12"/>
      <c r="BT20" s="434">
        <v>14</v>
      </c>
      <c r="BU20" s="608"/>
      <c r="BV20" s="608"/>
      <c r="BW20" s="608"/>
      <c r="BX20" s="608"/>
      <c r="BY20" s="608"/>
      <c r="BZ20" s="608"/>
      <c r="CA20" s="608"/>
      <c r="CB20" s="608"/>
      <c r="CC20" s="608"/>
      <c r="CD20" s="608"/>
      <c r="CE20" s="608"/>
      <c r="CF20" s="608"/>
      <c r="CG20" s="608"/>
      <c r="CH20" s="608"/>
      <c r="CI20" s="608"/>
      <c r="CJ20" s="608"/>
      <c r="CK20" s="613" t="b">
        <f>IF(CX72=14,4)</f>
        <v>0</v>
      </c>
      <c r="CL20" s="614"/>
      <c r="CM20" s="614"/>
      <c r="CN20" s="614"/>
      <c r="CO20" s="614"/>
      <c r="CP20" s="614"/>
      <c r="CQ20" s="614"/>
      <c r="CR20" s="614"/>
      <c r="CS20" s="606"/>
      <c r="CT20" s="606"/>
      <c r="CU20" s="606"/>
      <c r="CV20" s="606"/>
      <c r="CW20" s="606"/>
      <c r="CX20" s="606"/>
      <c r="CY20" s="606"/>
      <c r="CZ20" s="606"/>
      <c r="DA20" s="606"/>
      <c r="DB20" s="606"/>
      <c r="DC20" s="606"/>
      <c r="DD20" s="606"/>
      <c r="DE20" s="606"/>
      <c r="DF20" s="606"/>
      <c r="DG20" s="606"/>
      <c r="DH20" s="606"/>
      <c r="DI20" s="606"/>
      <c r="DJ20" s="606"/>
      <c r="DK20" s="615" t="b">
        <f>IF(CX72=14,27)</f>
        <v>0</v>
      </c>
    </row>
    <row r="21" spans="2:118" ht="18.75" hidden="1" thickBot="1" x14ac:dyDescent="0.3">
      <c r="B21" s="566" t="s">
        <v>19</v>
      </c>
      <c r="C21" s="566">
        <f>+AY110</f>
        <v>456.03928827975983</v>
      </c>
      <c r="D21" s="28"/>
      <c r="E21" s="28"/>
      <c r="F21" s="28"/>
      <c r="G21" s="28"/>
      <c r="H21" s="28"/>
      <c r="I21" s="28"/>
      <c r="J21" s="28"/>
      <c r="K21" s="28"/>
      <c r="BR21" s="12"/>
      <c r="BS21" s="12"/>
      <c r="BT21" s="434">
        <v>13</v>
      </c>
      <c r="BU21" s="608"/>
      <c r="BV21" s="608"/>
      <c r="BW21" s="608"/>
      <c r="BX21" s="608"/>
      <c r="BY21" s="608"/>
      <c r="BZ21" s="608"/>
      <c r="CA21" s="608"/>
      <c r="CB21" s="608"/>
      <c r="CC21" s="608"/>
      <c r="CD21" s="608"/>
      <c r="CE21" s="608"/>
      <c r="CF21" s="608"/>
      <c r="CG21" s="608"/>
      <c r="CH21" s="608"/>
      <c r="CI21" s="613" t="b">
        <f>IF(CW72=13,2)</f>
        <v>0</v>
      </c>
      <c r="CJ21" s="614"/>
      <c r="CK21" s="614"/>
      <c r="CL21" s="614"/>
      <c r="CM21" s="614"/>
      <c r="CN21" s="614"/>
      <c r="CO21" s="614"/>
      <c r="CP21" s="614"/>
      <c r="CQ21" s="614"/>
      <c r="CR21" s="614"/>
      <c r="CS21" s="606"/>
      <c r="CT21" s="606"/>
      <c r="CU21" s="606"/>
      <c r="CV21" s="606"/>
      <c r="CW21" s="606"/>
      <c r="CX21" s="606"/>
      <c r="CY21" s="606"/>
      <c r="CZ21" s="606"/>
      <c r="DA21" s="606"/>
      <c r="DB21" s="606"/>
      <c r="DC21" s="606"/>
      <c r="DD21" s="606"/>
      <c r="DE21" s="606"/>
      <c r="DF21" s="606"/>
      <c r="DG21" s="606"/>
      <c r="DH21" s="606"/>
      <c r="DI21" s="606"/>
      <c r="DJ21" s="606"/>
      <c r="DK21" s="615" t="b">
        <f>IF(CW72=13,27)</f>
        <v>0</v>
      </c>
    </row>
    <row r="22" spans="2:118" ht="18.75" hidden="1" thickBot="1" x14ac:dyDescent="0.3">
      <c r="B22" s="566" t="s">
        <v>14</v>
      </c>
      <c r="C22" s="566">
        <f>+AV110</f>
        <v>166.59197525135974</v>
      </c>
      <c r="D22" s="28"/>
      <c r="E22" s="28"/>
      <c r="F22" s="28"/>
      <c r="G22" s="28"/>
      <c r="H22" s="28"/>
      <c r="I22" s="28"/>
      <c r="J22" s="28"/>
      <c r="K22" s="28"/>
      <c r="BR22" s="12"/>
      <c r="BS22" s="12"/>
      <c r="BT22" s="434">
        <v>12</v>
      </c>
      <c r="BU22" s="608"/>
      <c r="BV22" s="608"/>
      <c r="BW22" s="608"/>
      <c r="BX22" s="608"/>
      <c r="BY22" s="608"/>
      <c r="BZ22" s="608"/>
      <c r="CA22" s="608"/>
      <c r="CB22" s="608"/>
      <c r="CC22" s="608"/>
      <c r="CD22" s="608"/>
      <c r="CE22" s="608"/>
      <c r="CF22" s="608"/>
      <c r="CG22" s="608"/>
      <c r="CH22" s="613" t="b">
        <f>IF(CV72=12,1)</f>
        <v>0</v>
      </c>
      <c r="CI22" s="614"/>
      <c r="CJ22" s="614"/>
      <c r="CK22" s="614"/>
      <c r="CL22" s="614"/>
      <c r="CM22" s="614"/>
      <c r="CN22" s="614"/>
      <c r="CO22" s="614"/>
      <c r="CP22" s="614"/>
      <c r="CQ22" s="614"/>
      <c r="CR22" s="614"/>
      <c r="CS22" s="606"/>
      <c r="CT22" s="606"/>
      <c r="CU22" s="606"/>
      <c r="CV22" s="606"/>
      <c r="CW22" s="606"/>
      <c r="CX22" s="606"/>
      <c r="CY22" s="606"/>
      <c r="CZ22" s="606"/>
      <c r="DA22" s="606"/>
      <c r="DB22" s="606"/>
      <c r="DC22" s="606"/>
      <c r="DD22" s="606"/>
      <c r="DE22" s="606"/>
      <c r="DF22" s="606"/>
      <c r="DG22" s="606"/>
      <c r="DH22" s="606"/>
      <c r="DI22" s="606"/>
      <c r="DJ22" s="615" t="b">
        <f>IF(CV72=12,26)</f>
        <v>0</v>
      </c>
      <c r="DK22" s="434"/>
    </row>
    <row r="23" spans="2:118" ht="18.75" hidden="1" thickBot="1" x14ac:dyDescent="0.3">
      <c r="BR23" s="12"/>
      <c r="BS23" s="12"/>
      <c r="BT23" s="608"/>
      <c r="BU23" s="608"/>
      <c r="BV23" s="608"/>
      <c r="BW23" s="608"/>
      <c r="BX23" s="608"/>
      <c r="BY23" s="608"/>
      <c r="BZ23" s="608"/>
      <c r="CA23" s="608"/>
      <c r="CB23" s="608"/>
      <c r="CC23" s="608"/>
      <c r="CD23" s="608"/>
      <c r="CE23" s="608"/>
      <c r="CF23" s="608"/>
      <c r="CG23" s="608"/>
      <c r="CH23" s="608"/>
      <c r="CI23" s="608"/>
      <c r="CJ23" s="608"/>
      <c r="CK23" s="608"/>
      <c r="CL23" s="608"/>
      <c r="CM23" s="608"/>
      <c r="CN23" s="608"/>
      <c r="CO23" s="608"/>
      <c r="CP23" s="608"/>
      <c r="CQ23" s="608"/>
      <c r="CR23" s="608"/>
      <c r="CS23" s="434"/>
      <c r="CT23" s="434"/>
      <c r="CU23" s="434"/>
      <c r="CV23" s="434"/>
      <c r="CW23" s="434"/>
      <c r="CX23" s="434"/>
      <c r="CY23" s="434"/>
      <c r="CZ23" s="434"/>
      <c r="DA23" s="434"/>
      <c r="DB23" s="434"/>
      <c r="DC23" s="434"/>
      <c r="DD23" s="434"/>
      <c r="DE23" s="434"/>
      <c r="DF23" s="434"/>
      <c r="DG23" s="434"/>
      <c r="DH23" s="434"/>
      <c r="DI23" s="434"/>
      <c r="DJ23" s="434"/>
      <c r="DK23" s="434"/>
    </row>
    <row r="24" spans="2:118" ht="18.75" hidden="1" thickBot="1" x14ac:dyDescent="0.3">
      <c r="B24" s="29" t="s">
        <v>112</v>
      </c>
      <c r="C24" s="30">
        <f>+B107*20</f>
        <v>20</v>
      </c>
      <c r="BR24" s="12"/>
      <c r="BS24" s="12"/>
      <c r="BT24" s="608">
        <v>81</v>
      </c>
      <c r="BU24" s="608"/>
      <c r="BV24" s="608"/>
      <c r="BW24" s="608"/>
      <c r="BX24" s="608"/>
      <c r="BY24" s="608"/>
      <c r="BZ24" s="608"/>
      <c r="CA24" s="608"/>
      <c r="CB24" s="608"/>
      <c r="CC24" s="608"/>
      <c r="CD24" s="608"/>
      <c r="CE24" s="608"/>
      <c r="CF24" s="608"/>
      <c r="CG24" s="608"/>
      <c r="CH24" s="613" t="b">
        <f>IF(CP72=81,1)</f>
        <v>0</v>
      </c>
      <c r="CI24" s="614"/>
      <c r="CJ24" s="614"/>
      <c r="CK24" s="614"/>
      <c r="CL24" s="614"/>
      <c r="CM24" s="614"/>
      <c r="CN24" s="614"/>
      <c r="CO24" s="614"/>
      <c r="CP24" s="614"/>
      <c r="CQ24" s="614"/>
      <c r="CR24" s="614"/>
      <c r="CS24" s="606"/>
      <c r="CT24" s="606"/>
      <c r="CU24" s="606"/>
      <c r="CV24" s="606"/>
      <c r="CW24" s="606"/>
      <c r="CX24" s="615" t="b">
        <f>IF(CP72=81,14)</f>
        <v>0</v>
      </c>
      <c r="CY24" s="434"/>
      <c r="CZ24" s="434"/>
      <c r="DA24" s="434"/>
      <c r="DB24" s="434"/>
      <c r="DC24" s="434"/>
      <c r="DD24" s="434"/>
      <c r="DE24" s="434"/>
      <c r="DF24" s="434"/>
      <c r="DG24" s="434"/>
      <c r="DH24" s="434"/>
      <c r="DI24" s="434"/>
      <c r="DJ24" s="434"/>
      <c r="DK24" s="434"/>
    </row>
    <row r="25" spans="2:118" ht="18.75" hidden="1" thickBot="1" x14ac:dyDescent="0.3">
      <c r="B25" s="29" t="s">
        <v>113</v>
      </c>
      <c r="C25" s="30">
        <v>456</v>
      </c>
      <c r="BR25" s="12"/>
      <c r="BS25" s="12"/>
      <c r="BT25" s="608">
        <v>8</v>
      </c>
      <c r="BU25" s="608"/>
      <c r="BV25" s="608"/>
      <c r="BW25" s="608"/>
      <c r="BX25" s="608"/>
      <c r="BY25" s="608"/>
      <c r="BZ25" s="608"/>
      <c r="CA25" s="608"/>
      <c r="CB25" s="608"/>
      <c r="CC25" s="608"/>
      <c r="CD25" s="608"/>
      <c r="CE25" s="608"/>
      <c r="CF25" s="613" t="b">
        <f>IF(CO72=8,-2)</f>
        <v>0</v>
      </c>
      <c r="CG25" s="614"/>
      <c r="CH25" s="614"/>
      <c r="CI25" s="614"/>
      <c r="CJ25" s="614"/>
      <c r="CK25" s="614"/>
      <c r="CL25" s="614"/>
      <c r="CM25" s="614"/>
      <c r="CN25" s="614"/>
      <c r="CO25" s="614"/>
      <c r="CP25" s="614"/>
      <c r="CQ25" s="614"/>
      <c r="CR25" s="614"/>
      <c r="CS25" s="606"/>
      <c r="CT25" s="606"/>
      <c r="CU25" s="606"/>
      <c r="CV25" s="606"/>
      <c r="CW25" s="606"/>
      <c r="CX25" s="615" t="b">
        <f>IF(CO72=8,14)</f>
        <v>0</v>
      </c>
      <c r="CY25" s="434"/>
      <c r="CZ25" s="434"/>
      <c r="DA25" s="434"/>
      <c r="DB25" s="434"/>
      <c r="DC25" s="434"/>
      <c r="DD25" s="434"/>
      <c r="DE25" s="434"/>
      <c r="DF25" s="434"/>
      <c r="DG25" s="434"/>
      <c r="DH25" s="434"/>
      <c r="DI25" s="434"/>
      <c r="DJ25" s="434"/>
      <c r="DK25" s="434"/>
    </row>
    <row r="26" spans="2:118" ht="18.75" hidden="1" thickBot="1" x14ac:dyDescent="0.3">
      <c r="BR26" s="12"/>
      <c r="BS26" s="12"/>
      <c r="BT26" s="608">
        <v>7</v>
      </c>
      <c r="BU26" s="608"/>
      <c r="BV26" s="608"/>
      <c r="BW26" s="608"/>
      <c r="BX26" s="608"/>
      <c r="BY26" s="608"/>
      <c r="BZ26" s="608"/>
      <c r="CA26" s="608"/>
      <c r="CB26" s="608"/>
      <c r="CC26" s="608"/>
      <c r="CD26" s="613">
        <f>IF(CN72=7,-4)</f>
        <v>-4</v>
      </c>
      <c r="CE26" s="614"/>
      <c r="CF26" s="614"/>
      <c r="CG26" s="614"/>
      <c r="CH26" s="614"/>
      <c r="CI26" s="614"/>
      <c r="CJ26" s="614"/>
      <c r="CK26" s="614"/>
      <c r="CL26" s="614"/>
      <c r="CM26" s="614"/>
      <c r="CN26" s="614"/>
      <c r="CO26" s="614"/>
      <c r="CP26" s="614"/>
      <c r="CQ26" s="614"/>
      <c r="CR26" s="614"/>
      <c r="CS26" s="606"/>
      <c r="CT26" s="606"/>
      <c r="CU26" s="606"/>
      <c r="CV26" s="606"/>
      <c r="CW26" s="606"/>
      <c r="CX26" s="615">
        <f>IF(CN72=7,14)</f>
        <v>14</v>
      </c>
      <c r="CY26" s="434"/>
      <c r="CZ26" s="434"/>
      <c r="DA26" s="434"/>
      <c r="DB26" s="434"/>
      <c r="DC26" s="434"/>
      <c r="DD26" s="434"/>
      <c r="DE26" s="434"/>
      <c r="DF26" s="434"/>
      <c r="DG26" s="434"/>
      <c r="DH26" s="434"/>
      <c r="DI26" s="434"/>
      <c r="DJ26" s="434"/>
      <c r="DK26" s="434"/>
    </row>
    <row r="27" spans="2:118" ht="18.75" hidden="1" thickBot="1" x14ac:dyDescent="0.3">
      <c r="B27" s="29" t="s">
        <v>114</v>
      </c>
      <c r="C27" s="30">
        <f>+B128*9.9</f>
        <v>9.9</v>
      </c>
      <c r="BR27" s="12"/>
      <c r="BS27" s="12"/>
      <c r="BT27" s="608">
        <v>6</v>
      </c>
      <c r="BU27" s="608"/>
      <c r="BV27" s="608"/>
      <c r="BW27" s="608"/>
      <c r="BX27" s="608"/>
      <c r="BY27" s="434"/>
      <c r="BZ27" s="434"/>
      <c r="CA27" s="434"/>
      <c r="CB27" s="613" t="b">
        <f>IF(CM72=6,-6)</f>
        <v>0</v>
      </c>
      <c r="CC27" s="606"/>
      <c r="CD27" s="606"/>
      <c r="CE27" s="606"/>
      <c r="CF27" s="606"/>
      <c r="CG27" s="606"/>
      <c r="CH27" s="606"/>
      <c r="CI27" s="606"/>
      <c r="CJ27" s="606"/>
      <c r="CK27" s="606"/>
      <c r="CL27" s="606"/>
      <c r="CM27" s="606"/>
      <c r="CN27" s="606"/>
      <c r="CO27" s="606"/>
      <c r="CP27" s="606"/>
      <c r="CQ27" s="606"/>
      <c r="CR27" s="606"/>
      <c r="CS27" s="606"/>
      <c r="CT27" s="606"/>
      <c r="CU27" s="606"/>
      <c r="CV27" s="606"/>
      <c r="CW27" s="606"/>
      <c r="CX27" s="615" t="b">
        <f>IF(CM72=6,14)</f>
        <v>0</v>
      </c>
      <c r="CY27" s="434"/>
      <c r="CZ27" s="434"/>
      <c r="DA27" s="434"/>
      <c r="DB27" s="434"/>
      <c r="DC27" s="434"/>
      <c r="DD27" s="434"/>
      <c r="DE27" s="434"/>
      <c r="DF27" s="434"/>
      <c r="DG27" s="434"/>
      <c r="DH27" s="434"/>
      <c r="DI27" s="434"/>
      <c r="DJ27" s="434"/>
      <c r="DK27" s="434"/>
    </row>
    <row r="28" spans="2:118" ht="18.75" hidden="1" thickBot="1" x14ac:dyDescent="0.3">
      <c r="B28" s="29" t="s">
        <v>115</v>
      </c>
      <c r="C28" s="30">
        <v>214.4</v>
      </c>
      <c r="BR28" s="12"/>
      <c r="BS28" s="12"/>
      <c r="BT28" s="608">
        <v>5</v>
      </c>
      <c r="BU28" s="608"/>
      <c r="BV28" s="608"/>
      <c r="BW28" s="608"/>
      <c r="BX28" s="608"/>
      <c r="BY28" s="608"/>
      <c r="BZ28" s="613" t="b">
        <f>IF(CL72=5,-8)</f>
        <v>0</v>
      </c>
      <c r="CA28" s="614"/>
      <c r="CB28" s="614"/>
      <c r="CC28" s="614"/>
      <c r="CD28" s="614"/>
      <c r="CE28" s="614"/>
      <c r="CF28" s="614"/>
      <c r="CG28" s="614"/>
      <c r="CH28" s="614"/>
      <c r="CI28" s="606"/>
      <c r="CJ28" s="614"/>
      <c r="CK28" s="614"/>
      <c r="CL28" s="614"/>
      <c r="CM28" s="614"/>
      <c r="CN28" s="614"/>
      <c r="CO28" s="606"/>
      <c r="CP28" s="614"/>
      <c r="CQ28" s="614"/>
      <c r="CR28" s="614"/>
      <c r="CS28" s="606"/>
      <c r="CT28" s="606"/>
      <c r="CU28" s="606"/>
      <c r="CV28" s="606"/>
      <c r="CW28" s="606"/>
      <c r="CX28" s="615" t="b">
        <f>IF(CL72=5,14)</f>
        <v>0</v>
      </c>
      <c r="CY28" s="434"/>
      <c r="CZ28" s="434"/>
      <c r="DA28" s="434"/>
      <c r="DB28" s="434"/>
      <c r="DC28" s="434"/>
      <c r="DD28" s="434"/>
      <c r="DE28" s="434"/>
      <c r="DF28" s="434"/>
      <c r="DG28" s="434"/>
      <c r="DH28" s="434"/>
      <c r="DI28" s="434"/>
      <c r="DJ28" s="434"/>
      <c r="DK28" s="434"/>
    </row>
    <row r="29" spans="2:118" s="4" customFormat="1" ht="18.75" hidden="1" thickBot="1" x14ac:dyDescent="0.3">
      <c r="B29" s="3"/>
      <c r="C29" s="3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R29" s="12"/>
      <c r="BS29" s="12"/>
      <c r="BT29" s="608">
        <v>4</v>
      </c>
      <c r="BU29" s="608"/>
      <c r="BV29" s="608"/>
      <c r="BW29" s="608"/>
      <c r="BX29" s="613" t="b">
        <f>IF(CK72=4,-10)</f>
        <v>0</v>
      </c>
      <c r="BY29" s="614"/>
      <c r="BZ29" s="614"/>
      <c r="CA29" s="614"/>
      <c r="CB29" s="614"/>
      <c r="CC29" s="614"/>
      <c r="CD29" s="606"/>
      <c r="CE29" s="614"/>
      <c r="CF29" s="614"/>
      <c r="CG29" s="614"/>
      <c r="CH29" s="614"/>
      <c r="CI29" s="614"/>
      <c r="CJ29" s="614"/>
      <c r="CK29" s="614"/>
      <c r="CL29" s="614"/>
      <c r="CM29" s="614"/>
      <c r="CN29" s="614"/>
      <c r="CO29" s="614"/>
      <c r="CP29" s="614"/>
      <c r="CQ29" s="614"/>
      <c r="CR29" s="606"/>
      <c r="CS29" s="606"/>
      <c r="CT29" s="606"/>
      <c r="CU29" s="606"/>
      <c r="CV29" s="606"/>
      <c r="CW29" s="606"/>
      <c r="CX29" s="615" t="b">
        <f>IF(CK72=4,14)</f>
        <v>0</v>
      </c>
      <c r="CY29" s="434"/>
      <c r="CZ29" s="434"/>
      <c r="DA29" s="434"/>
      <c r="DB29" s="434"/>
      <c r="DC29" s="434"/>
      <c r="DD29" s="434"/>
      <c r="DE29" s="434"/>
      <c r="DF29" s="434"/>
      <c r="DG29" s="434"/>
      <c r="DH29" s="434"/>
      <c r="DI29" s="434"/>
      <c r="DJ29" s="434"/>
      <c r="DK29" s="434"/>
      <c r="DL29" s="13"/>
      <c r="DM29" s="13"/>
      <c r="DN29" s="13"/>
    </row>
    <row r="30" spans="2:118" s="4" customFormat="1" ht="18.75" hidden="1" thickBot="1" x14ac:dyDescent="0.3">
      <c r="B30" s="3"/>
      <c r="C30" s="3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R30" s="12"/>
      <c r="BS30" s="12"/>
      <c r="BT30" s="608">
        <v>3</v>
      </c>
      <c r="BU30" s="608"/>
      <c r="BV30" s="613" t="b">
        <f>IF(CJ72=3,-12)</f>
        <v>0</v>
      </c>
      <c r="BW30" s="614"/>
      <c r="BX30" s="614"/>
      <c r="BY30" s="614"/>
      <c r="BZ30" s="614"/>
      <c r="CA30" s="614"/>
      <c r="CB30" s="606"/>
      <c r="CC30" s="614"/>
      <c r="CD30" s="614"/>
      <c r="CE30" s="614"/>
      <c r="CF30" s="614"/>
      <c r="CG30" s="614"/>
      <c r="CH30" s="614"/>
      <c r="CI30" s="614"/>
      <c r="CJ30" s="614"/>
      <c r="CK30" s="614"/>
      <c r="CL30" s="614"/>
      <c r="CM30" s="614"/>
      <c r="CN30" s="614"/>
      <c r="CO30" s="614"/>
      <c r="CP30" s="614"/>
      <c r="CQ30" s="614"/>
      <c r="CR30" s="606"/>
      <c r="CS30" s="606"/>
      <c r="CT30" s="606"/>
      <c r="CU30" s="606"/>
      <c r="CV30" s="606"/>
      <c r="CW30" s="606"/>
      <c r="CX30" s="615" t="b">
        <f>IF(CJ72=3,14)</f>
        <v>0</v>
      </c>
      <c r="CY30" s="434"/>
      <c r="CZ30" s="434"/>
      <c r="DA30" s="434"/>
      <c r="DB30" s="434"/>
      <c r="DC30" s="434"/>
      <c r="DD30" s="434"/>
      <c r="DE30" s="434"/>
      <c r="DF30" s="434"/>
      <c r="DG30" s="434"/>
      <c r="DH30" s="434"/>
      <c r="DI30" s="434"/>
      <c r="DJ30" s="434"/>
      <c r="DK30" s="434"/>
      <c r="DL30" s="13"/>
      <c r="DM30" s="13"/>
      <c r="DN30" s="13"/>
    </row>
    <row r="31" spans="2:118" s="4" customFormat="1" ht="18.75" hidden="1" thickBot="1" x14ac:dyDescent="0.3">
      <c r="B31" s="3"/>
      <c r="C31" s="3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R31" s="12"/>
      <c r="BS31" s="12"/>
      <c r="BT31" s="608">
        <v>2</v>
      </c>
      <c r="BU31" s="613" t="b">
        <f>IF(CI72=2,-13)</f>
        <v>0</v>
      </c>
      <c r="BV31" s="616"/>
      <c r="BW31" s="616"/>
      <c r="BX31" s="616"/>
      <c r="BY31" s="616"/>
      <c r="BZ31" s="616"/>
      <c r="CA31" s="616"/>
      <c r="CB31" s="616"/>
      <c r="CC31" s="616"/>
      <c r="CD31" s="616"/>
      <c r="CE31" s="617"/>
      <c r="CF31" s="616"/>
      <c r="CG31" s="616"/>
      <c r="CH31" s="616"/>
      <c r="CI31" s="616"/>
      <c r="CJ31" s="616"/>
      <c r="CK31" s="616"/>
      <c r="CL31" s="616"/>
      <c r="CM31" s="617"/>
      <c r="CN31" s="616"/>
      <c r="CO31" s="616"/>
      <c r="CP31" s="616"/>
      <c r="CQ31" s="616"/>
      <c r="CR31" s="616"/>
      <c r="CS31" s="617"/>
      <c r="CT31" s="617"/>
      <c r="CU31" s="617"/>
      <c r="CV31" s="617"/>
      <c r="CW31" s="618" t="b">
        <f>IF(CI72=2,13)</f>
        <v>0</v>
      </c>
      <c r="CX31" s="434"/>
      <c r="CY31" s="434"/>
      <c r="CZ31" s="434"/>
      <c r="DA31" s="434"/>
      <c r="DB31" s="434"/>
      <c r="DC31" s="434"/>
      <c r="DD31" s="434"/>
      <c r="DE31" s="434"/>
      <c r="DF31" s="434"/>
      <c r="DG31" s="434"/>
      <c r="DH31" s="434"/>
      <c r="DI31" s="434"/>
      <c r="DJ31" s="434"/>
      <c r="DK31" s="434"/>
      <c r="DL31" s="13"/>
      <c r="DM31" s="13"/>
      <c r="DN31" s="13"/>
    </row>
    <row r="32" spans="2:118" s="4" customFormat="1" ht="18.75" hidden="1" thickBot="1" x14ac:dyDescent="0.3">
      <c r="B32" s="3"/>
      <c r="C32" s="3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R32" s="12"/>
      <c r="BS32" s="12"/>
      <c r="BT32" s="608">
        <v>1</v>
      </c>
      <c r="BU32" s="619" t="b">
        <f>IF(CH72=1,-13)</f>
        <v>0</v>
      </c>
      <c r="BV32" s="616"/>
      <c r="BW32" s="616"/>
      <c r="BX32" s="616"/>
      <c r="BY32" s="616"/>
      <c r="BZ32" s="616"/>
      <c r="CA32" s="616"/>
      <c r="CB32" s="616"/>
      <c r="CC32" s="617"/>
      <c r="CD32" s="616"/>
      <c r="CE32" s="616"/>
      <c r="CF32" s="616"/>
      <c r="CG32" s="616"/>
      <c r="CH32" s="616"/>
      <c r="CI32" s="616"/>
      <c r="CJ32" s="616"/>
      <c r="CK32" s="616"/>
      <c r="CL32" s="616"/>
      <c r="CM32" s="617"/>
      <c r="CN32" s="616"/>
      <c r="CO32" s="616"/>
      <c r="CP32" s="616"/>
      <c r="CQ32" s="616"/>
      <c r="CR32" s="616"/>
      <c r="CS32" s="617"/>
      <c r="CT32" s="617"/>
      <c r="CU32" s="618" t="b">
        <f>IF(CH72=1,11)</f>
        <v>0</v>
      </c>
      <c r="CV32" s="434"/>
      <c r="CW32" s="434"/>
      <c r="CX32" s="434"/>
      <c r="CY32" s="434"/>
      <c r="CZ32" s="434"/>
      <c r="DA32" s="434"/>
      <c r="DB32" s="434"/>
      <c r="DC32" s="434"/>
      <c r="DD32" s="434"/>
      <c r="DE32" s="434"/>
      <c r="DF32" s="434"/>
      <c r="DG32" s="434"/>
      <c r="DH32" s="434"/>
      <c r="DI32" s="434"/>
      <c r="DJ32" s="434"/>
      <c r="DK32" s="434"/>
      <c r="DL32" s="13"/>
      <c r="DM32" s="13"/>
      <c r="DN32" s="13"/>
    </row>
    <row r="33" spans="2:118" s="4" customFormat="1" ht="18.75" hidden="1" thickBot="1" x14ac:dyDescent="0.3">
      <c r="B33" s="3"/>
      <c r="C33" s="3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R33" s="12"/>
      <c r="BS33" s="12"/>
      <c r="BT33" s="608">
        <v>-1</v>
      </c>
      <c r="BU33" s="619" t="b">
        <f>IF(CG72=-1,-13)</f>
        <v>0</v>
      </c>
      <c r="BV33" s="616"/>
      <c r="BW33" s="616"/>
      <c r="BX33" s="616"/>
      <c r="BY33" s="616"/>
      <c r="BZ33" s="616"/>
      <c r="CA33" s="617"/>
      <c r="CB33" s="616"/>
      <c r="CC33" s="616"/>
      <c r="CD33" s="616"/>
      <c r="CE33" s="616"/>
      <c r="CF33" s="616"/>
      <c r="CG33" s="616"/>
      <c r="CH33" s="616"/>
      <c r="CI33" s="616"/>
      <c r="CJ33" s="616"/>
      <c r="CK33" s="616"/>
      <c r="CL33" s="616"/>
      <c r="CM33" s="617"/>
      <c r="CN33" s="616"/>
      <c r="CO33" s="616"/>
      <c r="CP33" s="616"/>
      <c r="CQ33" s="616"/>
      <c r="CR33" s="616"/>
      <c r="CS33" s="618" t="b">
        <f>IF(CG72=-1,9)</f>
        <v>0</v>
      </c>
      <c r="CT33" s="434"/>
      <c r="CU33" s="434"/>
      <c r="CV33" s="434"/>
      <c r="CW33" s="434"/>
      <c r="CX33" s="434"/>
      <c r="CY33" s="434"/>
      <c r="CZ33" s="434"/>
      <c r="DA33" s="434"/>
      <c r="DB33" s="434"/>
      <c r="DC33" s="434"/>
      <c r="DD33" s="434"/>
      <c r="DE33" s="434"/>
      <c r="DF33" s="434"/>
      <c r="DG33" s="434"/>
      <c r="DH33" s="434"/>
      <c r="DI33" s="434"/>
      <c r="DJ33" s="434"/>
      <c r="DK33" s="434"/>
      <c r="DL33" s="13"/>
      <c r="DM33" s="13"/>
      <c r="DN33" s="13"/>
    </row>
    <row r="34" spans="2:118" s="4" customFormat="1" ht="18.75" hidden="1" thickBot="1" x14ac:dyDescent="0.3">
      <c r="B34" s="3"/>
      <c r="C34" s="3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R34" s="12"/>
      <c r="BS34" s="12"/>
      <c r="BT34" s="608">
        <v>-2</v>
      </c>
      <c r="BU34" s="608"/>
      <c r="BV34" s="434"/>
      <c r="BW34" s="619" t="b">
        <f>IF(CF72=-2,-11)</f>
        <v>0</v>
      </c>
      <c r="BX34" s="616"/>
      <c r="BY34" s="617"/>
      <c r="BZ34" s="616"/>
      <c r="CA34" s="616"/>
      <c r="CB34" s="616"/>
      <c r="CC34" s="616"/>
      <c r="CD34" s="616"/>
      <c r="CE34" s="616"/>
      <c r="CF34" s="616"/>
      <c r="CG34" s="616"/>
      <c r="CH34" s="616"/>
      <c r="CI34" s="616"/>
      <c r="CJ34" s="616"/>
      <c r="CK34" s="616"/>
      <c r="CL34" s="616"/>
      <c r="CM34" s="617"/>
      <c r="CN34" s="616"/>
      <c r="CO34" s="618" t="b">
        <f>IF(CF72=-2,8)</f>
        <v>0</v>
      </c>
      <c r="CP34" s="608"/>
      <c r="CQ34" s="608"/>
      <c r="CR34" s="608"/>
      <c r="CS34" s="434"/>
      <c r="CT34" s="434"/>
      <c r="CU34" s="434"/>
      <c r="CV34" s="434"/>
      <c r="CW34" s="434"/>
      <c r="CX34" s="434"/>
      <c r="CY34" s="434"/>
      <c r="CZ34" s="434"/>
      <c r="DA34" s="434"/>
      <c r="DB34" s="434"/>
      <c r="DC34" s="434"/>
      <c r="DD34" s="434"/>
      <c r="DE34" s="434"/>
      <c r="DF34" s="434"/>
      <c r="DG34" s="434"/>
      <c r="DH34" s="434"/>
      <c r="DI34" s="434"/>
      <c r="DJ34" s="434"/>
      <c r="DK34" s="434"/>
      <c r="DL34" s="13"/>
      <c r="DM34" s="13"/>
      <c r="DN34" s="13"/>
    </row>
    <row r="35" spans="2:118" s="4" customFormat="1" ht="18.75" hidden="1" thickBot="1" x14ac:dyDescent="0.3">
      <c r="B35" s="3"/>
      <c r="C35" s="3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R35" s="12"/>
      <c r="BS35" s="12"/>
      <c r="BT35" s="608">
        <v>-3</v>
      </c>
      <c r="BU35" s="613" t="b">
        <f>IF(CE72=-3,-13)</f>
        <v>0</v>
      </c>
      <c r="BV35" s="614"/>
      <c r="BW35" s="606"/>
      <c r="BX35" s="614"/>
      <c r="BY35" s="614"/>
      <c r="BZ35" s="614"/>
      <c r="CA35" s="614"/>
      <c r="CB35" s="614"/>
      <c r="CC35" s="614"/>
      <c r="CD35" s="614"/>
      <c r="CE35" s="614"/>
      <c r="CF35" s="614"/>
      <c r="CG35" s="614"/>
      <c r="CH35" s="614"/>
      <c r="CI35" s="614"/>
      <c r="CJ35" s="614"/>
      <c r="CK35" s="614"/>
      <c r="CL35" s="614"/>
      <c r="CM35" s="606"/>
      <c r="CN35" s="606"/>
      <c r="CO35" s="615" t="b">
        <f>IF(CE72=-3,8)</f>
        <v>0</v>
      </c>
      <c r="CP35" s="608"/>
      <c r="CQ35" s="608"/>
      <c r="CR35" s="608"/>
      <c r="CS35" s="434"/>
      <c r="CT35" s="434"/>
      <c r="CU35" s="434"/>
      <c r="CV35" s="434"/>
      <c r="CW35" s="434"/>
      <c r="CX35" s="434"/>
      <c r="CY35" s="434"/>
      <c r="CZ35" s="434"/>
      <c r="DA35" s="434"/>
      <c r="DB35" s="434"/>
      <c r="DC35" s="434"/>
      <c r="DD35" s="434"/>
      <c r="DE35" s="434"/>
      <c r="DF35" s="434"/>
      <c r="DG35" s="434"/>
      <c r="DH35" s="434"/>
      <c r="DI35" s="434"/>
      <c r="DJ35" s="434"/>
      <c r="DK35" s="434"/>
      <c r="DL35" s="13"/>
      <c r="DM35" s="13"/>
      <c r="DN35" s="13"/>
    </row>
    <row r="36" spans="2:118" s="4" customFormat="1" ht="18.75" hidden="1" thickBot="1" x14ac:dyDescent="0.3">
      <c r="B36" s="3"/>
      <c r="C36" s="3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R36" s="12"/>
      <c r="BS36" s="12"/>
      <c r="BT36" s="608">
        <v>-4</v>
      </c>
      <c r="BU36" s="619" t="b">
        <f>IF(CD72=-4,-13)</f>
        <v>0</v>
      </c>
      <c r="BV36" s="616"/>
      <c r="BW36" s="616"/>
      <c r="BX36" s="616"/>
      <c r="BY36" s="616"/>
      <c r="BZ36" s="616"/>
      <c r="CA36" s="616"/>
      <c r="CB36" s="616"/>
      <c r="CC36" s="616"/>
      <c r="CD36" s="616"/>
      <c r="CE36" s="616"/>
      <c r="CF36" s="616"/>
      <c r="CG36" s="616"/>
      <c r="CH36" s="616"/>
      <c r="CI36" s="616"/>
      <c r="CJ36" s="616"/>
      <c r="CK36" s="616"/>
      <c r="CL36" s="616"/>
      <c r="CM36" s="618" t="b">
        <f>IF(CD72=-4,6)</f>
        <v>0</v>
      </c>
      <c r="CN36" s="608"/>
      <c r="CO36" s="608"/>
      <c r="CP36" s="608"/>
      <c r="CQ36" s="608"/>
      <c r="CR36" s="608"/>
      <c r="CS36" s="434"/>
      <c r="CT36" s="434"/>
      <c r="CU36" s="434"/>
      <c r="CV36" s="434"/>
      <c r="CW36" s="434"/>
      <c r="CX36" s="434"/>
      <c r="CY36" s="434"/>
      <c r="CZ36" s="434"/>
      <c r="DA36" s="434"/>
      <c r="DB36" s="434"/>
      <c r="DC36" s="434"/>
      <c r="DD36" s="434"/>
      <c r="DE36" s="434"/>
      <c r="DF36" s="434"/>
      <c r="DG36" s="434"/>
      <c r="DH36" s="434"/>
      <c r="DI36" s="434"/>
      <c r="DJ36" s="434"/>
      <c r="DK36" s="434"/>
      <c r="DL36" s="13"/>
      <c r="DM36" s="13"/>
      <c r="DN36" s="13"/>
    </row>
    <row r="37" spans="2:118" s="4" customFormat="1" ht="18.75" hidden="1" thickBot="1" x14ac:dyDescent="0.3">
      <c r="B37" s="3"/>
      <c r="C37" s="3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R37" s="12"/>
      <c r="BS37" s="12"/>
      <c r="BT37" s="608">
        <v>-5</v>
      </c>
      <c r="BU37" s="619" t="b">
        <f>IF(CC72=-5,-13)</f>
        <v>0</v>
      </c>
      <c r="BV37" s="616"/>
      <c r="BW37" s="616"/>
      <c r="BX37" s="616"/>
      <c r="BY37" s="616"/>
      <c r="BZ37" s="616"/>
      <c r="CA37" s="616"/>
      <c r="CB37" s="616"/>
      <c r="CC37" s="616"/>
      <c r="CD37" s="616"/>
      <c r="CE37" s="616"/>
      <c r="CF37" s="616"/>
      <c r="CG37" s="616"/>
      <c r="CH37" s="616"/>
      <c r="CI37" s="616"/>
      <c r="CJ37" s="616"/>
      <c r="CK37" s="618" t="b">
        <f>IF(CC72=-5,4)</f>
        <v>0</v>
      </c>
      <c r="CL37" s="608"/>
      <c r="CM37" s="608"/>
      <c r="CN37" s="608"/>
      <c r="CO37" s="608"/>
      <c r="CP37" s="608"/>
      <c r="CQ37" s="608"/>
      <c r="CR37" s="608"/>
      <c r="CS37" s="434"/>
      <c r="CT37" s="434"/>
      <c r="CU37" s="434"/>
      <c r="CV37" s="434"/>
      <c r="CW37" s="434"/>
      <c r="CX37" s="434"/>
      <c r="CY37" s="434"/>
      <c r="CZ37" s="434"/>
      <c r="DA37" s="434"/>
      <c r="DB37" s="434"/>
      <c r="DC37" s="434"/>
      <c r="DD37" s="434"/>
      <c r="DE37" s="434"/>
      <c r="DF37" s="434"/>
      <c r="DG37" s="434"/>
      <c r="DH37" s="434"/>
      <c r="DI37" s="434"/>
      <c r="DJ37" s="434"/>
      <c r="DK37" s="434"/>
      <c r="DL37" s="13"/>
      <c r="DM37" s="13"/>
      <c r="DN37" s="13"/>
    </row>
    <row r="38" spans="2:118" s="4" customFormat="1" ht="18.75" hidden="1" thickBot="1" x14ac:dyDescent="0.3">
      <c r="B38" s="3"/>
      <c r="C38" s="3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R38" s="12"/>
      <c r="BS38" s="12"/>
      <c r="BT38" s="608">
        <v>-6</v>
      </c>
      <c r="BU38" s="619" t="b">
        <f>IF(CB72=-6,-13)</f>
        <v>0</v>
      </c>
      <c r="BV38" s="616"/>
      <c r="BW38" s="616"/>
      <c r="BX38" s="616"/>
      <c r="BY38" s="616"/>
      <c r="BZ38" s="616"/>
      <c r="CA38" s="616"/>
      <c r="CB38" s="616"/>
      <c r="CC38" s="616"/>
      <c r="CD38" s="616"/>
      <c r="CE38" s="616"/>
      <c r="CF38" s="616"/>
      <c r="CG38" s="616"/>
      <c r="CH38" s="616"/>
      <c r="CI38" s="618" t="b">
        <f>IF(CB72=-6,2)</f>
        <v>0</v>
      </c>
      <c r="CJ38" s="608"/>
      <c r="CK38" s="608"/>
      <c r="CL38" s="608"/>
      <c r="CM38" s="608"/>
      <c r="CN38" s="608"/>
      <c r="CO38" s="608"/>
      <c r="CP38" s="608"/>
      <c r="CQ38" s="608"/>
      <c r="CR38" s="608"/>
      <c r="CS38" s="434"/>
      <c r="CT38" s="434"/>
      <c r="CU38" s="434"/>
      <c r="CV38" s="434"/>
      <c r="CW38" s="434"/>
      <c r="CX38" s="434"/>
      <c r="CY38" s="434"/>
      <c r="CZ38" s="434"/>
      <c r="DA38" s="434"/>
      <c r="DB38" s="434"/>
      <c r="DC38" s="434"/>
      <c r="DD38" s="434"/>
      <c r="DE38" s="434"/>
      <c r="DF38" s="434"/>
      <c r="DG38" s="434"/>
      <c r="DH38" s="434"/>
      <c r="DI38" s="434"/>
      <c r="DJ38" s="434"/>
      <c r="DK38" s="434"/>
      <c r="DL38" s="13"/>
      <c r="DM38" s="13"/>
      <c r="DN38" s="13"/>
    </row>
    <row r="39" spans="2:118" s="4" customFormat="1" ht="18.75" hidden="1" thickBot="1" x14ac:dyDescent="0.3">
      <c r="B39" s="3"/>
      <c r="C39" s="3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R39" s="12"/>
      <c r="BS39" s="12"/>
      <c r="BT39" s="608">
        <v>-7</v>
      </c>
      <c r="BU39" s="619" t="b">
        <f>IF(CA72=-7,-13)</f>
        <v>0</v>
      </c>
      <c r="BV39" s="617"/>
      <c r="BW39" s="616"/>
      <c r="BX39" s="616"/>
      <c r="BY39" s="616"/>
      <c r="BZ39" s="616"/>
      <c r="CA39" s="616"/>
      <c r="CB39" s="616"/>
      <c r="CC39" s="616"/>
      <c r="CD39" s="616"/>
      <c r="CE39" s="617"/>
      <c r="CF39" s="616"/>
      <c r="CG39" s="618" t="b">
        <f>IF(CA72=-7,-1)</f>
        <v>0</v>
      </c>
      <c r="CH39" s="608"/>
      <c r="CI39" s="608"/>
      <c r="CJ39" s="608"/>
      <c r="CK39" s="608"/>
      <c r="CL39" s="608"/>
      <c r="CM39" s="608"/>
      <c r="CN39" s="608"/>
      <c r="CO39" s="608"/>
      <c r="CP39" s="608"/>
      <c r="CQ39" s="608"/>
      <c r="CR39" s="608"/>
      <c r="CS39" s="434"/>
      <c r="CT39" s="434"/>
      <c r="CU39" s="434"/>
      <c r="CV39" s="434"/>
      <c r="CW39" s="434"/>
      <c r="CX39" s="434"/>
      <c r="CY39" s="434"/>
      <c r="CZ39" s="434"/>
      <c r="DA39" s="434"/>
      <c r="DB39" s="434"/>
      <c r="DC39" s="434"/>
      <c r="DD39" s="434"/>
      <c r="DE39" s="434"/>
      <c r="DF39" s="434"/>
      <c r="DG39" s="434"/>
      <c r="DH39" s="434"/>
      <c r="DI39" s="434"/>
      <c r="DJ39" s="434"/>
      <c r="DK39" s="434"/>
      <c r="DL39" s="13"/>
      <c r="DM39" s="13"/>
      <c r="DN39" s="13"/>
    </row>
    <row r="40" spans="2:118" s="4" customFormat="1" ht="18.75" hidden="1" thickBot="1" x14ac:dyDescent="0.3">
      <c r="B40" s="3"/>
      <c r="C40" s="3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R40" s="12"/>
      <c r="BS40" s="12"/>
      <c r="BT40" s="608">
        <v>-8</v>
      </c>
      <c r="BU40" s="619" t="b">
        <f>IF(BZ72=-8,-13)</f>
        <v>0</v>
      </c>
      <c r="BV40" s="616"/>
      <c r="BW40" s="616"/>
      <c r="BX40" s="616"/>
      <c r="BY40" s="616"/>
      <c r="BZ40" s="616"/>
      <c r="CA40" s="616"/>
      <c r="CB40" s="616"/>
      <c r="CC40" s="616"/>
      <c r="CD40" s="616"/>
      <c r="CE40" s="618" t="b">
        <f>IF(BZ72=-8,-3)</f>
        <v>0</v>
      </c>
      <c r="CF40" s="434"/>
      <c r="CG40" s="608"/>
      <c r="CH40" s="613" t="b">
        <f>IF(CU72=11,1)</f>
        <v>0</v>
      </c>
      <c r="CI40" s="614"/>
      <c r="CJ40" s="614"/>
      <c r="CK40" s="614"/>
      <c r="CL40" s="614"/>
      <c r="CM40" s="614"/>
      <c r="CN40" s="614"/>
      <c r="CO40" s="614"/>
      <c r="CP40" s="614"/>
      <c r="CQ40" s="614"/>
      <c r="CR40" s="614"/>
      <c r="CS40" s="606"/>
      <c r="CT40" s="606"/>
      <c r="CU40" s="606"/>
      <c r="CV40" s="606"/>
      <c r="CW40" s="606"/>
      <c r="CX40" s="606"/>
      <c r="CY40" s="606"/>
      <c r="CZ40" s="606"/>
      <c r="DA40" s="606"/>
      <c r="DB40" s="606"/>
      <c r="DC40" s="606"/>
      <c r="DD40" s="606"/>
      <c r="DE40" s="606"/>
      <c r="DF40" s="606"/>
      <c r="DG40" s="606"/>
      <c r="DH40" s="615" t="b">
        <f>IF(CU72=11,24)</f>
        <v>0</v>
      </c>
      <c r="DI40" s="434"/>
      <c r="DJ40" s="434"/>
      <c r="DK40" s="434"/>
      <c r="DL40" s="13"/>
      <c r="DM40" s="13">
        <v>11</v>
      </c>
      <c r="DN40" s="13"/>
    </row>
    <row r="41" spans="2:118" s="4" customFormat="1" ht="18.75" hidden="1" thickBot="1" x14ac:dyDescent="0.3">
      <c r="B41" s="3"/>
      <c r="C41" s="3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R41" s="12"/>
      <c r="BS41" s="12"/>
      <c r="BT41" s="608">
        <v>-9</v>
      </c>
      <c r="BU41" s="619" t="b">
        <f>IF(BY72=-9,-13)</f>
        <v>0</v>
      </c>
      <c r="BV41" s="617"/>
      <c r="BW41" s="616"/>
      <c r="BX41" s="616"/>
      <c r="BY41" s="616"/>
      <c r="BZ41" s="616"/>
      <c r="CA41" s="616"/>
      <c r="CB41" s="617"/>
      <c r="CC41" s="618" t="b">
        <f>IF(BY72=-9,-5)</f>
        <v>0</v>
      </c>
      <c r="CD41" s="608"/>
      <c r="CE41" s="608"/>
      <c r="CF41" s="608"/>
      <c r="CG41" s="608"/>
      <c r="CH41" s="619" t="b">
        <f>IF(CT72=10,1)</f>
        <v>0</v>
      </c>
      <c r="CI41" s="616"/>
      <c r="CJ41" s="616"/>
      <c r="CK41" s="616"/>
      <c r="CL41" s="616"/>
      <c r="CM41" s="616"/>
      <c r="CN41" s="616"/>
      <c r="CO41" s="616"/>
      <c r="CP41" s="616"/>
      <c r="CQ41" s="616"/>
      <c r="CR41" s="616"/>
      <c r="CS41" s="617"/>
      <c r="CT41" s="617"/>
      <c r="CU41" s="617"/>
      <c r="CV41" s="617"/>
      <c r="CW41" s="617"/>
      <c r="CX41" s="617"/>
      <c r="CY41" s="617"/>
      <c r="CZ41" s="617"/>
      <c r="DA41" s="617"/>
      <c r="DB41" s="617"/>
      <c r="DC41" s="617"/>
      <c r="DD41" s="617"/>
      <c r="DE41" s="617"/>
      <c r="DF41" s="618" t="b">
        <f>IF(CT72=10,22)</f>
        <v>0</v>
      </c>
      <c r="DG41" s="434"/>
      <c r="DH41" s="434"/>
      <c r="DI41" s="434"/>
      <c r="DJ41" s="434"/>
      <c r="DK41" s="434"/>
      <c r="DL41" s="13"/>
      <c r="DM41" s="13">
        <v>10</v>
      </c>
      <c r="DN41" s="13"/>
    </row>
    <row r="42" spans="2:118" s="4" customFormat="1" ht="18.75" hidden="1" thickBot="1" x14ac:dyDescent="0.3">
      <c r="B42" s="3"/>
      <c r="C42" s="3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R42" s="12"/>
      <c r="BS42" s="12"/>
      <c r="BT42" s="608">
        <v>-10</v>
      </c>
      <c r="BU42" s="619" t="b">
        <f>IF(BX72=-10,-13)</f>
        <v>0</v>
      </c>
      <c r="BV42" s="616"/>
      <c r="BW42" s="616"/>
      <c r="BX42" s="616"/>
      <c r="BY42" s="616"/>
      <c r="BZ42" s="616"/>
      <c r="CA42" s="618" t="b">
        <f>IF(BX72=-10,-7)</f>
        <v>0</v>
      </c>
      <c r="CB42" s="608"/>
      <c r="CC42" s="620"/>
      <c r="CD42" s="620"/>
      <c r="CE42" s="608"/>
      <c r="CF42" s="620"/>
      <c r="CG42" s="608"/>
      <c r="CH42" s="619" t="b">
        <f>IF(CS72=9,1)</f>
        <v>0</v>
      </c>
      <c r="CI42" s="616"/>
      <c r="CJ42" s="616"/>
      <c r="CK42" s="616"/>
      <c r="CL42" s="616"/>
      <c r="CM42" s="616"/>
      <c r="CN42" s="616"/>
      <c r="CO42" s="616"/>
      <c r="CP42" s="616"/>
      <c r="CQ42" s="616"/>
      <c r="CR42" s="616"/>
      <c r="CS42" s="617"/>
      <c r="CT42" s="617"/>
      <c r="CU42" s="617"/>
      <c r="CV42" s="617"/>
      <c r="CW42" s="617"/>
      <c r="CX42" s="617"/>
      <c r="CY42" s="617"/>
      <c r="CZ42" s="617"/>
      <c r="DA42" s="617"/>
      <c r="DB42" s="617"/>
      <c r="DC42" s="617"/>
      <c r="DD42" s="618" t="b">
        <f>IF(CS72=9,20)</f>
        <v>0</v>
      </c>
      <c r="DE42" s="434"/>
      <c r="DF42" s="434"/>
      <c r="DG42" s="434"/>
      <c r="DH42" s="434"/>
      <c r="DI42" s="434"/>
      <c r="DJ42" s="434"/>
      <c r="DK42" s="434"/>
      <c r="DL42" s="13"/>
      <c r="DM42" s="13">
        <v>9</v>
      </c>
      <c r="DN42" s="13"/>
    </row>
    <row r="43" spans="2:118" s="4" customFormat="1" ht="18.75" hidden="1" thickBot="1" x14ac:dyDescent="0.3">
      <c r="B43" s="3"/>
      <c r="C43" s="3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R43" s="12"/>
      <c r="BS43" s="12"/>
      <c r="BT43" s="608">
        <v>-11</v>
      </c>
      <c r="BU43" s="619" t="b">
        <f>IF(BW72=-11,-13)</f>
        <v>0</v>
      </c>
      <c r="BV43" s="616"/>
      <c r="BW43" s="616"/>
      <c r="BX43" s="616"/>
      <c r="BY43" s="618" t="b">
        <f>IF(BW72=-11,-9)</f>
        <v>0</v>
      </c>
      <c r="BZ43" s="608"/>
      <c r="CA43" s="608"/>
      <c r="CB43" s="608"/>
      <c r="CC43" s="608"/>
      <c r="CD43" s="608"/>
      <c r="CE43" s="608"/>
      <c r="CF43" s="608"/>
      <c r="CG43" s="608"/>
      <c r="CH43" s="619" t="b">
        <f>IF(CR72=83,1)</f>
        <v>0</v>
      </c>
      <c r="CI43" s="616"/>
      <c r="CJ43" s="617"/>
      <c r="CK43" s="616"/>
      <c r="CL43" s="616"/>
      <c r="CM43" s="616"/>
      <c r="CN43" s="616"/>
      <c r="CO43" s="616"/>
      <c r="CP43" s="616"/>
      <c r="CQ43" s="616"/>
      <c r="CR43" s="617"/>
      <c r="CS43" s="617"/>
      <c r="CT43" s="617"/>
      <c r="CU43" s="617"/>
      <c r="CV43" s="617"/>
      <c r="CW43" s="617"/>
      <c r="CX43" s="617"/>
      <c r="CY43" s="617"/>
      <c r="CZ43" s="617"/>
      <c r="DA43" s="617"/>
      <c r="DB43" s="618" t="b">
        <f>IF(CR72=83,18)</f>
        <v>0</v>
      </c>
      <c r="DC43" s="434"/>
      <c r="DD43" s="434"/>
      <c r="DE43" s="434"/>
      <c r="DF43" s="434"/>
      <c r="DG43" s="434"/>
      <c r="DH43" s="434"/>
      <c r="DI43" s="434"/>
      <c r="DJ43" s="434"/>
      <c r="DK43" s="434"/>
      <c r="DL43" s="13"/>
      <c r="DM43" s="18">
        <v>83</v>
      </c>
      <c r="DN43" s="13"/>
    </row>
    <row r="44" spans="2:118" s="4" customFormat="1" ht="18.75" hidden="1" thickBot="1" x14ac:dyDescent="0.3">
      <c r="B44" s="3"/>
      <c r="C44" s="3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R44" s="12"/>
      <c r="BS44" s="12"/>
      <c r="BT44" s="608">
        <v>-12</v>
      </c>
      <c r="BU44" s="619" t="b">
        <f>IF(BV72=-12,-13)</f>
        <v>0</v>
      </c>
      <c r="BV44" s="616"/>
      <c r="BW44" s="618" t="b">
        <f>IF(BV72=-12,-11)</f>
        <v>0</v>
      </c>
      <c r="BX44" s="608"/>
      <c r="BY44" s="608"/>
      <c r="BZ44" s="608"/>
      <c r="CA44" s="608"/>
      <c r="CB44" s="608"/>
      <c r="CC44" s="608"/>
      <c r="CD44" s="608"/>
      <c r="CE44" s="608"/>
      <c r="CF44" s="608"/>
      <c r="CG44" s="608"/>
      <c r="CH44" s="619" t="b">
        <f>IF(CQ72=82,1)</f>
        <v>0</v>
      </c>
      <c r="CI44" s="617"/>
      <c r="CJ44" s="616"/>
      <c r="CK44" s="616"/>
      <c r="CL44" s="616"/>
      <c r="CM44" s="616"/>
      <c r="CN44" s="616"/>
      <c r="CO44" s="616"/>
      <c r="CP44" s="616"/>
      <c r="CQ44" s="617"/>
      <c r="CR44" s="616"/>
      <c r="CS44" s="617"/>
      <c r="CT44" s="617"/>
      <c r="CU44" s="617"/>
      <c r="CV44" s="617"/>
      <c r="CW44" s="617"/>
      <c r="CX44" s="617"/>
      <c r="CY44" s="617"/>
      <c r="CZ44" s="618" t="b">
        <f>IF(CQ72=82,16)</f>
        <v>0</v>
      </c>
      <c r="DA44" s="434"/>
      <c r="DB44" s="434"/>
      <c r="DC44" s="434"/>
      <c r="DD44" s="434"/>
      <c r="DE44" s="434"/>
      <c r="DF44" s="434"/>
      <c r="DG44" s="434"/>
      <c r="DH44" s="434"/>
      <c r="DI44" s="434"/>
      <c r="DJ44" s="434"/>
      <c r="DK44" s="434"/>
      <c r="DL44" s="13"/>
      <c r="DM44" s="18">
        <v>82</v>
      </c>
      <c r="DN44" s="13"/>
    </row>
    <row r="45" spans="2:118" s="4" customFormat="1" hidden="1" x14ac:dyDescent="0.25">
      <c r="B45" s="3"/>
      <c r="C45" s="3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R45" s="12"/>
      <c r="BS45" s="12"/>
      <c r="BT45" s="608"/>
      <c r="BU45" s="608"/>
      <c r="BV45" s="608"/>
      <c r="BW45" s="608"/>
      <c r="BX45" s="608"/>
      <c r="BY45" s="608"/>
      <c r="BZ45" s="608"/>
      <c r="CA45" s="608"/>
      <c r="CB45" s="608"/>
      <c r="CC45" s="608"/>
      <c r="CD45" s="608"/>
      <c r="CE45" s="608"/>
      <c r="CF45" s="608"/>
      <c r="CG45" s="608"/>
      <c r="CH45" s="608"/>
      <c r="CI45" s="608"/>
      <c r="CJ45" s="608"/>
      <c r="CK45" s="608"/>
      <c r="CL45" s="608"/>
      <c r="CM45" s="608"/>
      <c r="CN45" s="608"/>
      <c r="CO45" s="608"/>
      <c r="CP45" s="608"/>
      <c r="CQ45" s="608"/>
      <c r="CR45" s="608"/>
      <c r="CS45" s="434"/>
      <c r="CT45" s="434"/>
      <c r="CU45" s="434"/>
      <c r="CV45" s="434"/>
      <c r="CW45" s="434"/>
      <c r="CX45" s="434"/>
      <c r="CY45" s="434"/>
      <c r="CZ45" s="434"/>
      <c r="DA45" s="434"/>
      <c r="DB45" s="434"/>
      <c r="DC45" s="434"/>
      <c r="DD45" s="434"/>
      <c r="DE45" s="434"/>
      <c r="DF45" s="434"/>
      <c r="DG45" s="434"/>
      <c r="DH45" s="434"/>
      <c r="DI45" s="434"/>
      <c r="DJ45" s="434"/>
      <c r="DK45" s="434"/>
      <c r="DL45" s="13"/>
      <c r="DM45" s="13"/>
      <c r="DN45" s="13"/>
    </row>
    <row r="46" spans="2:118" s="4" customFormat="1" ht="36.75" hidden="1" thickBot="1" x14ac:dyDescent="0.3">
      <c r="B46" s="3"/>
      <c r="C46" s="3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R46" s="12"/>
      <c r="BS46" s="12"/>
      <c r="BT46" s="621" t="s">
        <v>81</v>
      </c>
      <c r="BU46" s="622">
        <f t="shared" ref="BU46:DK46" si="0">SUM(BU7:BU44)</f>
        <v>0</v>
      </c>
      <c r="BV46" s="622">
        <f t="shared" si="0"/>
        <v>0</v>
      </c>
      <c r="BW46" s="622">
        <f t="shared" si="0"/>
        <v>0</v>
      </c>
      <c r="BX46" s="622">
        <f t="shared" si="0"/>
        <v>0</v>
      </c>
      <c r="BY46" s="622">
        <f t="shared" si="0"/>
        <v>0</v>
      </c>
      <c r="BZ46" s="622">
        <f t="shared" si="0"/>
        <v>0</v>
      </c>
      <c r="CA46" s="622">
        <f t="shared" si="0"/>
        <v>0</v>
      </c>
      <c r="CB46" s="622">
        <f t="shared" si="0"/>
        <v>0</v>
      </c>
      <c r="CC46" s="622">
        <f t="shared" si="0"/>
        <v>0</v>
      </c>
      <c r="CD46" s="622">
        <f t="shared" si="0"/>
        <v>-4</v>
      </c>
      <c r="CE46" s="622">
        <f t="shared" si="0"/>
        <v>0</v>
      </c>
      <c r="CF46" s="622">
        <f t="shared" si="0"/>
        <v>0</v>
      </c>
      <c r="CG46" s="659">
        <f>SUM(CG7:CG44)</f>
        <v>0</v>
      </c>
      <c r="CH46" s="622">
        <f t="shared" si="0"/>
        <v>0</v>
      </c>
      <c r="CI46" s="622">
        <f t="shared" si="0"/>
        <v>0</v>
      </c>
      <c r="CJ46" s="622">
        <f t="shared" si="0"/>
        <v>0</v>
      </c>
      <c r="CK46" s="622">
        <f t="shared" si="0"/>
        <v>0</v>
      </c>
      <c r="CL46" s="622">
        <f t="shared" si="0"/>
        <v>0</v>
      </c>
      <c r="CM46" s="622">
        <f t="shared" si="0"/>
        <v>0</v>
      </c>
      <c r="CN46" s="622">
        <f t="shared" si="0"/>
        <v>0</v>
      </c>
      <c r="CO46" s="622">
        <f t="shared" si="0"/>
        <v>0</v>
      </c>
      <c r="CP46" s="622">
        <f t="shared" si="0"/>
        <v>0</v>
      </c>
      <c r="CQ46" s="622">
        <f t="shared" si="0"/>
        <v>0</v>
      </c>
      <c r="CR46" s="622">
        <f t="shared" si="0"/>
        <v>0</v>
      </c>
      <c r="CS46" s="622">
        <f t="shared" si="0"/>
        <v>0</v>
      </c>
      <c r="CT46" s="622">
        <f t="shared" si="0"/>
        <v>0</v>
      </c>
      <c r="CU46" s="622">
        <f t="shared" si="0"/>
        <v>0</v>
      </c>
      <c r="CV46" s="622">
        <f t="shared" si="0"/>
        <v>0</v>
      </c>
      <c r="CW46" s="622">
        <f t="shared" si="0"/>
        <v>0</v>
      </c>
      <c r="CX46" s="622">
        <f t="shared" si="0"/>
        <v>14</v>
      </c>
      <c r="CY46" s="622">
        <f t="shared" si="0"/>
        <v>0</v>
      </c>
      <c r="CZ46" s="622">
        <f t="shared" si="0"/>
        <v>0</v>
      </c>
      <c r="DA46" s="622">
        <f t="shared" si="0"/>
        <v>0</v>
      </c>
      <c r="DB46" s="622">
        <f t="shared" si="0"/>
        <v>0</v>
      </c>
      <c r="DC46" s="622">
        <f t="shared" si="0"/>
        <v>0</v>
      </c>
      <c r="DD46" s="622">
        <f t="shared" si="0"/>
        <v>0</v>
      </c>
      <c r="DE46" s="622">
        <f t="shared" si="0"/>
        <v>0</v>
      </c>
      <c r="DF46" s="622">
        <f t="shared" si="0"/>
        <v>0</v>
      </c>
      <c r="DG46" s="622">
        <f t="shared" si="0"/>
        <v>0</v>
      </c>
      <c r="DH46" s="622">
        <f t="shared" si="0"/>
        <v>0</v>
      </c>
      <c r="DI46" s="622">
        <f t="shared" si="0"/>
        <v>0</v>
      </c>
      <c r="DJ46" s="622">
        <f t="shared" si="0"/>
        <v>0</v>
      </c>
      <c r="DK46" s="622">
        <f t="shared" si="0"/>
        <v>0</v>
      </c>
      <c r="DL46" s="13"/>
      <c r="DM46" s="13"/>
      <c r="DN46" s="13"/>
    </row>
    <row r="47" spans="2:118" s="4" customFormat="1" ht="38.25" thickBot="1" x14ac:dyDescent="0.4">
      <c r="B47" s="3"/>
      <c r="C47" s="3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R47" s="12"/>
      <c r="BS47" s="12"/>
      <c r="BT47" s="623" t="s">
        <v>102</v>
      </c>
      <c r="BU47" s="674" t="str">
        <f>IF(BU46=-13,"A ","")</f>
        <v/>
      </c>
      <c r="BV47" s="675" t="str">
        <f>IF(BV46=-12,"B ","")</f>
        <v/>
      </c>
      <c r="BW47" s="675" t="str">
        <f>IF(BW46=-11,"C ","")</f>
        <v/>
      </c>
      <c r="BX47" s="675" t="str">
        <f>IF(BX46=-10,"D ","")</f>
        <v/>
      </c>
      <c r="BY47" s="675" t="str">
        <f>IF(BY46=-9,"E ","")</f>
        <v/>
      </c>
      <c r="BZ47" s="675" t="str">
        <f>IF(BZ46=-8,"F ","")</f>
        <v/>
      </c>
      <c r="CA47" s="675" t="str">
        <f>IF(CA46=-7,"G ","")</f>
        <v/>
      </c>
      <c r="CB47" s="675" t="str">
        <f>IF(CB46=-6,"H ","")</f>
        <v/>
      </c>
      <c r="CC47" s="675" t="str">
        <f>IF(CC46=-5,"I ","")</f>
        <v/>
      </c>
      <c r="CD47" s="675" t="str">
        <f>IF(CD46=-4,"J ","")</f>
        <v xml:space="preserve">J </v>
      </c>
      <c r="CE47" s="675" t="str">
        <f>IF(CE46=-3,"K ","")</f>
        <v/>
      </c>
      <c r="CF47" s="675" t="str">
        <f>IF(CF46=-2,"L ","")</f>
        <v/>
      </c>
      <c r="CG47" s="675" t="str">
        <f>IF(CG46=-1,"M ","")</f>
        <v/>
      </c>
      <c r="CH47" s="675">
        <f t="shared" ref="CH47:CO47" si="1">+CH46</f>
        <v>0</v>
      </c>
      <c r="CI47" s="675">
        <f t="shared" si="1"/>
        <v>0</v>
      </c>
      <c r="CJ47" s="675">
        <f t="shared" si="1"/>
        <v>0</v>
      </c>
      <c r="CK47" s="675">
        <f t="shared" si="1"/>
        <v>0</v>
      </c>
      <c r="CL47" s="675">
        <f t="shared" si="1"/>
        <v>0</v>
      </c>
      <c r="CM47" s="675">
        <f t="shared" si="1"/>
        <v>0</v>
      </c>
      <c r="CN47" s="675">
        <f t="shared" si="1"/>
        <v>0</v>
      </c>
      <c r="CO47" s="675">
        <f t="shared" si="1"/>
        <v>0</v>
      </c>
      <c r="CP47" s="675" t="str">
        <f>IF(CP46=81,"L ","")</f>
        <v/>
      </c>
      <c r="CQ47" s="675" t="str">
        <f>IF(CQ46=82,"K ","")</f>
        <v/>
      </c>
      <c r="CR47" s="675" t="str">
        <f>IF(CR46=83,"J ","")</f>
        <v/>
      </c>
      <c r="CS47" s="675">
        <f t="shared" ref="CS47:CX47" si="2">+CS46</f>
        <v>0</v>
      </c>
      <c r="CT47" s="675">
        <f t="shared" si="2"/>
        <v>0</v>
      </c>
      <c r="CU47" s="675">
        <f t="shared" si="2"/>
        <v>0</v>
      </c>
      <c r="CV47" s="675">
        <f t="shared" si="2"/>
        <v>0</v>
      </c>
      <c r="CW47" s="675">
        <f t="shared" si="2"/>
        <v>0</v>
      </c>
      <c r="CX47" s="675">
        <f t="shared" si="2"/>
        <v>14</v>
      </c>
      <c r="CY47" s="675" t="str">
        <f>IF(CY46=15,"M ","")</f>
        <v/>
      </c>
      <c r="CZ47" s="675" t="str">
        <f>IF(CZ46=16,"L ","")</f>
        <v/>
      </c>
      <c r="DA47" s="675" t="str">
        <f>IF(DA46=17,"K ","")</f>
        <v/>
      </c>
      <c r="DB47" s="675" t="str">
        <f>IF(DB46=18,"J ","")</f>
        <v/>
      </c>
      <c r="DC47" s="675" t="str">
        <f>IF(DC46=19,"I ","")</f>
        <v/>
      </c>
      <c r="DD47" s="675" t="str">
        <f>IF(DD46=20,"H ","")</f>
        <v/>
      </c>
      <c r="DE47" s="675" t="str">
        <f>IF(DE46=21,"G ","")</f>
        <v/>
      </c>
      <c r="DF47" s="675" t="str">
        <f>IF(DF46=22,"F ","")</f>
        <v/>
      </c>
      <c r="DG47" s="675" t="str">
        <f>IF(DG46=23,"E ","")</f>
        <v/>
      </c>
      <c r="DH47" s="675" t="str">
        <f>IF(DH46=24,"D ","")</f>
        <v/>
      </c>
      <c r="DI47" s="675" t="str">
        <f>IF(DI46=25,"C ","")</f>
        <v/>
      </c>
      <c r="DJ47" s="675" t="str">
        <f>IF(DJ46=26,"B ","")</f>
        <v/>
      </c>
      <c r="DK47" s="676" t="str">
        <f>IF(DK46=27,"A ","")</f>
        <v/>
      </c>
      <c r="DL47" s="13"/>
      <c r="DM47" s="13"/>
      <c r="DN47" s="13"/>
    </row>
    <row r="48" spans="2:118" s="4" customFormat="1" ht="18.75" thickBot="1" x14ac:dyDescent="0.3">
      <c r="B48" s="3"/>
      <c r="C48" s="3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R48" s="12"/>
      <c r="BS48" s="12"/>
      <c r="BT48" s="434"/>
      <c r="BU48" s="434"/>
      <c r="BV48" s="434"/>
      <c r="BW48" s="434"/>
      <c r="BX48" s="434"/>
      <c r="BY48" s="434"/>
      <c r="BZ48" s="434"/>
      <c r="CA48" s="434"/>
      <c r="CB48" s="434"/>
      <c r="CC48" s="434"/>
      <c r="CD48" s="434"/>
      <c r="CE48" s="434"/>
      <c r="CF48" s="434"/>
      <c r="CG48" s="434"/>
      <c r="CH48" s="434"/>
      <c r="CI48" s="434"/>
      <c r="CJ48" s="434"/>
      <c r="CK48" s="434"/>
      <c r="CL48" s="434"/>
      <c r="CM48" s="434"/>
      <c r="CN48" s="624"/>
      <c r="CO48" s="624"/>
      <c r="CP48" s="624"/>
      <c r="CQ48" s="624"/>
      <c r="CR48" s="625"/>
      <c r="CS48" s="434"/>
      <c r="CT48" s="434"/>
      <c r="CU48" s="434"/>
      <c r="CV48" s="434"/>
      <c r="CW48" s="434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4"/>
      <c r="DI48" s="434"/>
      <c r="DJ48" s="434"/>
      <c r="DK48" s="434"/>
      <c r="DL48" s="13"/>
      <c r="DM48" s="13"/>
      <c r="DN48" s="13"/>
    </row>
    <row r="49" spans="2:118" s="4" customFormat="1" x14ac:dyDescent="0.25">
      <c r="B49" s="3"/>
      <c r="C49" s="3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R49" s="12"/>
      <c r="BS49" s="12"/>
      <c r="BT49" s="626" t="s">
        <v>29</v>
      </c>
      <c r="BU49" s="587"/>
      <c r="BV49" s="588"/>
      <c r="BW49" s="588"/>
      <c r="BX49" s="588"/>
      <c r="BY49" s="588"/>
      <c r="BZ49" s="588"/>
      <c r="CA49" s="588"/>
      <c r="CB49" s="588"/>
      <c r="CC49" s="588"/>
      <c r="CD49" s="588"/>
      <c r="CE49" s="588"/>
      <c r="CF49" s="588"/>
      <c r="CG49" s="589"/>
      <c r="CH49" s="627" t="s">
        <v>30</v>
      </c>
      <c r="CI49" s="628"/>
      <c r="CJ49" s="628"/>
      <c r="CK49" s="628"/>
      <c r="CL49" s="628"/>
      <c r="CM49" s="584"/>
      <c r="CN49" s="600"/>
      <c r="CO49" s="600"/>
      <c r="CP49" s="600"/>
      <c r="CQ49" s="600"/>
      <c r="CR49" s="584"/>
      <c r="CS49" s="584"/>
      <c r="CT49" s="584"/>
      <c r="CU49" s="584"/>
      <c r="CV49" s="584"/>
      <c r="CW49" s="584"/>
      <c r="CX49" s="629" t="s">
        <v>31</v>
      </c>
      <c r="CY49" s="587"/>
      <c r="CZ49" s="588"/>
      <c r="DA49" s="588"/>
      <c r="DB49" s="588"/>
      <c r="DC49" s="588"/>
      <c r="DD49" s="588"/>
      <c r="DE49" s="588"/>
      <c r="DF49" s="588"/>
      <c r="DG49" s="588"/>
      <c r="DH49" s="588"/>
      <c r="DI49" s="588"/>
      <c r="DJ49" s="588"/>
      <c r="DK49" s="589"/>
      <c r="DL49" s="13"/>
      <c r="DM49" s="13"/>
      <c r="DN49" s="13"/>
    </row>
    <row r="50" spans="2:118" s="352" customFormat="1" ht="24" thickBot="1" x14ac:dyDescent="0.4">
      <c r="B50" s="350"/>
      <c r="C50" s="350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J50" s="46"/>
      <c r="BK50" s="353"/>
      <c r="BL50" s="353"/>
      <c r="BM50" s="353"/>
      <c r="BN50" s="353"/>
      <c r="BO50" s="353"/>
      <c r="BQ50" s="683" t="s">
        <v>163</v>
      </c>
      <c r="BR50" s="683">
        <f>+MAX(BS3,BS5,BS50)</f>
        <v>51.175076087324193</v>
      </c>
      <c r="BS50" s="684">
        <f>+IF(AND(CW50&gt;0,CH50&gt;0),CH50)</f>
        <v>41.2423254082751</v>
      </c>
      <c r="BT50" s="630" t="s">
        <v>101</v>
      </c>
      <c r="BU50" s="595"/>
      <c r="BV50" s="596"/>
      <c r="BW50" s="596"/>
      <c r="BX50" s="596"/>
      <c r="BY50" s="596"/>
      <c r="BZ50" s="596"/>
      <c r="CA50" s="596"/>
      <c r="CB50" s="596"/>
      <c r="CC50" s="596"/>
      <c r="CD50" s="596"/>
      <c r="CE50" s="596"/>
      <c r="CF50" s="596"/>
      <c r="CG50" s="597"/>
      <c r="CH50" s="737">
        <f>+((D14-D15)/D14)*C20</f>
        <v>41.2423254082751</v>
      </c>
      <c r="CI50" s="738"/>
      <c r="CJ50" s="631"/>
      <c r="CK50" s="631"/>
      <c r="CL50" s="631"/>
      <c r="CM50" s="592"/>
      <c r="CN50" s="604"/>
      <c r="CO50" s="604"/>
      <c r="CP50" s="604"/>
      <c r="CQ50" s="604"/>
      <c r="CR50" s="592"/>
      <c r="CS50" s="592"/>
      <c r="CT50" s="592"/>
      <c r="CU50" s="592"/>
      <c r="CV50" s="592"/>
      <c r="CW50" s="739">
        <f>+(D15/D14)*C20</f>
        <v>22.157674591724899</v>
      </c>
      <c r="CX50" s="740"/>
      <c r="CY50" s="595"/>
      <c r="CZ50" s="596"/>
      <c r="DA50" s="596"/>
      <c r="DB50" s="596"/>
      <c r="DC50" s="596"/>
      <c r="DD50" s="596"/>
      <c r="DE50" s="596"/>
      <c r="DF50" s="596"/>
      <c r="DG50" s="596"/>
      <c r="DH50" s="596"/>
      <c r="DI50" s="596"/>
      <c r="DJ50" s="596"/>
      <c r="DK50" s="597"/>
      <c r="DL50" s="684">
        <f>+IF(AND(CH50&gt;0,CW50&gt;0),CW50)</f>
        <v>22.157674591724899</v>
      </c>
      <c r="DM50" s="683">
        <f>+MAX(DL3,DL5,DL50)</f>
        <v>40.645613567848216</v>
      </c>
      <c r="DN50" s="683" t="s">
        <v>164</v>
      </c>
    </row>
    <row r="51" spans="2:118" s="4" customFormat="1" ht="13.5" customHeight="1" thickBot="1" x14ac:dyDescent="0.4">
      <c r="B51" s="3"/>
      <c r="C51" s="3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J51" s="49"/>
      <c r="BQ51" s="49"/>
      <c r="BR51" s="12"/>
      <c r="BS51" s="12"/>
      <c r="BT51" s="632"/>
      <c r="BU51" s="632"/>
      <c r="BV51" s="633"/>
      <c r="BW51" s="632"/>
      <c r="BX51" s="632"/>
      <c r="BY51" s="632"/>
      <c r="BZ51" s="633"/>
      <c r="CA51" s="632"/>
      <c r="CB51" s="632"/>
      <c r="CC51" s="632"/>
      <c r="CD51" s="632"/>
      <c r="CE51" s="632"/>
      <c r="CF51" s="632"/>
      <c r="CG51" s="632"/>
      <c r="CH51" s="632"/>
      <c r="CI51" s="632"/>
      <c r="CJ51" s="632"/>
      <c r="CK51" s="632"/>
      <c r="CL51" s="632"/>
      <c r="CM51" s="633"/>
      <c r="CN51" s="624"/>
      <c r="CO51" s="624"/>
      <c r="CP51" s="624"/>
      <c r="CQ51" s="624"/>
      <c r="CR51" s="601"/>
      <c r="CS51" s="434"/>
      <c r="CT51" s="434"/>
      <c r="CU51" s="434"/>
      <c r="CV51" s="434"/>
      <c r="CW51" s="434"/>
      <c r="CX51" s="434"/>
      <c r="CY51" s="434"/>
      <c r="CZ51" s="434"/>
      <c r="DA51" s="434"/>
      <c r="DB51" s="434"/>
      <c r="DC51" s="434"/>
      <c r="DD51" s="434"/>
      <c r="DE51" s="434"/>
      <c r="DF51" s="434"/>
      <c r="DG51" s="434"/>
      <c r="DH51" s="434"/>
      <c r="DI51" s="434"/>
      <c r="DJ51" s="434"/>
      <c r="DK51" s="434"/>
      <c r="DL51" s="13"/>
      <c r="DM51" s="13"/>
      <c r="DN51" s="13"/>
    </row>
    <row r="52" spans="2:118" s="4" customFormat="1" ht="26.25" hidden="1" thickBot="1" x14ac:dyDescent="0.4">
      <c r="B52" s="3"/>
      <c r="C52" s="3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Q52" s="49"/>
      <c r="BR52" s="12"/>
      <c r="BS52" s="12"/>
      <c r="BT52" s="632"/>
      <c r="BU52" s="632"/>
      <c r="BV52" s="633"/>
      <c r="BW52" s="632"/>
      <c r="BX52" s="632"/>
      <c r="BY52" s="632"/>
      <c r="BZ52" s="633"/>
      <c r="CA52" s="632"/>
      <c r="CB52" s="632"/>
      <c r="CC52" s="632"/>
      <c r="CD52" s="632"/>
      <c r="CE52" s="632"/>
      <c r="CF52" s="632"/>
      <c r="CG52" s="632"/>
      <c r="CH52" s="632"/>
      <c r="CI52" s="632"/>
      <c r="CJ52" s="632"/>
      <c r="CK52" s="632"/>
      <c r="CL52" s="632"/>
      <c r="CM52" s="633"/>
      <c r="CN52" s="624"/>
      <c r="CO52" s="624"/>
      <c r="CP52" s="624"/>
      <c r="CQ52" s="624"/>
      <c r="CR52" s="601"/>
      <c r="CS52" s="434"/>
      <c r="CT52" s="434"/>
      <c r="CU52" s="434"/>
      <c r="CV52" s="613" t="b">
        <f>IF(CW72=13,12)</f>
        <v>0</v>
      </c>
      <c r="CW52" s="606"/>
      <c r="CX52" s="615" t="b">
        <f>IF(CW72=13,14)</f>
        <v>0</v>
      </c>
      <c r="CY52" s="434"/>
      <c r="CZ52" s="434"/>
      <c r="DA52" s="434"/>
      <c r="DB52" s="434"/>
      <c r="DC52" s="434"/>
      <c r="DD52" s="434"/>
      <c r="DE52" s="434"/>
      <c r="DF52" s="434"/>
      <c r="DG52" s="434"/>
      <c r="DH52" s="434"/>
      <c r="DI52" s="434"/>
      <c r="DJ52" s="434"/>
      <c r="DK52" s="434"/>
      <c r="DL52" s="13"/>
      <c r="DM52" s="13"/>
      <c r="DN52" s="13"/>
    </row>
    <row r="53" spans="2:118" s="4" customFormat="1" ht="26.25" hidden="1" thickBot="1" x14ac:dyDescent="0.4">
      <c r="B53" s="3"/>
      <c r="C53" s="3"/>
      <c r="M53" s="51"/>
      <c r="N53" s="51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Q53" s="49"/>
      <c r="BR53" s="12"/>
      <c r="BS53" s="12"/>
      <c r="BT53" s="632"/>
      <c r="BU53" s="632"/>
      <c r="BV53" s="633"/>
      <c r="BW53" s="632"/>
      <c r="BX53" s="632"/>
      <c r="BY53" s="632"/>
      <c r="BZ53" s="633"/>
      <c r="CA53" s="632"/>
      <c r="CB53" s="632"/>
      <c r="CC53" s="632"/>
      <c r="CD53" s="632"/>
      <c r="CE53" s="632"/>
      <c r="CF53" s="632"/>
      <c r="CG53" s="632"/>
      <c r="CH53" s="632"/>
      <c r="CI53" s="632"/>
      <c r="CJ53" s="632"/>
      <c r="CK53" s="632"/>
      <c r="CL53" s="632"/>
      <c r="CM53" s="633"/>
      <c r="CN53" s="624"/>
      <c r="CO53" s="624"/>
      <c r="CP53" s="624"/>
      <c r="CQ53" s="624"/>
      <c r="CR53" s="601"/>
      <c r="CS53" s="613" t="b">
        <f>IF(CV72=12,10)</f>
        <v>0</v>
      </c>
      <c r="CT53" s="606"/>
      <c r="CU53" s="606"/>
      <c r="CV53" s="617"/>
      <c r="CW53" s="617"/>
      <c r="CX53" s="618" t="b">
        <f>IF(CV72=12,14)</f>
        <v>0</v>
      </c>
      <c r="CY53" s="434"/>
      <c r="CZ53" s="434"/>
      <c r="DA53" s="434"/>
      <c r="DB53" s="434"/>
      <c r="DC53" s="434"/>
      <c r="DD53" s="434"/>
      <c r="DE53" s="434"/>
      <c r="DF53" s="434"/>
      <c r="DG53" s="434"/>
      <c r="DH53" s="434"/>
      <c r="DI53" s="434"/>
      <c r="DJ53" s="434"/>
      <c r="DK53" s="434"/>
      <c r="DL53" s="13"/>
      <c r="DM53" s="13"/>
      <c r="DN53" s="13"/>
    </row>
    <row r="54" spans="2:118" s="4" customFormat="1" ht="18.75" hidden="1" thickBot="1" x14ac:dyDescent="0.3">
      <c r="B54" s="3"/>
      <c r="C54" s="3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R54" s="12"/>
      <c r="BS54" s="12"/>
      <c r="BT54" s="632"/>
      <c r="BU54" s="632"/>
      <c r="BV54" s="633"/>
      <c r="BW54" s="632"/>
      <c r="BX54" s="632"/>
      <c r="BY54" s="632"/>
      <c r="BZ54" s="633"/>
      <c r="CA54" s="632"/>
      <c r="CB54" s="632"/>
      <c r="CC54" s="632"/>
      <c r="CD54" s="632"/>
      <c r="CE54" s="632"/>
      <c r="CF54" s="632"/>
      <c r="CG54" s="632"/>
      <c r="CH54" s="632"/>
      <c r="CI54" s="632"/>
      <c r="CJ54" s="632"/>
      <c r="CK54" s="632"/>
      <c r="CL54" s="632"/>
      <c r="CM54" s="633"/>
      <c r="CN54" s="624"/>
      <c r="CO54" s="624"/>
      <c r="CP54" s="624"/>
      <c r="CQ54" s="624"/>
      <c r="CR54" s="613" t="b">
        <f>IF(CU72=11,9)</f>
        <v>0</v>
      </c>
      <c r="CS54" s="617"/>
      <c r="CT54" s="617"/>
      <c r="CU54" s="617"/>
      <c r="CV54" s="617"/>
      <c r="CW54" s="618" t="b">
        <f>IF(CU72=11,14)</f>
        <v>0</v>
      </c>
      <c r="CX54" s="434"/>
      <c r="CY54" s="434"/>
      <c r="CZ54" s="434"/>
      <c r="DA54" s="434"/>
      <c r="DB54" s="434"/>
      <c r="DC54" s="434"/>
      <c r="DD54" s="434"/>
      <c r="DE54" s="434"/>
      <c r="DF54" s="434"/>
      <c r="DG54" s="434"/>
      <c r="DH54" s="434"/>
      <c r="DI54" s="434"/>
      <c r="DJ54" s="434"/>
      <c r="DK54" s="434"/>
      <c r="DL54" s="13"/>
      <c r="DM54" s="13"/>
      <c r="DN54" s="13"/>
    </row>
    <row r="55" spans="2:118" s="4" customFormat="1" ht="18.75" hidden="1" thickBot="1" x14ac:dyDescent="0.3">
      <c r="B55" s="3"/>
      <c r="C55" s="3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Q55" s="48"/>
      <c r="BR55" s="12"/>
      <c r="BS55" s="12"/>
      <c r="BT55" s="632"/>
      <c r="BU55" s="632"/>
      <c r="BV55" s="633"/>
      <c r="BW55" s="632"/>
      <c r="BX55" s="632"/>
      <c r="BY55" s="632"/>
      <c r="BZ55" s="633"/>
      <c r="CA55" s="632"/>
      <c r="CB55" s="632"/>
      <c r="CC55" s="632"/>
      <c r="CD55" s="632"/>
      <c r="CE55" s="632"/>
      <c r="CF55" s="632"/>
      <c r="CG55" s="632"/>
      <c r="CH55" s="632"/>
      <c r="CI55" s="632"/>
      <c r="CJ55" s="632"/>
      <c r="CK55" s="608"/>
      <c r="CL55" s="632"/>
      <c r="CM55" s="608"/>
      <c r="CN55" s="624"/>
      <c r="CO55" s="624"/>
      <c r="CP55" s="624"/>
      <c r="CQ55" s="624"/>
      <c r="CR55" s="434"/>
      <c r="CS55" s="634" t="b">
        <f>IF(CT72=10,9)</f>
        <v>0</v>
      </c>
      <c r="CT55" s="635"/>
      <c r="CU55" s="636" t="b">
        <f>IF(CT72=10,11)</f>
        <v>0</v>
      </c>
      <c r="CV55" s="434"/>
      <c r="CW55" s="434"/>
      <c r="CX55" s="434"/>
      <c r="CY55" s="434"/>
      <c r="CZ55" s="434"/>
      <c r="DA55" s="434"/>
      <c r="DB55" s="434"/>
      <c r="DC55" s="434"/>
      <c r="DD55" s="434"/>
      <c r="DE55" s="434"/>
      <c r="DF55" s="434"/>
      <c r="DG55" s="434"/>
      <c r="DH55" s="434"/>
      <c r="DI55" s="434"/>
      <c r="DJ55" s="434"/>
      <c r="DK55" s="434"/>
      <c r="DL55" s="13"/>
      <c r="DM55" s="13"/>
      <c r="DN55" s="13"/>
    </row>
    <row r="56" spans="2:118" s="4" customFormat="1" ht="21" hidden="1" thickBot="1" x14ac:dyDescent="0.35">
      <c r="B56" s="351"/>
      <c r="C56" s="33">
        <v>4000</v>
      </c>
      <c r="D56" s="33">
        <v>4400</v>
      </c>
      <c r="E56" s="33"/>
      <c r="F56" s="33"/>
      <c r="G56" s="33"/>
      <c r="H56" s="33"/>
      <c r="I56" s="33"/>
      <c r="J56" s="33"/>
      <c r="K56" s="33"/>
      <c r="L56" s="280" t="s">
        <v>109</v>
      </c>
      <c r="M56" s="28"/>
      <c r="N56" s="28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Q56" s="52"/>
      <c r="BR56" s="12"/>
      <c r="BS56" s="12"/>
      <c r="BT56" s="632"/>
      <c r="BU56" s="632"/>
      <c r="BV56" s="633"/>
      <c r="BW56" s="632"/>
      <c r="BX56" s="632"/>
      <c r="BY56" s="632"/>
      <c r="BZ56" s="633"/>
      <c r="CA56" s="632"/>
      <c r="CB56" s="632"/>
      <c r="CC56" s="632"/>
      <c r="CD56" s="632"/>
      <c r="CE56" s="632"/>
      <c r="CF56" s="632"/>
      <c r="CG56" s="632"/>
      <c r="CH56" s="632"/>
      <c r="CI56" s="608"/>
      <c r="CJ56" s="632"/>
      <c r="CK56" s="632"/>
      <c r="CL56" s="632"/>
      <c r="CM56" s="608"/>
      <c r="CN56" s="613" t="b">
        <f>IF(CS72=9,7)</f>
        <v>0</v>
      </c>
      <c r="CO56" s="637"/>
      <c r="CP56" s="637"/>
      <c r="CQ56" s="637"/>
      <c r="CR56" s="606"/>
      <c r="CS56" s="606"/>
      <c r="CT56" s="606"/>
      <c r="CU56" s="606"/>
      <c r="CV56" s="606"/>
      <c r="CW56" s="606"/>
      <c r="CX56" s="615" t="b">
        <f>IF(CS72=9,14)</f>
        <v>0</v>
      </c>
      <c r="CY56" s="434"/>
      <c r="CZ56" s="638"/>
      <c r="DA56" s="638"/>
      <c r="DB56" s="638"/>
      <c r="DC56" s="434"/>
      <c r="DD56" s="434"/>
      <c r="DE56" s="434"/>
      <c r="DF56" s="434"/>
      <c r="DG56" s="434"/>
      <c r="DH56" s="434"/>
      <c r="DI56" s="434"/>
      <c r="DJ56" s="434"/>
      <c r="DK56" s="434"/>
      <c r="DL56" s="13"/>
      <c r="DM56" s="13"/>
      <c r="DN56" s="13"/>
    </row>
    <row r="57" spans="2:118" s="4" customFormat="1" ht="24" hidden="1" thickBot="1" x14ac:dyDescent="0.4">
      <c r="B57" s="354" t="s">
        <v>20</v>
      </c>
      <c r="C57" s="35">
        <v>3000</v>
      </c>
      <c r="D57" s="35">
        <v>3000</v>
      </c>
      <c r="E57" s="35"/>
      <c r="F57" s="35"/>
      <c r="G57" s="35"/>
      <c r="H57" s="35"/>
      <c r="I57" s="35"/>
      <c r="J57" s="35"/>
      <c r="K57" s="35"/>
      <c r="L57" s="280" t="s">
        <v>110</v>
      </c>
      <c r="M57" s="28"/>
      <c r="N57" s="28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Q57" s="52"/>
      <c r="BR57" s="12"/>
      <c r="BS57" s="12"/>
      <c r="BT57" s="632"/>
      <c r="BU57" s="632"/>
      <c r="BV57" s="633"/>
      <c r="BW57" s="632"/>
      <c r="BX57" s="632"/>
      <c r="BY57" s="632"/>
      <c r="BZ57" s="633"/>
      <c r="CA57" s="632"/>
      <c r="CB57" s="632"/>
      <c r="CC57" s="632"/>
      <c r="CD57" s="632"/>
      <c r="CE57" s="632"/>
      <c r="CF57" s="632"/>
      <c r="CG57" s="632"/>
      <c r="CH57" s="632"/>
      <c r="CI57" s="608"/>
      <c r="CJ57" s="632"/>
      <c r="CK57" s="434"/>
      <c r="CL57" s="613" t="b">
        <f>IF(CR72=83,5)</f>
        <v>0</v>
      </c>
      <c r="CM57" s="614"/>
      <c r="CN57" s="637"/>
      <c r="CO57" s="637"/>
      <c r="CP57" s="637"/>
      <c r="CQ57" s="637"/>
      <c r="CR57" s="606"/>
      <c r="CS57" s="606"/>
      <c r="CT57" s="606"/>
      <c r="CU57" s="606"/>
      <c r="CV57" s="606"/>
      <c r="CW57" s="606"/>
      <c r="CX57" s="615" t="b">
        <f>IF(CR72=83,14)</f>
        <v>0</v>
      </c>
      <c r="CY57" s="434"/>
      <c r="CZ57" s="434"/>
      <c r="DA57" s="434"/>
      <c r="DB57" s="434"/>
      <c r="DC57" s="434"/>
      <c r="DD57" s="434"/>
      <c r="DE57" s="434"/>
      <c r="DF57" s="434"/>
      <c r="DG57" s="434"/>
      <c r="DH57" s="434"/>
      <c r="DI57" s="434"/>
      <c r="DJ57" s="434"/>
      <c r="DK57" s="434"/>
      <c r="DL57" s="13"/>
      <c r="DM57" s="13"/>
      <c r="DN57" s="13"/>
    </row>
    <row r="58" spans="2:118" s="4" customFormat="1" ht="21" hidden="1" thickBot="1" x14ac:dyDescent="0.35">
      <c r="B58" s="354"/>
      <c r="C58" s="33">
        <v>4300</v>
      </c>
      <c r="D58" s="33">
        <v>5000</v>
      </c>
      <c r="E58" s="33"/>
      <c r="F58" s="33"/>
      <c r="G58" s="33"/>
      <c r="H58" s="33"/>
      <c r="I58" s="33"/>
      <c r="J58" s="33"/>
      <c r="K58" s="33"/>
      <c r="L58" s="280" t="s">
        <v>111</v>
      </c>
      <c r="M58" s="28"/>
      <c r="N58" s="28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Q58" s="52"/>
      <c r="BR58" s="12"/>
      <c r="BS58" s="12"/>
      <c r="BT58" s="632"/>
      <c r="BU58" s="632"/>
      <c r="BV58" s="633"/>
      <c r="BW58" s="632"/>
      <c r="BX58" s="632"/>
      <c r="BY58" s="632"/>
      <c r="BZ58" s="633"/>
      <c r="CA58" s="632"/>
      <c r="CB58" s="632"/>
      <c r="CC58" s="632"/>
      <c r="CD58" s="632"/>
      <c r="CE58" s="608"/>
      <c r="CF58" s="632"/>
      <c r="CG58" s="632"/>
      <c r="CH58" s="434"/>
      <c r="CI58" s="639"/>
      <c r="CJ58" s="613" t="b">
        <f>IF(CQ72=82,3)</f>
        <v>0</v>
      </c>
      <c r="CK58" s="640"/>
      <c r="CL58" s="640"/>
      <c r="CM58" s="614"/>
      <c r="CN58" s="637"/>
      <c r="CO58" s="637"/>
      <c r="CP58" s="637"/>
      <c r="CQ58" s="637"/>
      <c r="CR58" s="606"/>
      <c r="CS58" s="606"/>
      <c r="CT58" s="606"/>
      <c r="CU58" s="606"/>
      <c r="CV58" s="606"/>
      <c r="CW58" s="606"/>
      <c r="CX58" s="615" t="b">
        <f>IF(CQ72=82,14)</f>
        <v>0</v>
      </c>
      <c r="CY58" s="434"/>
      <c r="CZ58" s="434"/>
      <c r="DA58" s="434"/>
      <c r="DB58" s="434"/>
      <c r="DC58" s="434"/>
      <c r="DD58" s="434"/>
      <c r="DE58" s="434"/>
      <c r="DF58" s="434"/>
      <c r="DG58" s="434"/>
      <c r="DH58" s="434"/>
      <c r="DI58" s="434"/>
      <c r="DJ58" s="434"/>
      <c r="DK58" s="434"/>
      <c r="DL58" s="13"/>
      <c r="DM58" s="13"/>
      <c r="DN58" s="13"/>
    </row>
    <row r="59" spans="2:118" s="4" customFormat="1" ht="18.75" hidden="1" thickBot="1" x14ac:dyDescent="0.3">
      <c r="B59" s="351"/>
      <c r="C59" s="351" t="s">
        <v>21</v>
      </c>
      <c r="D59" s="351" t="s">
        <v>22</v>
      </c>
      <c r="E59" s="355"/>
      <c r="F59" s="355"/>
      <c r="G59" s="355"/>
      <c r="H59" s="355"/>
      <c r="I59" s="355"/>
      <c r="J59" s="355"/>
      <c r="K59" s="355"/>
      <c r="M59" s="28"/>
      <c r="N59" s="28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Q59" s="52"/>
      <c r="BR59" s="12"/>
      <c r="BS59" s="12"/>
      <c r="BT59" s="632"/>
      <c r="BU59" s="632"/>
      <c r="BV59" s="633"/>
      <c r="BW59" s="632"/>
      <c r="BX59" s="632"/>
      <c r="BY59" s="632"/>
      <c r="BZ59" s="633"/>
      <c r="CA59" s="632"/>
      <c r="CB59" s="632"/>
      <c r="CC59" s="608"/>
      <c r="CD59" s="632"/>
      <c r="CE59" s="632"/>
      <c r="CF59" s="632"/>
      <c r="CG59" s="632"/>
      <c r="CH59" s="613" t="b">
        <f>IF(CP72=81,1)</f>
        <v>0</v>
      </c>
      <c r="CI59" s="640"/>
      <c r="CJ59" s="640"/>
      <c r="CK59" s="640"/>
      <c r="CL59" s="640"/>
      <c r="CM59" s="614"/>
      <c r="CN59" s="637"/>
      <c r="CO59" s="637"/>
      <c r="CP59" s="637"/>
      <c r="CQ59" s="637"/>
      <c r="CR59" s="606"/>
      <c r="CS59" s="606"/>
      <c r="CT59" s="606"/>
      <c r="CU59" s="606"/>
      <c r="CV59" s="606"/>
      <c r="CW59" s="606"/>
      <c r="CX59" s="615" t="b">
        <f>IF(CP72=81,14)</f>
        <v>0</v>
      </c>
      <c r="CY59" s="434"/>
      <c r="CZ59" s="434"/>
      <c r="DA59" s="434"/>
      <c r="DB59" s="434"/>
      <c r="DC59" s="434"/>
      <c r="DD59" s="434"/>
      <c r="DE59" s="434"/>
      <c r="DF59" s="434"/>
      <c r="DG59" s="434"/>
      <c r="DH59" s="434"/>
      <c r="DI59" s="434"/>
      <c r="DJ59" s="434"/>
      <c r="DK59" s="434"/>
      <c r="DL59" s="13"/>
      <c r="DM59" s="13"/>
      <c r="DN59" s="13"/>
    </row>
    <row r="60" spans="2:118" s="4" customFormat="1" ht="18.75" hidden="1" thickBot="1" x14ac:dyDescent="0.3">
      <c r="B60" s="356" t="s">
        <v>61</v>
      </c>
      <c r="C60" s="351">
        <f>+((C21-C22)/C21)*C20</f>
        <v>40.239865550230995</v>
      </c>
      <c r="D60" s="351">
        <f>+(C22/C21)*C20</f>
        <v>23.160134449769011</v>
      </c>
      <c r="E60" s="355"/>
      <c r="F60" s="355"/>
      <c r="G60" s="355"/>
      <c r="H60" s="355"/>
      <c r="I60" s="355"/>
      <c r="J60" s="355"/>
      <c r="K60" s="355"/>
      <c r="M60" s="28"/>
      <c r="N60" s="28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Q60" s="52"/>
      <c r="BR60" s="12"/>
      <c r="BS60" s="12"/>
      <c r="BT60" s="632"/>
      <c r="BU60" s="632"/>
      <c r="BV60" s="633"/>
      <c r="BW60" s="632"/>
      <c r="BX60" s="632"/>
      <c r="BY60" s="632"/>
      <c r="BZ60" s="633"/>
      <c r="CA60" s="608"/>
      <c r="CB60" s="632"/>
      <c r="CC60" s="632"/>
      <c r="CD60" s="632"/>
      <c r="CE60" s="632"/>
      <c r="CF60" s="632"/>
      <c r="CG60" s="632"/>
      <c r="CH60" s="619" t="b">
        <f>IF(CO72=8,1)</f>
        <v>0</v>
      </c>
      <c r="CI60" s="641"/>
      <c r="CJ60" s="641"/>
      <c r="CK60" s="641"/>
      <c r="CL60" s="641"/>
      <c r="CM60" s="616"/>
      <c r="CN60" s="642"/>
      <c r="CO60" s="642"/>
      <c r="CP60" s="642"/>
      <c r="CQ60" s="642"/>
      <c r="CR60" s="617"/>
      <c r="CS60" s="617"/>
      <c r="CT60" s="617"/>
      <c r="CU60" s="617"/>
      <c r="CV60" s="618" t="b">
        <f>IF(CO72=8,12)</f>
        <v>0</v>
      </c>
      <c r="CW60" s="434"/>
      <c r="CX60" s="434"/>
      <c r="CY60" s="434"/>
      <c r="CZ60" s="434"/>
      <c r="DA60" s="434"/>
      <c r="DB60" s="434"/>
      <c r="DC60" s="434"/>
      <c r="DD60" s="434"/>
      <c r="DE60" s="434"/>
      <c r="DF60" s="434"/>
      <c r="DG60" s="434"/>
      <c r="DH60" s="434"/>
      <c r="DI60" s="434"/>
      <c r="DJ60" s="434"/>
      <c r="DK60" s="434"/>
      <c r="DL60" s="13"/>
      <c r="DM60" s="13"/>
      <c r="DN60" s="13"/>
    </row>
    <row r="61" spans="2:118" s="4" customFormat="1" ht="18.75" hidden="1" thickBot="1" x14ac:dyDescent="0.3">
      <c r="B61" s="3"/>
      <c r="C61" s="3"/>
      <c r="L61" s="28"/>
      <c r="M61" s="28"/>
      <c r="N61" s="28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Q61" s="52"/>
      <c r="BR61" s="12"/>
      <c r="BS61" s="12"/>
      <c r="BT61" s="632"/>
      <c r="BU61" s="632"/>
      <c r="BV61" s="633"/>
      <c r="BW61" s="632"/>
      <c r="BX61" s="632"/>
      <c r="BY61" s="632"/>
      <c r="BZ61" s="608"/>
      <c r="CA61" s="632"/>
      <c r="CB61" s="632"/>
      <c r="CC61" s="632"/>
      <c r="CD61" s="632"/>
      <c r="CE61" s="632"/>
      <c r="CF61" s="632"/>
      <c r="CG61" s="632"/>
      <c r="CH61" s="619">
        <f>IF(CN72=7,1)</f>
        <v>1</v>
      </c>
      <c r="CI61" s="641"/>
      <c r="CJ61" s="641"/>
      <c r="CK61" s="617"/>
      <c r="CL61" s="617"/>
      <c r="CM61" s="643"/>
      <c r="CN61" s="617"/>
      <c r="CO61" s="617"/>
      <c r="CP61" s="642"/>
      <c r="CQ61" s="642"/>
      <c r="CR61" s="617"/>
      <c r="CS61" s="617"/>
      <c r="CT61" s="618">
        <f>IF(CN72=7,10)</f>
        <v>10</v>
      </c>
      <c r="CU61" s="434"/>
      <c r="CV61" s="434"/>
      <c r="CW61" s="434"/>
      <c r="CX61" s="434"/>
      <c r="CY61" s="434"/>
      <c r="CZ61" s="434"/>
      <c r="DA61" s="434"/>
      <c r="DB61" s="434"/>
      <c r="DC61" s="434"/>
      <c r="DD61" s="434"/>
      <c r="DE61" s="434"/>
      <c r="DF61" s="434"/>
      <c r="DG61" s="434"/>
      <c r="DH61" s="434"/>
      <c r="DI61" s="434"/>
      <c r="DJ61" s="434"/>
      <c r="DK61" s="434"/>
      <c r="DL61" s="13"/>
      <c r="DM61" s="13"/>
      <c r="DN61" s="13"/>
    </row>
    <row r="62" spans="2:118" s="4" customFormat="1" ht="18.75" hidden="1" thickBot="1" x14ac:dyDescent="0.3">
      <c r="B62" s="3"/>
      <c r="C62" s="3"/>
      <c r="L62" s="28"/>
      <c r="M62" s="28"/>
      <c r="N62" s="28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Q62" s="52"/>
      <c r="BR62" s="12"/>
      <c r="BS62" s="12"/>
      <c r="BT62" s="632"/>
      <c r="BU62" s="632"/>
      <c r="BV62" s="633"/>
      <c r="BW62" s="632"/>
      <c r="BX62" s="632"/>
      <c r="BY62" s="632"/>
      <c r="BZ62" s="608"/>
      <c r="CA62" s="632"/>
      <c r="CB62" s="632"/>
      <c r="CC62" s="632"/>
      <c r="CD62" s="632"/>
      <c r="CE62" s="632"/>
      <c r="CF62" s="632"/>
      <c r="CG62" s="632"/>
      <c r="CH62" s="632"/>
      <c r="CI62" s="434"/>
      <c r="CJ62" s="632"/>
      <c r="CK62" s="619" t="b">
        <f>IF(CM72=6,4)</f>
        <v>0</v>
      </c>
      <c r="CL62" s="617"/>
      <c r="CM62" s="643"/>
      <c r="CN62" s="617"/>
      <c r="CO62" s="618" t="b">
        <f>IF(CM72=6,8)</f>
        <v>0</v>
      </c>
      <c r="CP62" s="624"/>
      <c r="CQ62" s="624"/>
      <c r="CR62" s="601"/>
      <c r="CS62" s="434"/>
      <c r="CT62" s="434"/>
      <c r="CU62" s="434"/>
      <c r="CV62" s="434"/>
      <c r="CW62" s="434"/>
      <c r="CX62" s="434"/>
      <c r="CY62" s="434"/>
      <c r="CZ62" s="434"/>
      <c r="DA62" s="434"/>
      <c r="DB62" s="434"/>
      <c r="DC62" s="434"/>
      <c r="DD62" s="434"/>
      <c r="DE62" s="434"/>
      <c r="DF62" s="434"/>
      <c r="DG62" s="434"/>
      <c r="DH62" s="434"/>
      <c r="DI62" s="434"/>
      <c r="DJ62" s="434"/>
      <c r="DK62" s="434"/>
      <c r="DL62" s="13"/>
      <c r="DM62" s="13"/>
      <c r="DN62" s="13"/>
    </row>
    <row r="63" spans="2:118" s="4" customFormat="1" ht="18.75" hidden="1" thickBot="1" x14ac:dyDescent="0.3">
      <c r="B63" s="3"/>
      <c r="C63" s="3"/>
      <c r="L63" s="28"/>
      <c r="M63" s="28"/>
      <c r="N63" s="28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Q63" s="52"/>
      <c r="BR63" s="12"/>
      <c r="BS63" s="12"/>
      <c r="BT63" s="632"/>
      <c r="BU63" s="632"/>
      <c r="BV63" s="633"/>
      <c r="BW63" s="632"/>
      <c r="BX63" s="632"/>
      <c r="BY63" s="632"/>
      <c r="BZ63" s="633"/>
      <c r="CA63" s="632"/>
      <c r="CB63" s="632"/>
      <c r="CC63" s="608"/>
      <c r="CD63" s="632"/>
      <c r="CE63" s="608"/>
      <c r="CF63" s="632"/>
      <c r="CG63" s="632"/>
      <c r="CH63" s="434"/>
      <c r="CI63" s="613" t="b">
        <f>IF(CL72=5,2)</f>
        <v>0</v>
      </c>
      <c r="CJ63" s="606"/>
      <c r="CK63" s="641"/>
      <c r="CL63" s="617"/>
      <c r="CM63" s="643"/>
      <c r="CN63" s="644"/>
      <c r="CO63" s="618" t="b">
        <f>IF(CL72=5,8)</f>
        <v>0</v>
      </c>
      <c r="CP63" s="624"/>
      <c r="CQ63" s="624"/>
      <c r="CR63" s="601"/>
      <c r="CS63" s="434"/>
      <c r="CT63" s="434"/>
      <c r="CU63" s="434"/>
      <c r="CV63" s="434"/>
      <c r="CW63" s="434"/>
      <c r="CX63" s="434"/>
      <c r="CY63" s="434"/>
      <c r="CZ63" s="434"/>
      <c r="DA63" s="434"/>
      <c r="DB63" s="434"/>
      <c r="DC63" s="434"/>
      <c r="DD63" s="434"/>
      <c r="DE63" s="434"/>
      <c r="DF63" s="434"/>
      <c r="DG63" s="434"/>
      <c r="DH63" s="434"/>
      <c r="DI63" s="434"/>
      <c r="DJ63" s="434"/>
      <c r="DK63" s="434"/>
      <c r="DL63" s="13"/>
      <c r="DM63" s="13"/>
      <c r="DN63" s="13"/>
    </row>
    <row r="64" spans="2:118" s="4" customFormat="1" ht="18.75" hidden="1" thickBot="1" x14ac:dyDescent="0.3">
      <c r="B64" s="3"/>
      <c r="C64" s="3"/>
      <c r="L64" s="28"/>
      <c r="M64" s="28"/>
      <c r="N64" s="28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Q64" s="52"/>
      <c r="BR64" s="12"/>
      <c r="BS64" s="12"/>
      <c r="BT64" s="632"/>
      <c r="BU64" s="632"/>
      <c r="BV64" s="633"/>
      <c r="BW64" s="632"/>
      <c r="BX64" s="632"/>
      <c r="BY64" s="632"/>
      <c r="BZ64" s="633"/>
      <c r="CA64" s="608"/>
      <c r="CB64" s="632"/>
      <c r="CC64" s="632"/>
      <c r="CD64" s="632"/>
      <c r="CE64" s="608"/>
      <c r="CF64" s="632"/>
      <c r="CG64" s="632"/>
      <c r="CH64" s="613" t="b">
        <f>IF(CK72=4,1)</f>
        <v>0</v>
      </c>
      <c r="CI64" s="640"/>
      <c r="CJ64" s="606"/>
      <c r="CK64" s="640"/>
      <c r="CL64" s="606"/>
      <c r="CM64" s="645"/>
      <c r="CN64" s="615" t="b">
        <f>IF(CK72=4,7)</f>
        <v>0</v>
      </c>
      <c r="CO64" s="624"/>
      <c r="CP64" s="624"/>
      <c r="CQ64" s="624"/>
      <c r="CR64" s="601"/>
      <c r="CS64" s="434"/>
      <c r="CT64" s="434"/>
      <c r="CU64" s="434"/>
      <c r="CV64" s="434"/>
      <c r="CW64" s="434"/>
      <c r="CX64" s="434"/>
      <c r="CY64" s="434"/>
      <c r="CZ64" s="434"/>
      <c r="DA64" s="434"/>
      <c r="DB64" s="434"/>
      <c r="DC64" s="434"/>
      <c r="DD64" s="434"/>
      <c r="DE64" s="434"/>
      <c r="DF64" s="434"/>
      <c r="DG64" s="434"/>
      <c r="DH64" s="434"/>
      <c r="DI64" s="434"/>
      <c r="DJ64" s="434"/>
      <c r="DK64" s="434"/>
      <c r="DL64" s="13"/>
      <c r="DM64" s="13"/>
      <c r="DN64" s="13"/>
    </row>
    <row r="65" spans="2:118" s="4" customFormat="1" ht="18.75" hidden="1" thickBot="1" x14ac:dyDescent="0.3">
      <c r="B65" s="3"/>
      <c r="C65" s="3"/>
      <c r="L65" s="28"/>
      <c r="M65" s="28"/>
      <c r="N65" s="28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Q65" s="52"/>
      <c r="BR65" s="12"/>
      <c r="BS65" s="12"/>
      <c r="BT65" s="632"/>
      <c r="BU65" s="632"/>
      <c r="BV65" s="633"/>
      <c r="BW65" s="632"/>
      <c r="BX65" s="632"/>
      <c r="BY65" s="632"/>
      <c r="BZ65" s="608"/>
      <c r="CA65" s="632"/>
      <c r="CB65" s="632"/>
      <c r="CC65" s="632"/>
      <c r="CD65" s="608"/>
      <c r="CE65" s="632"/>
      <c r="CF65" s="632"/>
      <c r="CG65" s="632"/>
      <c r="CH65" s="619" t="b">
        <f>IF(CJ72=3,1)</f>
        <v>0</v>
      </c>
      <c r="CI65" s="641"/>
      <c r="CJ65" s="617"/>
      <c r="CK65" s="641"/>
      <c r="CL65" s="618" t="b">
        <f>IF(CJ72=3,5)</f>
        <v>0</v>
      </c>
      <c r="CM65" s="633"/>
      <c r="CN65" s="624"/>
      <c r="CO65" s="624"/>
      <c r="CP65" s="624"/>
      <c r="CQ65" s="624"/>
      <c r="CR65" s="601"/>
      <c r="CS65" s="434"/>
      <c r="CT65" s="434"/>
      <c r="CU65" s="434"/>
      <c r="CV65" s="434"/>
      <c r="CW65" s="434"/>
      <c r="CX65" s="434"/>
      <c r="CY65" s="434"/>
      <c r="CZ65" s="434"/>
      <c r="DA65" s="434"/>
      <c r="DB65" s="434"/>
      <c r="DC65" s="434"/>
      <c r="DD65" s="434"/>
      <c r="DE65" s="434"/>
      <c r="DF65" s="434"/>
      <c r="DG65" s="434"/>
      <c r="DH65" s="434"/>
      <c r="DI65" s="434"/>
      <c r="DJ65" s="434"/>
      <c r="DK65" s="434"/>
      <c r="DL65" s="13"/>
      <c r="DM65" s="13"/>
      <c r="DN65" s="13"/>
    </row>
    <row r="66" spans="2:118" s="4" customFormat="1" ht="18.75" hidden="1" thickBot="1" x14ac:dyDescent="0.3">
      <c r="M66" s="28"/>
      <c r="N66" s="28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Q66" s="52"/>
      <c r="BR66" s="12"/>
      <c r="BS66" s="12"/>
      <c r="BT66" s="632"/>
      <c r="BU66" s="434"/>
      <c r="BV66" s="434"/>
      <c r="BW66" s="434"/>
      <c r="BX66" s="632"/>
      <c r="BY66" s="632"/>
      <c r="BZ66" s="601"/>
      <c r="CA66" s="601"/>
      <c r="CB66" s="601"/>
      <c r="CC66" s="632"/>
      <c r="CD66" s="632"/>
      <c r="CE66" s="632"/>
      <c r="CF66" s="632"/>
      <c r="CG66" s="632"/>
      <c r="CH66" s="619" t="b">
        <f>IF(CI72=2,1)</f>
        <v>0</v>
      </c>
      <c r="CI66" s="641"/>
      <c r="CJ66" s="618" t="b">
        <f>IF(CI72=2,3)</f>
        <v>0</v>
      </c>
      <c r="CK66" s="632"/>
      <c r="CL66" s="632"/>
      <c r="CM66" s="633"/>
      <c r="CN66" s="624"/>
      <c r="CO66" s="624"/>
      <c r="CP66" s="624"/>
      <c r="CQ66" s="624"/>
      <c r="CR66" s="601"/>
      <c r="CS66" s="434"/>
      <c r="CT66" s="434"/>
      <c r="CU66" s="434"/>
      <c r="CV66" s="434"/>
      <c r="CW66" s="434"/>
      <c r="CX66" s="434"/>
      <c r="CY66" s="434"/>
      <c r="CZ66" s="434"/>
      <c r="DA66" s="434"/>
      <c r="DB66" s="434"/>
      <c r="DC66" s="434"/>
      <c r="DD66" s="434"/>
      <c r="DE66" s="434"/>
      <c r="DF66" s="434"/>
      <c r="DG66" s="434"/>
      <c r="DH66" s="434"/>
      <c r="DI66" s="434"/>
      <c r="DJ66" s="434"/>
      <c r="DK66" s="434"/>
      <c r="DL66" s="13"/>
      <c r="DM66" s="13"/>
      <c r="DN66" s="13"/>
    </row>
    <row r="67" spans="2:118" s="4" customFormat="1" hidden="1" x14ac:dyDescent="0.25">
      <c r="M67" s="28"/>
      <c r="N67" s="28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Q67" s="52"/>
      <c r="BR67" s="12"/>
      <c r="BS67" s="12"/>
      <c r="BT67" s="632"/>
      <c r="BU67" s="632"/>
      <c r="BV67" s="633"/>
      <c r="BW67" s="632"/>
      <c r="BX67" s="632"/>
      <c r="BY67" s="632"/>
      <c r="BZ67" s="608"/>
      <c r="CA67" s="632"/>
      <c r="CB67" s="632"/>
      <c r="CC67" s="632"/>
      <c r="CD67" s="632"/>
      <c r="CE67" s="632"/>
      <c r="CF67" s="632"/>
      <c r="CG67" s="632"/>
      <c r="CH67" s="632"/>
      <c r="CI67" s="632"/>
      <c r="CJ67" s="632"/>
      <c r="CK67" s="632"/>
      <c r="CL67" s="632"/>
      <c r="CM67" s="633"/>
      <c r="CN67" s="624"/>
      <c r="CO67" s="624"/>
      <c r="CP67" s="624"/>
      <c r="CQ67" s="624"/>
      <c r="CR67" s="601"/>
      <c r="CS67" s="434"/>
      <c r="CT67" s="434"/>
      <c r="CU67" s="434"/>
      <c r="CV67" s="434"/>
      <c r="CW67" s="434"/>
      <c r="CX67" s="434"/>
      <c r="CY67" s="434"/>
      <c r="CZ67" s="434"/>
      <c r="DA67" s="434"/>
      <c r="DB67" s="434"/>
      <c r="DC67" s="434"/>
      <c r="DD67" s="434"/>
      <c r="DE67" s="434"/>
      <c r="DF67" s="434"/>
      <c r="DG67" s="434"/>
      <c r="DH67" s="434"/>
      <c r="DI67" s="434"/>
      <c r="DJ67" s="434"/>
      <c r="DK67" s="434"/>
      <c r="DL67" s="13"/>
      <c r="DM67" s="13"/>
      <c r="DN67" s="13"/>
    </row>
    <row r="68" spans="2:118" s="4" customFormat="1" ht="18.75" hidden="1" thickBot="1" x14ac:dyDescent="0.3">
      <c r="M68" s="28"/>
      <c r="N68" s="28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Q68" s="52"/>
      <c r="BR68" s="12"/>
      <c r="BS68" s="12"/>
      <c r="BT68" s="632"/>
      <c r="BU68" s="632"/>
      <c r="BV68" s="633"/>
      <c r="BW68" s="632"/>
      <c r="BX68" s="632"/>
      <c r="BY68" s="632"/>
      <c r="BZ68" s="608"/>
      <c r="CA68" s="632"/>
      <c r="CB68" s="632"/>
      <c r="CC68" s="632"/>
      <c r="CD68" s="632"/>
      <c r="CE68" s="632"/>
      <c r="CF68" s="632"/>
      <c r="CG68" s="632"/>
      <c r="CH68" s="632"/>
      <c r="CI68" s="632"/>
      <c r="CJ68" s="632"/>
      <c r="CK68" s="632"/>
      <c r="CL68" s="632"/>
      <c r="CM68" s="633"/>
      <c r="CN68" s="624"/>
      <c r="CO68" s="624"/>
      <c r="CP68" s="624"/>
      <c r="CQ68" s="624"/>
      <c r="CR68" s="601"/>
      <c r="CS68" s="434"/>
      <c r="CT68" s="434"/>
      <c r="CU68" s="434"/>
      <c r="CV68" s="434"/>
      <c r="CW68" s="434"/>
      <c r="CX68" s="434"/>
      <c r="CY68" s="434"/>
      <c r="CZ68" s="434"/>
      <c r="DA68" s="434"/>
      <c r="DB68" s="434"/>
      <c r="DC68" s="434"/>
      <c r="DD68" s="434"/>
      <c r="DE68" s="434"/>
      <c r="DF68" s="434"/>
      <c r="DG68" s="434"/>
      <c r="DH68" s="434"/>
      <c r="DI68" s="434"/>
      <c r="DJ68" s="434"/>
      <c r="DK68" s="434"/>
      <c r="DL68" s="13"/>
      <c r="DM68" s="13"/>
      <c r="DN68" s="13"/>
    </row>
    <row r="69" spans="2:118" s="4" customFormat="1" ht="36.75" customHeight="1" thickBot="1" x14ac:dyDescent="0.4">
      <c r="M69" s="28"/>
      <c r="N69" s="2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Q69" s="52"/>
      <c r="BR69" s="12"/>
      <c r="BS69" s="12"/>
      <c r="BT69" s="646" t="s">
        <v>100</v>
      </c>
      <c r="BU69" s="647"/>
      <c r="BV69" s="648"/>
      <c r="BW69" s="648"/>
      <c r="BX69" s="648"/>
      <c r="BY69" s="648"/>
      <c r="BZ69" s="648"/>
      <c r="CA69" s="648"/>
      <c r="CB69" s="648"/>
      <c r="CC69" s="648"/>
      <c r="CD69" s="648"/>
      <c r="CE69" s="648"/>
      <c r="CF69" s="648"/>
      <c r="CG69" s="648"/>
      <c r="CH69" s="674">
        <f>SUM(CH52:CH67)</f>
        <v>1</v>
      </c>
      <c r="CI69" s="675">
        <f t="shared" ref="CI69:CX69" si="3">SUM(CI52:CI67)</f>
        <v>0</v>
      </c>
      <c r="CJ69" s="675">
        <f t="shared" si="3"/>
        <v>0</v>
      </c>
      <c r="CK69" s="675">
        <f t="shared" si="3"/>
        <v>0</v>
      </c>
      <c r="CL69" s="675">
        <f t="shared" si="3"/>
        <v>0</v>
      </c>
      <c r="CM69" s="675">
        <f t="shared" si="3"/>
        <v>0</v>
      </c>
      <c r="CN69" s="675">
        <f t="shared" si="3"/>
        <v>0</v>
      </c>
      <c r="CO69" s="675">
        <f t="shared" si="3"/>
        <v>0</v>
      </c>
      <c r="CP69" s="675">
        <f t="shared" si="3"/>
        <v>0</v>
      </c>
      <c r="CQ69" s="675">
        <f t="shared" si="3"/>
        <v>0</v>
      </c>
      <c r="CR69" s="675">
        <f t="shared" si="3"/>
        <v>0</v>
      </c>
      <c r="CS69" s="675">
        <f t="shared" si="3"/>
        <v>0</v>
      </c>
      <c r="CT69" s="675">
        <f t="shared" si="3"/>
        <v>10</v>
      </c>
      <c r="CU69" s="675">
        <f t="shared" si="3"/>
        <v>0</v>
      </c>
      <c r="CV69" s="675">
        <f t="shared" si="3"/>
        <v>0</v>
      </c>
      <c r="CW69" s="675">
        <f t="shared" si="3"/>
        <v>0</v>
      </c>
      <c r="CX69" s="675">
        <f t="shared" si="3"/>
        <v>0</v>
      </c>
      <c r="CY69" s="647"/>
      <c r="CZ69" s="648"/>
      <c r="DA69" s="648"/>
      <c r="DB69" s="648"/>
      <c r="DC69" s="648"/>
      <c r="DD69" s="648"/>
      <c r="DE69" s="648"/>
      <c r="DF69" s="648"/>
      <c r="DG69" s="648"/>
      <c r="DH69" s="648"/>
      <c r="DI69" s="648"/>
      <c r="DJ69" s="648"/>
      <c r="DK69" s="649"/>
      <c r="DL69" s="13"/>
      <c r="DM69" s="13"/>
      <c r="DN69" s="13"/>
    </row>
    <row r="70" spans="2:118" s="4" customFormat="1" ht="18.75" thickBot="1" x14ac:dyDescent="0.3">
      <c r="M70" s="28"/>
      <c r="N70" s="2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Q70" s="52"/>
      <c r="BR70" s="12"/>
      <c r="BS70" s="12"/>
      <c r="BT70" s="650"/>
      <c r="BU70" s="651"/>
      <c r="BV70" s="651"/>
      <c r="BW70" s="651"/>
      <c r="BX70" s="651"/>
      <c r="BY70" s="651"/>
      <c r="BZ70" s="651"/>
      <c r="CA70" s="651"/>
      <c r="CB70" s="651"/>
      <c r="CC70" s="651"/>
      <c r="CD70" s="651"/>
      <c r="CE70" s="651"/>
      <c r="CF70" s="651"/>
      <c r="CG70" s="651"/>
      <c r="CH70" s="651"/>
      <c r="CI70" s="651"/>
      <c r="CJ70" s="651"/>
      <c r="CK70" s="651"/>
      <c r="CL70" s="651"/>
      <c r="CM70" s="651"/>
      <c r="CN70" s="624"/>
      <c r="CO70" s="624"/>
      <c r="CP70" s="624"/>
      <c r="CQ70" s="624"/>
      <c r="CR70" s="601"/>
      <c r="CS70" s="434"/>
      <c r="CT70" s="434"/>
      <c r="CU70" s="434"/>
      <c r="CV70" s="434"/>
      <c r="CW70" s="434"/>
      <c r="CX70" s="434"/>
      <c r="CY70" s="434"/>
      <c r="CZ70" s="434"/>
      <c r="DA70" s="434"/>
      <c r="DB70" s="434"/>
      <c r="DC70" s="434"/>
      <c r="DD70" s="434"/>
      <c r="DE70" s="434"/>
      <c r="DF70" s="434"/>
      <c r="DG70" s="434"/>
      <c r="DH70" s="434"/>
      <c r="DI70" s="434"/>
      <c r="DJ70" s="434"/>
      <c r="DK70" s="434"/>
      <c r="DL70" s="13"/>
      <c r="DM70" s="13"/>
      <c r="DN70" s="13"/>
    </row>
    <row r="71" spans="2:118" s="4" customFormat="1" hidden="1" x14ac:dyDescent="0.25">
      <c r="B71" s="3"/>
      <c r="C71" s="3"/>
      <c r="L71" s="28"/>
      <c r="M71" s="28"/>
      <c r="N71" s="28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Q71" s="52"/>
      <c r="BR71" s="12"/>
      <c r="BS71" s="12"/>
      <c r="BT71" s="650"/>
      <c r="BU71" s="624"/>
      <c r="BV71" s="625"/>
      <c r="BW71" s="624"/>
      <c r="BX71" s="624"/>
      <c r="BY71" s="624"/>
      <c r="BZ71" s="625"/>
      <c r="CA71" s="624"/>
      <c r="CB71" s="624"/>
      <c r="CC71" s="624"/>
      <c r="CD71" s="624"/>
      <c r="CE71" s="624"/>
      <c r="CF71" s="624"/>
      <c r="CG71" s="624"/>
      <c r="CH71" s="624"/>
      <c r="CI71" s="624"/>
      <c r="CJ71" s="624"/>
      <c r="CK71" s="624"/>
      <c r="CL71" s="624"/>
      <c r="CM71" s="624"/>
      <c r="CN71" s="624"/>
      <c r="CO71" s="624"/>
      <c r="CP71" s="624"/>
      <c r="CQ71" s="624"/>
      <c r="CR71" s="601"/>
      <c r="CS71" s="434"/>
      <c r="CT71" s="434"/>
      <c r="CU71" s="434"/>
      <c r="CV71" s="434"/>
      <c r="CW71" s="434"/>
      <c r="CX71" s="434"/>
      <c r="CY71" s="434"/>
      <c r="CZ71" s="434"/>
      <c r="DA71" s="434"/>
      <c r="DB71" s="434"/>
      <c r="DC71" s="434"/>
      <c r="DD71" s="434"/>
      <c r="DE71" s="434"/>
      <c r="DF71" s="434"/>
      <c r="DG71" s="434"/>
      <c r="DH71" s="434"/>
      <c r="DI71" s="434"/>
      <c r="DJ71" s="434"/>
      <c r="DK71" s="434"/>
      <c r="DL71" s="13"/>
      <c r="DM71" s="13"/>
      <c r="DN71" s="13"/>
    </row>
    <row r="72" spans="2:118" s="4" customFormat="1" hidden="1" x14ac:dyDescent="0.25">
      <c r="B72" s="3"/>
      <c r="C72" s="3"/>
      <c r="L72" s="28"/>
      <c r="M72" s="28"/>
      <c r="N72" s="28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Q72" s="52"/>
      <c r="BR72" s="12"/>
      <c r="BS72" s="12"/>
      <c r="BT72" s="608"/>
      <c r="BU72" s="652" t="b">
        <f>+BQ108</f>
        <v>0</v>
      </c>
      <c r="BV72" s="652" t="b">
        <f>+BQ109</f>
        <v>0</v>
      </c>
      <c r="BW72" s="652" t="b">
        <f>+BQ110</f>
        <v>0</v>
      </c>
      <c r="BX72" s="652" t="b">
        <f>+BQ111</f>
        <v>0</v>
      </c>
      <c r="BY72" s="652" t="b">
        <f>+BQ112</f>
        <v>0</v>
      </c>
      <c r="BZ72" s="652" t="b">
        <f>+BQ113</f>
        <v>0</v>
      </c>
      <c r="CA72" s="652" t="b">
        <f>+BQ114</f>
        <v>0</v>
      </c>
      <c r="CB72" s="652" t="b">
        <f>+BQ115</f>
        <v>0</v>
      </c>
      <c r="CC72" s="652" t="b">
        <f>+BQ116</f>
        <v>0</v>
      </c>
      <c r="CD72" s="652" t="b">
        <f>+BQ117</f>
        <v>0</v>
      </c>
      <c r="CE72" s="652" t="b">
        <f>+BQ118</f>
        <v>0</v>
      </c>
      <c r="CF72" s="652" t="b">
        <f>+BQ119</f>
        <v>0</v>
      </c>
      <c r="CG72" s="652" t="b">
        <f>+BQ120</f>
        <v>0</v>
      </c>
      <c r="CH72" s="652" t="b">
        <f>+BQ121</f>
        <v>0</v>
      </c>
      <c r="CI72" s="652" t="b">
        <f>+BQ122</f>
        <v>0</v>
      </c>
      <c r="CJ72" s="652" t="b">
        <f>+BQ123</f>
        <v>0</v>
      </c>
      <c r="CK72" s="652" t="b">
        <f>+BQ124</f>
        <v>0</v>
      </c>
      <c r="CL72" s="652" t="b">
        <f>+BQ125</f>
        <v>0</v>
      </c>
      <c r="CM72" s="652" t="b">
        <f>+BQ126</f>
        <v>0</v>
      </c>
      <c r="CN72" s="652">
        <f>+BQ127</f>
        <v>7</v>
      </c>
      <c r="CO72" s="652" t="b">
        <f>+BQ128</f>
        <v>0</v>
      </c>
      <c r="CP72" s="652" t="b">
        <f>+BQ129</f>
        <v>0</v>
      </c>
      <c r="CQ72" s="652" t="b">
        <f>+BQ130</f>
        <v>0</v>
      </c>
      <c r="CR72" s="652" t="b">
        <f>+BQ131</f>
        <v>0</v>
      </c>
      <c r="CS72" s="652" t="b">
        <f>+BQ132</f>
        <v>0</v>
      </c>
      <c r="CT72" s="652" t="b">
        <f>+BQ133</f>
        <v>0</v>
      </c>
      <c r="CU72" s="652" t="b">
        <f>+BQ134</f>
        <v>0</v>
      </c>
      <c r="CV72" s="652" t="b">
        <f>+BQ135</f>
        <v>0</v>
      </c>
      <c r="CW72" s="652" t="b">
        <f>+BQ136</f>
        <v>0</v>
      </c>
      <c r="CX72" s="652" t="b">
        <f>+BQ137</f>
        <v>0</v>
      </c>
      <c r="CY72" s="652" t="b">
        <f>+BQ138</f>
        <v>0</v>
      </c>
      <c r="CZ72" s="652" t="b">
        <f>+BQ139</f>
        <v>0</v>
      </c>
      <c r="DA72" s="652" t="b">
        <f>+BQ140</f>
        <v>0</v>
      </c>
      <c r="DB72" s="652" t="b">
        <f>+BQ141</f>
        <v>0</v>
      </c>
      <c r="DC72" s="652" t="b">
        <f>+BQ142</f>
        <v>0</v>
      </c>
      <c r="DD72" s="652" t="b">
        <f>+BQ143</f>
        <v>0</v>
      </c>
      <c r="DE72" s="652" t="b">
        <f>+BQ144</f>
        <v>0</v>
      </c>
      <c r="DF72" s="652" t="b">
        <f>+BQ145</f>
        <v>0</v>
      </c>
      <c r="DG72" s="652" t="b">
        <f>+BQ146</f>
        <v>0</v>
      </c>
      <c r="DH72" s="652" t="b">
        <f>+BQ147</f>
        <v>0</v>
      </c>
      <c r="DI72" s="652" t="b">
        <f>+BQ148</f>
        <v>0</v>
      </c>
      <c r="DJ72" s="652" t="b">
        <f>+BQ149</f>
        <v>0</v>
      </c>
      <c r="DK72" s="652" t="b">
        <f>+BQ150</f>
        <v>0</v>
      </c>
      <c r="DL72" s="13"/>
      <c r="DM72" s="13"/>
      <c r="DN72" s="13"/>
    </row>
    <row r="73" spans="2:118" s="4" customFormat="1" hidden="1" x14ac:dyDescent="0.25">
      <c r="B73" s="3"/>
      <c r="C73" s="3"/>
      <c r="L73" s="28"/>
      <c r="M73" s="28"/>
      <c r="N73" s="28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Q73" s="52"/>
      <c r="BR73" s="12"/>
      <c r="BS73" s="12"/>
      <c r="BT73" s="601" t="s">
        <v>26</v>
      </c>
      <c r="BU73" s="652" t="b">
        <f>+BU72</f>
        <v>0</v>
      </c>
      <c r="BV73" s="652" t="b">
        <f t="shared" ref="BV73:CM73" si="4">+BV72</f>
        <v>0</v>
      </c>
      <c r="BW73" s="652" t="b">
        <f t="shared" si="4"/>
        <v>0</v>
      </c>
      <c r="BX73" s="652" t="b">
        <f t="shared" si="4"/>
        <v>0</v>
      </c>
      <c r="BY73" s="652" t="b">
        <f t="shared" si="4"/>
        <v>0</v>
      </c>
      <c r="BZ73" s="652" t="b">
        <f t="shared" si="4"/>
        <v>0</v>
      </c>
      <c r="CA73" s="652" t="b">
        <f t="shared" si="4"/>
        <v>0</v>
      </c>
      <c r="CB73" s="652" t="b">
        <f t="shared" si="4"/>
        <v>0</v>
      </c>
      <c r="CC73" s="652" t="b">
        <f t="shared" si="4"/>
        <v>0</v>
      </c>
      <c r="CD73" s="652" t="b">
        <f t="shared" si="4"/>
        <v>0</v>
      </c>
      <c r="CE73" s="652" t="b">
        <f t="shared" si="4"/>
        <v>0</v>
      </c>
      <c r="CF73" s="652" t="b">
        <f>+CF72</f>
        <v>0</v>
      </c>
      <c r="CG73" s="652" t="b">
        <f>+CG72</f>
        <v>0</v>
      </c>
      <c r="CH73" s="652" t="b">
        <f>+CH72</f>
        <v>0</v>
      </c>
      <c r="CI73" s="652" t="b">
        <f>+CI72</f>
        <v>0</v>
      </c>
      <c r="CJ73" s="652" t="b">
        <f>+CJ72</f>
        <v>0</v>
      </c>
      <c r="CK73" s="652" t="b">
        <f t="shared" si="4"/>
        <v>0</v>
      </c>
      <c r="CL73" s="652" t="b">
        <f>+CL72</f>
        <v>0</v>
      </c>
      <c r="CM73" s="652" t="b">
        <f t="shared" si="4"/>
        <v>0</v>
      </c>
      <c r="CN73" s="652">
        <f>+CN72</f>
        <v>7</v>
      </c>
      <c r="CO73" s="652" t="b">
        <f>+CO72</f>
        <v>0</v>
      </c>
      <c r="CP73" s="652" t="b">
        <f>+CP72</f>
        <v>0</v>
      </c>
      <c r="CQ73" s="652" t="b">
        <f>+CQ72</f>
        <v>0</v>
      </c>
      <c r="CR73" s="652" t="b">
        <f>+CR72</f>
        <v>0</v>
      </c>
      <c r="CS73" s="652" t="b">
        <f t="shared" ref="CS73:DK73" si="5">+CS72</f>
        <v>0</v>
      </c>
      <c r="CT73" s="652" t="b">
        <f t="shared" si="5"/>
        <v>0</v>
      </c>
      <c r="CU73" s="652" t="b">
        <f t="shared" si="5"/>
        <v>0</v>
      </c>
      <c r="CV73" s="652" t="b">
        <f t="shared" si="5"/>
        <v>0</v>
      </c>
      <c r="CW73" s="652" t="b">
        <f t="shared" si="5"/>
        <v>0</v>
      </c>
      <c r="CX73" s="652" t="b">
        <f t="shared" si="5"/>
        <v>0</v>
      </c>
      <c r="CY73" s="652" t="b">
        <f t="shared" si="5"/>
        <v>0</v>
      </c>
      <c r="CZ73" s="652" t="b">
        <f t="shared" si="5"/>
        <v>0</v>
      </c>
      <c r="DA73" s="652" t="b">
        <f t="shared" si="5"/>
        <v>0</v>
      </c>
      <c r="DB73" s="652" t="b">
        <f t="shared" si="5"/>
        <v>0</v>
      </c>
      <c r="DC73" s="652" t="b">
        <f t="shared" si="5"/>
        <v>0</v>
      </c>
      <c r="DD73" s="652" t="b">
        <f t="shared" si="5"/>
        <v>0</v>
      </c>
      <c r="DE73" s="652" t="b">
        <f t="shared" si="5"/>
        <v>0</v>
      </c>
      <c r="DF73" s="652" t="b">
        <f t="shared" si="5"/>
        <v>0</v>
      </c>
      <c r="DG73" s="652" t="b">
        <f t="shared" si="5"/>
        <v>0</v>
      </c>
      <c r="DH73" s="652" t="b">
        <f t="shared" si="5"/>
        <v>0</v>
      </c>
      <c r="DI73" s="652" t="b">
        <f t="shared" si="5"/>
        <v>0</v>
      </c>
      <c r="DJ73" s="652" t="b">
        <f t="shared" si="5"/>
        <v>0</v>
      </c>
      <c r="DK73" s="652" t="b">
        <f t="shared" si="5"/>
        <v>0</v>
      </c>
      <c r="DL73" s="13"/>
      <c r="DM73" s="13"/>
      <c r="DN73" s="13"/>
    </row>
    <row r="74" spans="2:118" s="4" customFormat="1" hidden="1" x14ac:dyDescent="0.25">
      <c r="B74" s="3"/>
      <c r="C74" s="3"/>
      <c r="L74" s="28"/>
      <c r="M74" s="28"/>
      <c r="N74" s="28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8"/>
      <c r="AC74" s="47"/>
      <c r="AD74" s="47"/>
      <c r="AE74" s="47"/>
      <c r="AF74" s="47"/>
      <c r="AG74" s="47"/>
      <c r="AH74" s="47"/>
      <c r="AI74" s="48"/>
      <c r="AJ74" s="48"/>
      <c r="AK74" s="48"/>
      <c r="AL74" s="48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Q74" s="52"/>
      <c r="BR74" s="12"/>
      <c r="BS74" s="12"/>
      <c r="BT74" s="601"/>
      <c r="BU74" s="653"/>
      <c r="BV74" s="653"/>
      <c r="BW74" s="653"/>
      <c r="BX74" s="653"/>
      <c r="BY74" s="653"/>
      <c r="BZ74" s="653"/>
      <c r="CA74" s="653"/>
      <c r="CB74" s="653"/>
      <c r="CC74" s="653"/>
      <c r="CD74" s="653"/>
      <c r="CE74" s="653"/>
      <c r="CF74" s="653"/>
      <c r="CG74" s="653"/>
      <c r="CH74" s="653"/>
      <c r="CI74" s="653"/>
      <c r="CJ74" s="653"/>
      <c r="CK74" s="653"/>
      <c r="CL74" s="653"/>
      <c r="CM74" s="653"/>
      <c r="CN74" s="653"/>
      <c r="CO74" s="653"/>
      <c r="CP74" s="653"/>
      <c r="CQ74" s="653"/>
      <c r="CR74" s="653"/>
      <c r="CS74" s="654"/>
      <c r="CT74" s="654"/>
      <c r="CU74" s="654"/>
      <c r="CV74" s="654"/>
      <c r="CW74" s="654"/>
      <c r="CX74" s="654"/>
      <c r="CY74" s="654"/>
      <c r="CZ74" s="654"/>
      <c r="DA74" s="654"/>
      <c r="DB74" s="654"/>
      <c r="DC74" s="654"/>
      <c r="DD74" s="654"/>
      <c r="DE74" s="654"/>
      <c r="DF74" s="654"/>
      <c r="DG74" s="654"/>
      <c r="DH74" s="654"/>
      <c r="DI74" s="654"/>
      <c r="DJ74" s="654"/>
      <c r="DK74" s="654"/>
      <c r="DL74" s="13"/>
      <c r="DM74" s="13"/>
      <c r="DN74" s="13"/>
    </row>
    <row r="75" spans="2:118" s="4" customFormat="1" ht="18.75" hidden="1" thickBot="1" x14ac:dyDescent="0.3">
      <c r="B75" s="3"/>
      <c r="C75" s="3"/>
      <c r="L75" s="28"/>
      <c r="M75" s="28"/>
      <c r="N75" s="28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5"/>
      <c r="AA75" s="45"/>
      <c r="AB75" s="45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Q75" s="52"/>
      <c r="BR75" s="12"/>
      <c r="BS75" s="12"/>
      <c r="BT75" s="601"/>
      <c r="BU75" s="653"/>
      <c r="BV75" s="653"/>
      <c r="BW75" s="653"/>
      <c r="BX75" s="653"/>
      <c r="BY75" s="653"/>
      <c r="BZ75" s="653"/>
      <c r="CA75" s="653"/>
      <c r="CB75" s="653"/>
      <c r="CC75" s="653"/>
      <c r="CD75" s="653"/>
      <c r="CE75" s="653"/>
      <c r="CF75" s="653"/>
      <c r="CG75" s="653"/>
      <c r="CH75" s="653"/>
      <c r="CI75" s="653"/>
      <c r="CJ75" s="653"/>
      <c r="CK75" s="653"/>
      <c r="CL75" s="653"/>
      <c r="CM75" s="653"/>
      <c r="CN75" s="653"/>
      <c r="CO75" s="653"/>
      <c r="CP75" s="653"/>
      <c r="CQ75" s="653"/>
      <c r="CR75" s="653"/>
      <c r="CS75" s="654"/>
      <c r="CT75" s="654"/>
      <c r="CU75" s="654"/>
      <c r="CV75" s="654"/>
      <c r="CW75" s="654"/>
      <c r="CX75" s="654"/>
      <c r="CY75" s="654"/>
      <c r="CZ75" s="654"/>
      <c r="DA75" s="654"/>
      <c r="DB75" s="654"/>
      <c r="DC75" s="654"/>
      <c r="DD75" s="654"/>
      <c r="DE75" s="654"/>
      <c r="DF75" s="654"/>
      <c r="DG75" s="654"/>
      <c r="DH75" s="654"/>
      <c r="DI75" s="654"/>
      <c r="DJ75" s="654"/>
      <c r="DK75" s="654"/>
      <c r="DL75" s="13"/>
      <c r="DM75" s="13"/>
      <c r="DN75" s="13"/>
    </row>
    <row r="76" spans="2:118" s="4" customFormat="1" ht="36.75" customHeight="1" thickBot="1" x14ac:dyDescent="0.4">
      <c r="B76" s="3"/>
      <c r="C76" s="3"/>
      <c r="L76" s="28"/>
      <c r="M76" s="28"/>
      <c r="N76" s="28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5"/>
      <c r="AA76" s="56"/>
      <c r="AB76" s="45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Q76" s="52"/>
      <c r="BR76" s="12"/>
      <c r="BS76" s="12"/>
      <c r="BT76" s="655" t="s">
        <v>26</v>
      </c>
      <c r="BU76" s="677" t="str">
        <f>IF(BU73=-13,"A ","")</f>
        <v/>
      </c>
      <c r="BV76" s="678" t="str">
        <f>IF(BV73=-12,"B ","")</f>
        <v/>
      </c>
      <c r="BW76" s="678" t="str">
        <f>IF(BW73=-11,"C ","")</f>
        <v/>
      </c>
      <c r="BX76" s="678" t="str">
        <f>IF(BX73=-10,"D ","")</f>
        <v/>
      </c>
      <c r="BY76" s="678" t="str">
        <f>IF(BY73=-9,"E ","")</f>
        <v/>
      </c>
      <c r="BZ76" s="678" t="str">
        <f>IF(BZ73=-8,"F ","")</f>
        <v/>
      </c>
      <c r="CA76" s="678" t="str">
        <f>IF(CA73=-7,"G ","")</f>
        <v/>
      </c>
      <c r="CB76" s="678" t="str">
        <f>IF(CB73=-6,"H ","")</f>
        <v/>
      </c>
      <c r="CC76" s="678" t="str">
        <f>IF(CC73=-5,"I ","")</f>
        <v/>
      </c>
      <c r="CD76" s="678" t="str">
        <f>IF(CD73=-4,"J ","")</f>
        <v/>
      </c>
      <c r="CE76" s="678" t="str">
        <f>IF(CE73=-3,"K ","")</f>
        <v/>
      </c>
      <c r="CF76" s="678" t="str">
        <f>IF(CF73=-2,"L ","")</f>
        <v/>
      </c>
      <c r="CG76" s="678" t="str">
        <f>IF(CG73=-1,"M ","")</f>
        <v/>
      </c>
      <c r="CH76" s="679" t="b">
        <f>+CH73</f>
        <v>0</v>
      </c>
      <c r="CI76" s="679" t="b">
        <f t="shared" ref="CI76:CJ76" si="6">+CI73</f>
        <v>0</v>
      </c>
      <c r="CJ76" s="679" t="b">
        <f t="shared" si="6"/>
        <v>0</v>
      </c>
      <c r="CK76" s="679" t="b">
        <f>+CK73</f>
        <v>0</v>
      </c>
      <c r="CL76" s="679" t="b">
        <f t="shared" ref="CL76:CO76" si="7">+CL73</f>
        <v>0</v>
      </c>
      <c r="CM76" s="679" t="b">
        <f t="shared" si="7"/>
        <v>0</v>
      </c>
      <c r="CN76" s="679">
        <f t="shared" si="7"/>
        <v>7</v>
      </c>
      <c r="CO76" s="679" t="b">
        <f t="shared" si="7"/>
        <v>0</v>
      </c>
      <c r="CP76" s="678" t="str">
        <f>IF(CP73=81,"L ","")</f>
        <v/>
      </c>
      <c r="CQ76" s="678" t="str">
        <f>IF(CQ73=82,"K ","")</f>
        <v/>
      </c>
      <c r="CR76" s="678" t="str">
        <f>IF(CR73=83,"J ","")</f>
        <v/>
      </c>
      <c r="CS76" s="679" t="b">
        <f t="shared" ref="CS76:CX76" si="8">+CS73</f>
        <v>0</v>
      </c>
      <c r="CT76" s="679" t="b">
        <f t="shared" si="8"/>
        <v>0</v>
      </c>
      <c r="CU76" s="679" t="b">
        <f t="shared" si="8"/>
        <v>0</v>
      </c>
      <c r="CV76" s="679" t="b">
        <f t="shared" si="8"/>
        <v>0</v>
      </c>
      <c r="CW76" s="679" t="b">
        <f t="shared" si="8"/>
        <v>0</v>
      </c>
      <c r="CX76" s="679" t="b">
        <f t="shared" si="8"/>
        <v>0</v>
      </c>
      <c r="CY76" s="678" t="str">
        <f>IF(CY73=15,"M ","")</f>
        <v/>
      </c>
      <c r="CZ76" s="678" t="str">
        <f>IF(CZ73=16,"L ","")</f>
        <v/>
      </c>
      <c r="DA76" s="678" t="str">
        <f>IF(DA73=17,"K ","")</f>
        <v/>
      </c>
      <c r="DB76" s="678" t="str">
        <f>IF(DB73=18,"J ","")</f>
        <v/>
      </c>
      <c r="DC76" s="678" t="str">
        <f>IF(DC73=19,"I ","")</f>
        <v/>
      </c>
      <c r="DD76" s="678" t="str">
        <f>IF(DD73=20,"H ","")</f>
        <v/>
      </c>
      <c r="DE76" s="678" t="str">
        <f>IF(DE73=21,"G ","")</f>
        <v/>
      </c>
      <c r="DF76" s="678" t="str">
        <f>IF(DF73=22,"F ","")</f>
        <v/>
      </c>
      <c r="DG76" s="678" t="str">
        <f>IF(DG73=23,"E ","")</f>
        <v/>
      </c>
      <c r="DH76" s="678" t="str">
        <f>IF(DH73=24,"D ","")</f>
        <v/>
      </c>
      <c r="DI76" s="678" t="str">
        <f>IF(DI73=25,"C ","")</f>
        <v/>
      </c>
      <c r="DJ76" s="678" t="str">
        <f>IF(DJ73=26,"B ","")</f>
        <v/>
      </c>
      <c r="DK76" s="680" t="str">
        <f>IF(DK73=27,"A ","")</f>
        <v/>
      </c>
      <c r="DL76" s="13"/>
      <c r="DM76" s="13"/>
      <c r="DN76" s="13"/>
    </row>
    <row r="77" spans="2:118" s="4" customFormat="1" hidden="1" x14ac:dyDescent="0.25">
      <c r="B77" s="3"/>
      <c r="C77" s="3"/>
      <c r="L77" s="28"/>
      <c r="M77" s="28"/>
      <c r="N77" s="28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5"/>
      <c r="AA77" s="45"/>
      <c r="AB77" s="48"/>
      <c r="AC77" s="47"/>
      <c r="AD77" s="47"/>
      <c r="AE77" s="47"/>
      <c r="AF77" s="47"/>
      <c r="AG77" s="47"/>
      <c r="AH77" s="47"/>
      <c r="AI77" s="48"/>
      <c r="AJ77" s="48"/>
      <c r="AK77" s="48"/>
      <c r="AL77" s="48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Q77" s="52"/>
      <c r="BR77" s="12"/>
      <c r="BS77" s="12"/>
      <c r="BT77" s="13"/>
      <c r="BU77" s="57">
        <v>-13</v>
      </c>
      <c r="BV77" s="57">
        <v>-12</v>
      </c>
      <c r="BW77" s="57">
        <v>-11</v>
      </c>
      <c r="BX77" s="57">
        <v>-10</v>
      </c>
      <c r="BY77" s="57">
        <v>-9</v>
      </c>
      <c r="BZ77" s="57">
        <v>-8</v>
      </c>
      <c r="CA77" s="57">
        <v>-7</v>
      </c>
      <c r="CB77" s="57">
        <v>-6</v>
      </c>
      <c r="CC77" s="57">
        <v>-5</v>
      </c>
      <c r="CD77" s="57">
        <v>-4</v>
      </c>
      <c r="CE77" s="57">
        <v>-3</v>
      </c>
      <c r="CF77" s="57">
        <v>-2</v>
      </c>
      <c r="CG77" s="57">
        <v>-1</v>
      </c>
      <c r="CH77" s="57">
        <v>1</v>
      </c>
      <c r="CI77" s="22">
        <v>2</v>
      </c>
      <c r="CJ77" s="22">
        <v>3</v>
      </c>
      <c r="CK77" s="22">
        <v>4</v>
      </c>
      <c r="CL77" s="22">
        <v>5</v>
      </c>
      <c r="CM77" s="22">
        <v>6</v>
      </c>
      <c r="CN77" s="22">
        <v>7</v>
      </c>
      <c r="CO77" s="22">
        <v>8</v>
      </c>
      <c r="CP77" s="58">
        <v>81</v>
      </c>
      <c r="CQ77" s="58">
        <v>82</v>
      </c>
      <c r="CR77" s="58">
        <v>83</v>
      </c>
      <c r="CS77" s="13">
        <v>9</v>
      </c>
      <c r="CT77" s="13">
        <v>10</v>
      </c>
      <c r="CU77" s="13">
        <v>11</v>
      </c>
      <c r="CV77" s="13">
        <v>12</v>
      </c>
      <c r="CW77" s="13">
        <v>13</v>
      </c>
      <c r="CX77" s="13">
        <v>14</v>
      </c>
      <c r="CY77" s="13">
        <v>15</v>
      </c>
      <c r="CZ77" s="13">
        <v>16</v>
      </c>
      <c r="DA77" s="13">
        <v>17</v>
      </c>
      <c r="DB77" s="13">
        <v>18</v>
      </c>
      <c r="DC77" s="13">
        <v>19</v>
      </c>
      <c r="DD77" s="13">
        <v>20</v>
      </c>
      <c r="DE77" s="13">
        <v>21</v>
      </c>
      <c r="DF77" s="13">
        <v>22</v>
      </c>
      <c r="DG77" s="13">
        <v>23</v>
      </c>
      <c r="DH77" s="13">
        <v>24</v>
      </c>
      <c r="DI77" s="13">
        <v>25</v>
      </c>
      <c r="DJ77" s="13">
        <v>26</v>
      </c>
      <c r="DK77" s="13">
        <v>27</v>
      </c>
      <c r="DL77" s="13"/>
      <c r="DM77" s="13"/>
      <c r="DN77" s="13"/>
    </row>
    <row r="78" spans="2:118" s="4" customFormat="1" hidden="1" x14ac:dyDescent="0.25">
      <c r="B78" s="3"/>
      <c r="C78" s="3"/>
      <c r="L78" s="28"/>
      <c r="M78" s="28"/>
      <c r="N78" s="28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8"/>
      <c r="AC78" s="47"/>
      <c r="AD78" s="47"/>
      <c r="AE78" s="47"/>
      <c r="AF78" s="47"/>
      <c r="AG78" s="47"/>
      <c r="AH78" s="47"/>
      <c r="AI78" s="48"/>
      <c r="AJ78" s="48"/>
      <c r="AK78" s="48"/>
      <c r="AL78" s="48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Q78" s="52"/>
      <c r="BR78" s="12"/>
      <c r="BS78" s="12"/>
      <c r="BT78" s="13"/>
      <c r="BU78" s="57"/>
      <c r="BV78" s="57"/>
      <c r="BW78" s="57"/>
      <c r="BX78" s="57"/>
      <c r="BY78" s="57"/>
      <c r="BZ78" s="57"/>
      <c r="CA78" s="22"/>
      <c r="CB78" s="22"/>
      <c r="CC78" s="22"/>
      <c r="CD78" s="22"/>
      <c r="CE78" s="22"/>
      <c r="CF78" s="57"/>
      <c r="CG78" s="57"/>
      <c r="CH78" s="57"/>
      <c r="CI78" s="22"/>
      <c r="CJ78" s="22"/>
      <c r="CK78" s="22"/>
      <c r="CL78" s="22"/>
      <c r="CM78" s="22"/>
      <c r="CN78" s="22"/>
      <c r="CO78" s="22"/>
      <c r="CP78" s="58"/>
      <c r="CQ78" s="58"/>
      <c r="CR78" s="58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</row>
    <row r="79" spans="2:118" s="4" customFormat="1" hidden="1" x14ac:dyDescent="0.25">
      <c r="B79" s="3"/>
      <c r="C79" s="3"/>
      <c r="L79" s="28"/>
      <c r="M79" s="28"/>
      <c r="N79" s="28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7"/>
      <c r="AD79" s="47"/>
      <c r="AE79" s="47"/>
      <c r="AF79" s="47"/>
      <c r="AG79" s="47"/>
      <c r="AH79" s="47"/>
      <c r="AI79" s="48"/>
      <c r="AJ79" s="48"/>
      <c r="AK79" s="48"/>
      <c r="AL79" s="48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Q79" s="52"/>
      <c r="BR79" s="12"/>
      <c r="BS79" s="12"/>
      <c r="BT79" s="13"/>
      <c r="BU79" s="57"/>
      <c r="BV79" s="57"/>
      <c r="BW79" s="57"/>
      <c r="BX79" s="57"/>
      <c r="BY79" s="57"/>
      <c r="BZ79" s="57"/>
      <c r="CA79" s="22"/>
      <c r="CB79" s="22"/>
      <c r="CC79" s="22"/>
      <c r="CD79" s="22"/>
      <c r="CE79" s="22"/>
      <c r="CF79" s="57"/>
      <c r="CG79" s="57"/>
      <c r="CH79" s="57"/>
      <c r="CI79" s="22"/>
      <c r="CJ79" s="22"/>
      <c r="CK79" s="22"/>
      <c r="CL79" s="22"/>
      <c r="CM79" s="22"/>
      <c r="CN79" s="22"/>
      <c r="CO79" s="22"/>
      <c r="CP79" s="58"/>
      <c r="CQ79" s="58"/>
      <c r="CR79" s="58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</row>
    <row r="80" spans="2:118" s="4" customFormat="1" hidden="1" x14ac:dyDescent="0.25">
      <c r="B80" s="3"/>
      <c r="C80" s="3"/>
      <c r="L80" s="28"/>
      <c r="M80" s="28"/>
      <c r="N80" s="28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8"/>
      <c r="AC80" s="47"/>
      <c r="AD80" s="47"/>
      <c r="AE80" s="47"/>
      <c r="AF80" s="47"/>
      <c r="AG80" s="47"/>
      <c r="AH80" s="47"/>
      <c r="AI80" s="48"/>
      <c r="AJ80" s="48"/>
      <c r="AK80" s="48"/>
      <c r="AL80" s="48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Q80" s="52"/>
      <c r="BR80" s="12"/>
      <c r="BS80" s="12"/>
      <c r="BT80" s="13"/>
      <c r="BU80" s="57" t="s">
        <v>32</v>
      </c>
      <c r="BV80" s="57" t="s">
        <v>33</v>
      </c>
      <c r="BW80" s="57" t="s">
        <v>34</v>
      </c>
      <c r="BX80" s="57" t="s">
        <v>35</v>
      </c>
      <c r="BY80" s="57" t="s">
        <v>36</v>
      </c>
      <c r="BZ80" s="57" t="s">
        <v>55</v>
      </c>
      <c r="CA80" s="57" t="s">
        <v>16</v>
      </c>
      <c r="CB80" s="57" t="s">
        <v>56</v>
      </c>
      <c r="CC80" s="57" t="s">
        <v>57</v>
      </c>
      <c r="CD80" s="57" t="s">
        <v>58</v>
      </c>
      <c r="CE80" s="57" t="s">
        <v>59</v>
      </c>
      <c r="CF80" s="57" t="s">
        <v>15</v>
      </c>
      <c r="CG80" s="57" t="s">
        <v>60</v>
      </c>
      <c r="CH80" s="57">
        <v>1</v>
      </c>
      <c r="CI80" s="57">
        <v>2</v>
      </c>
      <c r="CJ80" s="57">
        <v>3</v>
      </c>
      <c r="CK80" s="57">
        <v>4</v>
      </c>
      <c r="CL80" s="57">
        <v>5</v>
      </c>
      <c r="CM80" s="57">
        <v>6</v>
      </c>
      <c r="CN80" s="57">
        <v>7</v>
      </c>
      <c r="CO80" s="57">
        <v>8</v>
      </c>
      <c r="CP80" s="59" t="s">
        <v>15</v>
      </c>
      <c r="CQ80" s="59" t="s">
        <v>59</v>
      </c>
      <c r="CR80" s="59" t="s">
        <v>58</v>
      </c>
      <c r="CS80" s="13">
        <v>9</v>
      </c>
      <c r="CT80" s="13">
        <v>10</v>
      </c>
      <c r="CU80" s="13">
        <v>11</v>
      </c>
      <c r="CV80" s="13">
        <v>12</v>
      </c>
      <c r="CW80" s="13">
        <v>13</v>
      </c>
      <c r="CX80" s="13">
        <v>14</v>
      </c>
      <c r="CY80" s="60" t="s">
        <v>60</v>
      </c>
      <c r="CZ80" s="60" t="s">
        <v>15</v>
      </c>
      <c r="DA80" s="60" t="s">
        <v>59</v>
      </c>
      <c r="DB80" s="60" t="s">
        <v>58</v>
      </c>
      <c r="DC80" s="60" t="s">
        <v>57</v>
      </c>
      <c r="DD80" s="60" t="s">
        <v>56</v>
      </c>
      <c r="DE80" s="60" t="s">
        <v>16</v>
      </c>
      <c r="DF80" s="60" t="s">
        <v>55</v>
      </c>
      <c r="DG80" s="60" t="s">
        <v>36</v>
      </c>
      <c r="DH80" s="60" t="s">
        <v>35</v>
      </c>
      <c r="DI80" s="60" t="s">
        <v>34</v>
      </c>
      <c r="DJ80" s="60" t="s">
        <v>33</v>
      </c>
      <c r="DK80" s="60" t="s">
        <v>32</v>
      </c>
      <c r="DL80" s="13"/>
      <c r="DM80" s="13"/>
      <c r="DN80" s="13"/>
    </row>
    <row r="81" spans="2:118" s="4" customFormat="1" ht="18.75" thickBot="1" x14ac:dyDescent="0.3">
      <c r="B81" s="3"/>
      <c r="C81" s="3"/>
      <c r="L81" s="28"/>
      <c r="M81" s="28"/>
      <c r="N81" s="28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8"/>
      <c r="AC81" s="47"/>
      <c r="AD81" s="47"/>
      <c r="AE81" s="47"/>
      <c r="AF81" s="47"/>
      <c r="AG81" s="47"/>
      <c r="AH81" s="47"/>
      <c r="AI81" s="48"/>
      <c r="AJ81" s="48"/>
      <c r="AK81" s="48"/>
      <c r="AL81" s="48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Q81" s="52"/>
      <c r="BR81" s="12"/>
      <c r="BS81" s="12"/>
      <c r="BT81" s="13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</row>
    <row r="82" spans="2:118" s="4" customFormat="1" ht="25.5" customHeight="1" thickTop="1" thickBot="1" x14ac:dyDescent="0.3">
      <c r="B82" s="668" t="s">
        <v>87</v>
      </c>
      <c r="C82" s="357"/>
      <c r="D82" s="358"/>
      <c r="E82" s="723" t="s">
        <v>86</v>
      </c>
      <c r="F82" s="723"/>
      <c r="G82" s="723"/>
      <c r="H82" s="723"/>
      <c r="I82" s="723"/>
      <c r="J82" s="723"/>
      <c r="K82" s="723"/>
      <c r="M82" s="28"/>
      <c r="N82" s="28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8"/>
      <c r="AC82" s="47"/>
      <c r="AD82" s="47"/>
      <c r="AE82" s="47"/>
      <c r="AF82" s="47"/>
      <c r="AG82" s="47"/>
      <c r="AH82" s="47"/>
      <c r="AI82" s="48"/>
      <c r="AJ82" s="48"/>
      <c r="AK82" s="48"/>
      <c r="AL82" s="48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Q82" s="52"/>
      <c r="BR82" s="12"/>
      <c r="BS82" s="12"/>
      <c r="BT82" s="13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</row>
    <row r="83" spans="2:118" s="4" customFormat="1" ht="19.5" hidden="1" thickTop="1" thickBot="1" x14ac:dyDescent="0.3">
      <c r="B83" s="63"/>
      <c r="C83" s="63"/>
      <c r="D83" s="64"/>
      <c r="E83" s="64"/>
      <c r="F83" s="64"/>
      <c r="G83" s="64"/>
      <c r="H83" s="64"/>
      <c r="I83" s="64"/>
      <c r="J83" s="64"/>
      <c r="K83" s="64"/>
      <c r="M83" s="28"/>
      <c r="N83" s="28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8"/>
      <c r="AC83" s="47"/>
      <c r="AD83" s="47"/>
      <c r="AE83" s="47"/>
      <c r="AF83" s="47"/>
      <c r="AG83" s="47"/>
      <c r="AH83" s="47"/>
      <c r="AI83" s="48"/>
      <c r="AJ83" s="48"/>
      <c r="AK83" s="48"/>
      <c r="AL83" s="48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Q83" s="52"/>
      <c r="BR83" s="12"/>
      <c r="BS83" s="12"/>
      <c r="BT83" s="13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</row>
    <row r="84" spans="2:118" s="4" customFormat="1" ht="19.5" hidden="1" thickTop="1" thickBot="1" x14ac:dyDescent="0.3">
      <c r="B84" s="63"/>
      <c r="C84" s="63"/>
      <c r="D84" s="64"/>
      <c r="E84" s="359"/>
      <c r="F84" s="64"/>
      <c r="G84" s="64"/>
      <c r="H84" s="64"/>
      <c r="I84" s="64"/>
      <c r="J84" s="64"/>
      <c r="K84" s="64"/>
      <c r="M84" s="28"/>
      <c r="N84" s="28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8"/>
      <c r="AC84" s="47"/>
      <c r="AD84" s="47"/>
      <c r="AE84" s="47"/>
      <c r="AF84" s="47"/>
      <c r="AG84" s="47"/>
      <c r="AH84" s="47"/>
      <c r="AI84" s="48"/>
      <c r="AJ84" s="48"/>
      <c r="AK84" s="48"/>
      <c r="AL84" s="48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Q84" s="52"/>
      <c r="BR84" s="12"/>
      <c r="BS84" s="12"/>
      <c r="BT84" s="18"/>
      <c r="BU84" s="18"/>
      <c r="BV84" s="18"/>
      <c r="BW84" s="18"/>
      <c r="BX84" s="18"/>
      <c r="BY84" s="18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50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</row>
    <row r="85" spans="2:118" s="4" customFormat="1" ht="19.5" hidden="1" thickTop="1" thickBot="1" x14ac:dyDescent="0.3">
      <c r="B85" s="562"/>
      <c r="C85" s="63"/>
      <c r="D85" s="64"/>
      <c r="E85" s="16"/>
      <c r="F85" s="64"/>
      <c r="G85" s="64"/>
      <c r="H85" s="64"/>
      <c r="I85" s="64"/>
      <c r="J85" s="64"/>
      <c r="K85" s="64"/>
      <c r="M85" s="28"/>
      <c r="N85" s="28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8"/>
      <c r="AC85" s="47"/>
      <c r="AD85" s="47"/>
      <c r="AE85" s="47"/>
      <c r="AF85" s="47"/>
      <c r="AG85" s="47"/>
      <c r="AH85" s="47"/>
      <c r="AI85" s="48"/>
      <c r="AJ85" s="48"/>
      <c r="AK85" s="48"/>
      <c r="AL85" s="48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Q85" s="52"/>
      <c r="BR85" s="12"/>
      <c r="BS85" s="12"/>
      <c r="BT85" s="18"/>
      <c r="BU85" s="18"/>
      <c r="BV85" s="18"/>
      <c r="BW85" s="18"/>
      <c r="BX85" s="18"/>
      <c r="BY85" s="18"/>
      <c r="BZ85" s="66"/>
      <c r="CA85" s="13"/>
      <c r="CB85" s="13"/>
      <c r="CC85" s="13"/>
      <c r="CD85" s="13"/>
      <c r="CE85" s="13"/>
      <c r="CF85" s="13"/>
      <c r="CG85" s="13"/>
      <c r="CH85" s="66"/>
      <c r="CI85" s="66"/>
      <c r="CJ85" s="66"/>
      <c r="CK85" s="66"/>
      <c r="CL85" s="66"/>
      <c r="CM85" s="66"/>
      <c r="CN85" s="50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</row>
    <row r="86" spans="2:118" s="4" customFormat="1" ht="19.5" hidden="1" thickTop="1" thickBot="1" x14ac:dyDescent="0.3">
      <c r="B86" s="667" t="b">
        <f>AND(B97&gt;=10,D97&gt;=10,BG110&gt;=10,BH110&gt;=10,BG131&gt;=10,BH131&gt;=10)</f>
        <v>1</v>
      </c>
      <c r="C86" s="560"/>
      <c r="D86" s="559"/>
      <c r="E86" s="565" t="b">
        <f>AND(B97&gt;=10,D97&gt;=10,E97&gt;=10,BG110&gt;=10,BH110&gt;=10,BG131&gt;=10,BH131&gt;=10)</f>
        <v>1</v>
      </c>
      <c r="F86" s="561"/>
      <c r="G86" s="64"/>
      <c r="H86" s="64"/>
      <c r="I86" s="64"/>
      <c r="J86" s="64"/>
      <c r="K86" s="64"/>
      <c r="M86" s="28"/>
      <c r="N86" s="28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8"/>
      <c r="AC86" s="47"/>
      <c r="AD86" s="47"/>
      <c r="AE86" s="47"/>
      <c r="AF86" s="47"/>
      <c r="AG86" s="47"/>
      <c r="AH86" s="47"/>
      <c r="AI86" s="48"/>
      <c r="AJ86" s="48"/>
      <c r="AK86" s="48"/>
      <c r="AL86" s="48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Q86" s="52"/>
      <c r="BR86" s="67" t="s">
        <v>64</v>
      </c>
      <c r="BS86" s="68">
        <f>-+BN108</f>
        <v>474.09197529059554</v>
      </c>
      <c r="BT86" s="18"/>
      <c r="BU86" s="18"/>
      <c r="BV86" s="18"/>
      <c r="BW86" s="18"/>
      <c r="BX86" s="18"/>
      <c r="BY86" s="18"/>
      <c r="BZ86" s="66"/>
      <c r="CA86" s="13"/>
      <c r="CB86" s="13"/>
      <c r="CC86" s="13"/>
      <c r="CD86" s="13"/>
      <c r="CE86" s="13"/>
      <c r="CF86" s="13"/>
      <c r="CG86" s="13"/>
      <c r="CH86" s="66"/>
      <c r="CI86" s="66"/>
      <c r="CJ86" s="66"/>
      <c r="CK86" s="66"/>
      <c r="CL86" s="66"/>
      <c r="CM86" s="66"/>
      <c r="CN86" s="50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69" t="s">
        <v>64</v>
      </c>
      <c r="DM86" s="70">
        <f>+-BN150</f>
        <v>-596.90802470940446</v>
      </c>
      <c r="DN86" s="71" t="s">
        <v>85</v>
      </c>
    </row>
    <row r="87" spans="2:118" s="4" customFormat="1" ht="19.5" hidden="1" thickTop="1" thickBot="1" x14ac:dyDescent="0.3">
      <c r="B87" s="563"/>
      <c r="C87" s="65"/>
      <c r="D87" s="64"/>
      <c r="E87" s="564"/>
      <c r="F87" s="64"/>
      <c r="G87" s="64"/>
      <c r="H87" s="64"/>
      <c r="I87" s="64"/>
      <c r="J87" s="64"/>
      <c r="K87" s="64"/>
      <c r="M87" s="28"/>
      <c r="N87" s="28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8"/>
      <c r="AC87" s="47"/>
      <c r="AD87" s="47"/>
      <c r="AE87" s="47"/>
      <c r="AF87" s="47"/>
      <c r="AG87" s="47"/>
      <c r="AH87" s="47"/>
      <c r="AI87" s="48"/>
      <c r="AJ87" s="48"/>
      <c r="AK87" s="48"/>
      <c r="AL87" s="48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Q87" s="52"/>
      <c r="BR87" s="12"/>
      <c r="BS87" s="12"/>
      <c r="BT87" s="18"/>
      <c r="BU87" s="18"/>
      <c r="BV87" s="18"/>
      <c r="BW87" s="18"/>
      <c r="BX87" s="18"/>
      <c r="BY87" s="18"/>
      <c r="BZ87" s="66"/>
      <c r="CA87" s="13"/>
      <c r="CB87" s="13"/>
      <c r="CC87" s="13"/>
      <c r="CD87" s="13"/>
      <c r="CE87" s="13"/>
      <c r="CF87" s="13"/>
      <c r="CG87" s="13"/>
      <c r="CH87" s="66"/>
      <c r="CI87" s="66"/>
      <c r="CJ87" s="66"/>
      <c r="CK87" s="66"/>
      <c r="CL87" s="66"/>
      <c r="CM87" s="66"/>
      <c r="CN87" s="50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</row>
    <row r="88" spans="2:118" s="4" customFormat="1" ht="31.5" thickTop="1" thickBot="1" x14ac:dyDescent="0.3">
      <c r="B88" s="669" t="str">
        <f>IF(B86=TRUE,"O K ","OVERLOAD")</f>
        <v xml:space="preserve">O K </v>
      </c>
      <c r="C88" s="63"/>
      <c r="D88" s="64"/>
      <c r="E88" s="755" t="str">
        <f>IF(E86=TRUE,"O K ","OVERLOAD")</f>
        <v xml:space="preserve">O K </v>
      </c>
      <c r="F88" s="755"/>
      <c r="G88" s="755"/>
      <c r="H88" s="755"/>
      <c r="I88" s="755"/>
      <c r="J88" s="755"/>
      <c r="K88" s="755"/>
      <c r="M88" s="28"/>
      <c r="N88" s="28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8"/>
      <c r="AC88" s="47"/>
      <c r="AD88" s="47"/>
      <c r="AE88" s="47"/>
      <c r="AF88" s="47"/>
      <c r="AG88" s="47"/>
      <c r="AH88" s="47"/>
      <c r="AI88" s="48"/>
      <c r="AJ88" s="48"/>
      <c r="AK88" s="48"/>
      <c r="AL88" s="48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Q88" s="52"/>
      <c r="BR88" s="12"/>
      <c r="BS88" s="12"/>
      <c r="BT88" s="18"/>
      <c r="BU88" s="18"/>
      <c r="BV88" s="18"/>
      <c r="BW88" s="18"/>
      <c r="BX88" s="18"/>
      <c r="BY88" s="18"/>
      <c r="BZ88" s="66"/>
      <c r="CA88" s="13"/>
      <c r="CB88" s="13"/>
      <c r="CC88" s="13"/>
      <c r="CD88" s="13"/>
      <c r="CE88" s="13"/>
      <c r="CF88" s="13"/>
      <c r="CG88" s="13"/>
      <c r="CH88" s="66"/>
      <c r="CI88" s="66"/>
      <c r="CJ88" s="66"/>
      <c r="CK88" s="66"/>
      <c r="CL88" s="66"/>
      <c r="CM88" s="66"/>
      <c r="CN88" s="50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</row>
    <row r="89" spans="2:118" s="4" customFormat="1" ht="19.5" hidden="1" thickTop="1" thickBot="1" x14ac:dyDescent="0.3">
      <c r="B89" s="65"/>
      <c r="C89" s="65"/>
      <c r="D89" s="359"/>
      <c r="E89" s="359"/>
      <c r="F89" s="359"/>
      <c r="G89" s="359"/>
      <c r="H89" s="359"/>
      <c r="I89" s="359"/>
      <c r="J89" s="359"/>
      <c r="K89" s="359"/>
      <c r="M89" s="28"/>
      <c r="N89" s="28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8"/>
      <c r="AC89" s="47"/>
      <c r="AD89" s="47"/>
      <c r="AE89" s="47"/>
      <c r="AF89" s="47"/>
      <c r="AG89" s="47"/>
      <c r="AH89" s="47"/>
      <c r="AI89" s="48"/>
      <c r="AJ89" s="48"/>
      <c r="AK89" s="48"/>
      <c r="AL89" s="48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Q89" s="52"/>
      <c r="BR89" s="12"/>
      <c r="BS89" s="12"/>
      <c r="BT89" s="18"/>
      <c r="BU89" s="18"/>
      <c r="BV89" s="18"/>
      <c r="BW89" s="18"/>
      <c r="BX89" s="18"/>
      <c r="BY89" s="18"/>
      <c r="BZ89" s="66"/>
      <c r="CA89" s="13"/>
      <c r="CB89" s="13"/>
      <c r="CC89" s="13"/>
      <c r="CD89" s="13"/>
      <c r="CE89" s="13"/>
      <c r="CF89" s="13"/>
      <c r="CG89" s="13"/>
      <c r="CH89" s="66"/>
      <c r="CI89" s="66"/>
      <c r="CJ89" s="66"/>
      <c r="CK89" s="66"/>
      <c r="CL89" s="66"/>
      <c r="CM89" s="66"/>
      <c r="CN89" s="50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</row>
    <row r="90" spans="2:118" ht="19.5" hidden="1" thickTop="1" thickBot="1" x14ac:dyDescent="0.3">
      <c r="B90" s="65"/>
      <c r="C90" s="65"/>
      <c r="D90" s="64"/>
      <c r="E90" s="64"/>
      <c r="F90" s="64"/>
      <c r="G90" s="64"/>
      <c r="H90" s="64"/>
      <c r="I90" s="64"/>
      <c r="J90" s="64"/>
      <c r="K90" s="64"/>
      <c r="M90" s="28"/>
      <c r="N90" s="28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8"/>
      <c r="AC90" s="47"/>
      <c r="AD90" s="47"/>
      <c r="AE90" s="47"/>
      <c r="AF90" s="47"/>
      <c r="AG90" s="47"/>
      <c r="AH90" s="47"/>
      <c r="AI90" s="48"/>
      <c r="AJ90" s="48"/>
      <c r="AK90" s="48"/>
      <c r="AL90" s="48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"/>
      <c r="BP90" s="295"/>
      <c r="BQ90" s="295"/>
      <c r="BS90" s="79"/>
      <c r="BT90" s="54"/>
    </row>
    <row r="91" spans="2:118" ht="19.5" hidden="1" thickTop="1" thickBot="1" x14ac:dyDescent="0.3">
      <c r="B91" s="65"/>
      <c r="C91" s="65"/>
      <c r="D91" s="64"/>
      <c r="E91" s="64"/>
      <c r="F91" s="64"/>
      <c r="G91" s="64"/>
      <c r="H91" s="64"/>
      <c r="I91" s="64"/>
      <c r="J91" s="64"/>
      <c r="K91" s="64"/>
      <c r="M91" s="28"/>
      <c r="N91" s="28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8"/>
      <c r="AC91" s="47"/>
      <c r="AD91" s="47"/>
      <c r="AE91" s="47"/>
      <c r="AF91" s="47"/>
      <c r="AG91" s="47"/>
      <c r="AH91" s="47"/>
      <c r="AI91" s="48"/>
      <c r="AJ91" s="48"/>
      <c r="AK91" s="48"/>
      <c r="AL91" s="48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"/>
      <c r="BP91" s="295"/>
      <c r="BQ91" s="295"/>
      <c r="BS91" s="79"/>
      <c r="BT91" s="54"/>
    </row>
    <row r="92" spans="2:118" ht="19.5" hidden="1" thickTop="1" thickBot="1" x14ac:dyDescent="0.3">
      <c r="B92" s="65"/>
      <c r="C92" s="65"/>
      <c r="D92" s="64"/>
      <c r="E92" s="64"/>
      <c r="F92" s="64"/>
      <c r="G92" s="64"/>
      <c r="H92" s="64"/>
      <c r="I92" s="64"/>
      <c r="J92" s="64"/>
      <c r="K92" s="64"/>
      <c r="M92" s="28"/>
      <c r="N92" s="28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8"/>
      <c r="AC92" s="47"/>
      <c r="AD92" s="47"/>
      <c r="AE92" s="47"/>
      <c r="AF92" s="47"/>
      <c r="AG92" s="47"/>
      <c r="AH92" s="47"/>
      <c r="AI92" s="48"/>
      <c r="AJ92" s="48"/>
      <c r="AK92" s="48"/>
      <c r="AL92" s="48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"/>
      <c r="BP92" s="295"/>
      <c r="BQ92" s="295"/>
      <c r="BS92" s="79"/>
      <c r="BT92" s="54"/>
    </row>
    <row r="93" spans="2:118" ht="19.5" hidden="1" thickTop="1" thickBot="1" x14ac:dyDescent="0.3">
      <c r="B93" s="65"/>
      <c r="C93" s="65"/>
      <c r="D93" s="64"/>
      <c r="E93" s="756"/>
      <c r="F93" s="756"/>
      <c r="G93" s="756"/>
      <c r="H93" s="756"/>
      <c r="I93" s="756"/>
      <c r="J93" s="756"/>
      <c r="K93" s="756"/>
      <c r="M93" s="28"/>
      <c r="N93" s="28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8"/>
      <c r="AC93" s="47"/>
      <c r="AD93" s="47"/>
      <c r="AE93" s="47"/>
      <c r="AF93" s="47"/>
      <c r="AG93" s="47"/>
      <c r="AH93" s="47"/>
      <c r="AI93" s="48"/>
      <c r="AJ93" s="48"/>
      <c r="AK93" s="48"/>
      <c r="AL93" s="48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"/>
      <c r="BP93" s="295"/>
      <c r="BQ93" s="295"/>
      <c r="BS93" s="79"/>
      <c r="BT93" s="54"/>
    </row>
    <row r="94" spans="2:118" ht="22.5" customHeight="1" thickTop="1" thickBot="1" x14ac:dyDescent="0.3">
      <c r="B94" s="759" t="s">
        <v>116</v>
      </c>
      <c r="C94" s="759"/>
      <c r="D94" s="759"/>
      <c r="E94" s="759"/>
      <c r="F94" s="759"/>
      <c r="G94" s="759"/>
      <c r="H94" s="759"/>
      <c r="I94" s="759"/>
      <c r="J94" s="759"/>
      <c r="K94" s="759"/>
      <c r="N94" s="28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8"/>
      <c r="AC94" s="47"/>
      <c r="AD94" s="47"/>
      <c r="AE94" s="47"/>
      <c r="AF94" s="47"/>
      <c r="AG94" s="47"/>
      <c r="AH94" s="47"/>
      <c r="AI94" s="48"/>
      <c r="AJ94" s="48"/>
      <c r="AK94" s="48"/>
      <c r="AL94" s="48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"/>
      <c r="BP94" s="295"/>
      <c r="BQ94" s="295"/>
      <c r="BS94" s="79"/>
      <c r="BT94" s="54"/>
    </row>
    <row r="95" spans="2:118" ht="30" customHeight="1" thickTop="1" thickBot="1" x14ac:dyDescent="0.3">
      <c r="B95" s="670" t="s">
        <v>89</v>
      </c>
      <c r="C95" s="75"/>
      <c r="D95" s="670" t="s">
        <v>91</v>
      </c>
      <c r="E95" s="757" t="s">
        <v>88</v>
      </c>
      <c r="F95" s="757"/>
      <c r="G95" s="757"/>
      <c r="H95" s="757"/>
      <c r="I95" s="757"/>
      <c r="J95" s="757"/>
      <c r="K95" s="757"/>
      <c r="N95" s="28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8"/>
      <c r="AC95" s="47"/>
      <c r="AD95" s="47"/>
      <c r="AE95" s="47"/>
      <c r="AF95" s="47"/>
      <c r="AG95" s="47"/>
      <c r="AH95" s="47"/>
      <c r="AI95" s="48"/>
      <c r="AJ95" s="48"/>
      <c r="AK95" s="48"/>
      <c r="AL95" s="48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"/>
      <c r="BP95" s="295"/>
      <c r="BQ95" s="295"/>
      <c r="BS95" s="79"/>
      <c r="BT95" s="54"/>
    </row>
    <row r="96" spans="2:118" ht="30" hidden="1" customHeight="1" thickTop="1" thickBot="1" x14ac:dyDescent="0.3">
      <c r="B96" s="360">
        <f>+C58/BR50</f>
        <v>84.025278099490464</v>
      </c>
      <c r="C96" s="64"/>
      <c r="D96" s="361">
        <f>+C58/DM50</f>
        <v>105.79247359182239</v>
      </c>
      <c r="E96" s="761">
        <f>+D58/BU1</f>
        <v>78.864353312302839</v>
      </c>
      <c r="F96" s="762"/>
      <c r="G96" s="762"/>
      <c r="H96" s="762"/>
      <c r="I96" s="762"/>
      <c r="J96" s="762"/>
      <c r="K96" s="763"/>
      <c r="N96" s="28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8"/>
      <c r="AC96" s="47"/>
      <c r="AD96" s="47"/>
      <c r="AE96" s="47"/>
      <c r="AF96" s="47"/>
      <c r="AG96" s="47"/>
      <c r="AH96" s="47"/>
      <c r="AI96" s="48"/>
      <c r="AJ96" s="48"/>
      <c r="AK96" s="48"/>
      <c r="AL96" s="48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"/>
      <c r="BP96" s="295"/>
      <c r="BQ96" s="295"/>
      <c r="BS96" s="79"/>
    </row>
    <row r="97" spans="1:91" ht="30" customHeight="1" thickTop="1" thickBot="1" x14ac:dyDescent="0.3">
      <c r="B97" s="671">
        <f>ABS(B96)</f>
        <v>84.025278099490464</v>
      </c>
      <c r="C97" s="75"/>
      <c r="D97" s="671">
        <f>ABS(D96)</f>
        <v>105.79247359182239</v>
      </c>
      <c r="E97" s="758">
        <f t="shared" ref="E97:K97" si="9">+IF(AND(D96&lt;&gt;TRUE,B96&lt;&gt;TRUE),E96)</f>
        <v>78.864353312302839</v>
      </c>
      <c r="F97" s="758">
        <f t="shared" si="9"/>
        <v>0</v>
      </c>
      <c r="G97" s="758">
        <f t="shared" si="9"/>
        <v>0</v>
      </c>
      <c r="H97" s="758">
        <f t="shared" si="9"/>
        <v>0</v>
      </c>
      <c r="I97" s="758">
        <f t="shared" si="9"/>
        <v>0</v>
      </c>
      <c r="J97" s="758">
        <f t="shared" si="9"/>
        <v>0</v>
      </c>
      <c r="K97" s="758">
        <f t="shared" si="9"/>
        <v>0</v>
      </c>
      <c r="N97" s="28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8"/>
      <c r="AC97" s="47"/>
      <c r="AD97" s="47"/>
      <c r="AE97" s="47"/>
      <c r="AF97" s="47"/>
      <c r="AG97" s="47"/>
      <c r="AH97" s="47"/>
      <c r="AI97" s="48"/>
      <c r="AJ97" s="48"/>
      <c r="AK97" s="48"/>
      <c r="AL97" s="48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"/>
      <c r="BP97" s="295"/>
      <c r="BQ97" s="295"/>
      <c r="BS97" s="79"/>
    </row>
    <row r="98" spans="1:91" ht="19.5" thickTop="1" thickBot="1" x14ac:dyDescent="0.3">
      <c r="B98" s="80"/>
      <c r="C98" s="80"/>
      <c r="D98" s="81"/>
      <c r="E98" s="81"/>
      <c r="F98" s="81"/>
      <c r="G98" s="81"/>
      <c r="H98" s="81"/>
      <c r="I98" s="81"/>
      <c r="J98" s="81"/>
      <c r="K98" s="81"/>
      <c r="M98" s="81"/>
      <c r="N98" s="81"/>
      <c r="BQ98" s="53"/>
    </row>
    <row r="99" spans="1:91" ht="18.75" hidden="1" thickBot="1" x14ac:dyDescent="0.3">
      <c r="BQ99" s="86"/>
    </row>
    <row r="100" spans="1:91" ht="18.75" hidden="1" thickBot="1" x14ac:dyDescent="0.3">
      <c r="B100" s="89"/>
      <c r="C100" s="89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AB100" s="362"/>
      <c r="AC100" s="362"/>
      <c r="AD100" s="362"/>
      <c r="AE100" s="362"/>
      <c r="AF100" s="362"/>
      <c r="AG100" s="362"/>
      <c r="AH100" s="362"/>
      <c r="AM100" s="362"/>
      <c r="AN100" s="362"/>
      <c r="AO100" s="362"/>
      <c r="AP100" s="362"/>
      <c r="AQ100" s="362"/>
      <c r="AR100" s="362"/>
      <c r="AS100" s="362"/>
      <c r="AT100" s="362"/>
      <c r="AU100" s="362"/>
      <c r="AV100" s="362"/>
      <c r="AW100" s="362"/>
      <c r="AX100" s="362"/>
      <c r="AY100" s="362"/>
      <c r="AZ100" s="362"/>
      <c r="BA100" s="362"/>
      <c r="BB100" s="362"/>
      <c r="BC100" s="362"/>
      <c r="BD100" s="362"/>
      <c r="BE100" s="362"/>
      <c r="BF100" s="362"/>
      <c r="BG100" s="362"/>
      <c r="BH100" s="362"/>
      <c r="BI100" s="91"/>
      <c r="BQ100" s="86"/>
      <c r="BT100" s="50"/>
      <c r="BU100" s="50"/>
      <c r="BV100" s="50"/>
      <c r="BW100" s="50"/>
      <c r="BX100" s="50"/>
      <c r="BY100" s="50"/>
      <c r="CG100" s="50"/>
      <c r="CH100" s="50"/>
      <c r="CI100" s="50"/>
      <c r="CJ100" s="50"/>
      <c r="CK100" s="50"/>
      <c r="CL100" s="50"/>
      <c r="CM100" s="50"/>
    </row>
    <row r="101" spans="1:91" ht="44.25" customHeight="1" thickBot="1" x14ac:dyDescent="0.35">
      <c r="B101" s="89"/>
      <c r="D101" s="93" t="str">
        <f>IF(BS86&gt;0," ","change the angle of frame or of cabinets")</f>
        <v xml:space="preserve"> </v>
      </c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7"/>
      <c r="AD101" s="17"/>
      <c r="AE101" s="17"/>
      <c r="AF101" s="17"/>
      <c r="AG101" s="17"/>
      <c r="AH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4"/>
      <c r="BQ101" s="86"/>
      <c r="BT101" s="50"/>
      <c r="BU101" s="50"/>
      <c r="BV101" s="50"/>
      <c r="BW101" s="50"/>
      <c r="BX101" s="50"/>
      <c r="BY101" s="50"/>
      <c r="CG101" s="50"/>
      <c r="CH101" s="50"/>
      <c r="CI101" s="50"/>
      <c r="CJ101" s="50"/>
      <c r="CK101" s="50"/>
      <c r="CL101" s="50"/>
      <c r="CM101" s="50"/>
    </row>
    <row r="102" spans="1:91" ht="44.25" customHeight="1" thickBot="1" x14ac:dyDescent="0.35">
      <c r="B102" s="751" t="s">
        <v>117</v>
      </c>
      <c r="D102" s="93" t="str">
        <f>IF(DM86&lt;0," ","change the angle of frame or of cabinets")</f>
        <v xml:space="preserve"> </v>
      </c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363"/>
      <c r="AD102" s="363"/>
      <c r="AE102" s="363"/>
      <c r="AF102" s="363"/>
      <c r="AG102" s="363"/>
      <c r="AH102" s="363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96"/>
      <c r="BQ102" s="86"/>
      <c r="BT102" s="50"/>
      <c r="BU102" s="50"/>
      <c r="BV102" s="50"/>
      <c r="BW102" s="50"/>
      <c r="BX102" s="50"/>
      <c r="BY102" s="50"/>
      <c r="CG102" s="50"/>
      <c r="CH102" s="50"/>
      <c r="CI102" s="50"/>
      <c r="CJ102" s="50"/>
      <c r="CK102" s="50"/>
      <c r="CL102" s="50"/>
      <c r="CM102" s="50"/>
    </row>
    <row r="103" spans="1:91" ht="44.25" customHeight="1" thickBot="1" x14ac:dyDescent="0.35">
      <c r="A103" s="364"/>
      <c r="B103" s="752"/>
      <c r="C103" s="553"/>
      <c r="D103" s="554" t="str">
        <f>IF(BS86&gt;(+COS(($B$104*-1)*3.14159265358979/180)*318.75)," ","USE EXBAR TR AT THE FRONT")</f>
        <v xml:space="preserve"> </v>
      </c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4"/>
      <c r="BQ103" s="86"/>
      <c r="BT103" s="50"/>
      <c r="BU103" s="50"/>
      <c r="BV103" s="50"/>
      <c r="BW103" s="50"/>
      <c r="BX103" s="50"/>
      <c r="BY103" s="50"/>
      <c r="CG103" s="50"/>
      <c r="CH103" s="50"/>
      <c r="CI103" s="50"/>
      <c r="CJ103" s="50"/>
      <c r="CK103" s="50"/>
      <c r="CL103" s="50"/>
      <c r="CM103" s="50"/>
    </row>
    <row r="104" spans="1:91" ht="48" customHeight="1" thickBot="1" x14ac:dyDescent="0.45">
      <c r="B104" s="503">
        <v>0</v>
      </c>
      <c r="C104" s="553"/>
      <c r="D104" s="568" t="str">
        <f>IF(DM86&lt;-(+COS(($B$104*-1)*3.14159265358979/180)*318.75)," ","USE EXBAR TR AT THE BACK")</f>
        <v xml:space="preserve"> </v>
      </c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4"/>
      <c r="BQ104" s="86"/>
      <c r="BT104" s="50"/>
      <c r="BU104" s="50"/>
      <c r="BV104" s="50"/>
      <c r="BW104" s="50"/>
      <c r="BX104" s="50"/>
      <c r="BY104" s="50"/>
      <c r="CG104" s="50"/>
      <c r="CH104" s="50"/>
      <c r="CI104" s="50"/>
      <c r="CJ104" s="50"/>
      <c r="CK104" s="50"/>
      <c r="CL104" s="50"/>
      <c r="CM104" s="50"/>
    </row>
    <row r="105" spans="1:91" ht="18.75" thickBot="1" x14ac:dyDescent="0.3"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4"/>
      <c r="BQ105" s="86"/>
      <c r="BT105" s="50"/>
      <c r="BU105" s="50"/>
      <c r="BV105" s="50"/>
      <c r="BW105" s="50"/>
      <c r="BX105" s="50"/>
      <c r="BY105" s="50"/>
      <c r="CG105" s="50"/>
      <c r="CH105" s="50"/>
      <c r="CI105" s="50"/>
      <c r="CJ105" s="50"/>
      <c r="CK105" s="50"/>
      <c r="CL105" s="50"/>
      <c r="CM105" s="50"/>
    </row>
    <row r="106" spans="1:91" ht="61.5" thickBot="1" x14ac:dyDescent="0.35">
      <c r="B106" s="97" t="s">
        <v>38</v>
      </c>
      <c r="C106" s="20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AA106" s="365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4"/>
      <c r="BJ106" s="14"/>
      <c r="BT106" s="50"/>
      <c r="BU106" s="50"/>
      <c r="BV106" s="50"/>
      <c r="BW106" s="50"/>
      <c r="BX106" s="50"/>
      <c r="BY106" s="50"/>
      <c r="CG106" s="50"/>
      <c r="CH106" s="50"/>
      <c r="CI106" s="50"/>
      <c r="CJ106" s="50"/>
      <c r="CK106" s="50"/>
      <c r="CL106" s="50"/>
      <c r="CM106" s="50"/>
    </row>
    <row r="107" spans="1:91" ht="39" thickBot="1" x14ac:dyDescent="0.45">
      <c r="B107" s="504">
        <v>1</v>
      </c>
      <c r="C107" s="106"/>
      <c r="D107" s="97" t="s">
        <v>118</v>
      </c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522" t="s">
        <v>147</v>
      </c>
      <c r="P107" s="522" t="s">
        <v>153</v>
      </c>
      <c r="Q107" s="522" t="s">
        <v>149</v>
      </c>
      <c r="R107" s="523"/>
      <c r="S107" s="523"/>
      <c r="T107" s="523"/>
      <c r="U107" s="523"/>
      <c r="V107" s="523"/>
      <c r="W107" s="522" t="s">
        <v>150</v>
      </c>
      <c r="X107" s="522" t="s">
        <v>151</v>
      </c>
      <c r="Y107" s="523"/>
      <c r="Z107" s="522" t="s">
        <v>152</v>
      </c>
      <c r="AA107" s="366"/>
      <c r="AD107" s="760" t="s">
        <v>142</v>
      </c>
      <c r="AE107" s="760"/>
      <c r="AF107" s="760"/>
      <c r="AG107" s="760"/>
      <c r="AH107" s="760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22"/>
      <c r="BG107" s="753" t="s">
        <v>54</v>
      </c>
      <c r="BH107" s="754"/>
      <c r="BI107" s="14"/>
      <c r="BJ107" s="14"/>
      <c r="BK107" s="259" t="s">
        <v>92</v>
      </c>
      <c r="BL107" s="260"/>
      <c r="BM107" s="547" t="s">
        <v>162</v>
      </c>
      <c r="BN107" s="260"/>
      <c r="BO107" s="260"/>
      <c r="BP107" s="260"/>
      <c r="BQ107" s="26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</row>
    <row r="108" spans="1:91" ht="21" hidden="1" thickBot="1" x14ac:dyDescent="0.35">
      <c r="B108" s="115"/>
      <c r="C108" s="115"/>
      <c r="D108" s="206"/>
      <c r="E108" s="207"/>
      <c r="F108" s="207"/>
      <c r="G108" s="207"/>
      <c r="H108" s="207"/>
      <c r="I108" s="207"/>
      <c r="J108" s="207"/>
      <c r="K108" s="207"/>
      <c r="L108" s="16"/>
      <c r="M108" s="16"/>
      <c r="N108" s="16"/>
      <c r="O108" s="208" t="s">
        <v>4</v>
      </c>
      <c r="P108" s="208" t="s">
        <v>1</v>
      </c>
      <c r="Q108" s="209" t="s">
        <v>62</v>
      </c>
      <c r="R108" s="210" t="s">
        <v>2</v>
      </c>
      <c r="S108" s="210" t="s">
        <v>3</v>
      </c>
      <c r="T108" s="210" t="s">
        <v>8</v>
      </c>
      <c r="U108" s="210" t="s">
        <v>5</v>
      </c>
      <c r="V108" s="210" t="s">
        <v>6</v>
      </c>
      <c r="W108" s="210" t="s">
        <v>7</v>
      </c>
      <c r="X108" s="210" t="s">
        <v>9</v>
      </c>
      <c r="Y108" s="208" t="s">
        <v>10</v>
      </c>
      <c r="Z108" s="210" t="s">
        <v>11</v>
      </c>
      <c r="AA108" s="211" t="s">
        <v>12</v>
      </c>
      <c r="AD108" s="511" t="s">
        <v>146</v>
      </c>
      <c r="AE108" s="512" t="s">
        <v>143</v>
      </c>
      <c r="AF108" s="511" t="s">
        <v>147</v>
      </c>
      <c r="AG108" s="513" t="s">
        <v>144</v>
      </c>
      <c r="AH108" s="513" t="s">
        <v>145</v>
      </c>
      <c r="AJ108" s="518" t="s">
        <v>148</v>
      </c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 t="s">
        <v>121</v>
      </c>
      <c r="AW108" s="121"/>
      <c r="AX108" s="121" t="s">
        <v>71</v>
      </c>
      <c r="AY108" s="121"/>
      <c r="AZ108" s="121"/>
      <c r="BA108" s="121" t="s">
        <v>71</v>
      </c>
      <c r="BB108" s="121"/>
      <c r="BC108" s="121"/>
      <c r="BD108" s="121"/>
      <c r="BE108" s="122"/>
      <c r="BF108" s="122"/>
      <c r="BG108" s="121"/>
      <c r="BH108" s="121"/>
      <c r="BI108" s="123"/>
      <c r="BK108" s="261">
        <v>-13</v>
      </c>
      <c r="BL108" s="546">
        <v>-331.5</v>
      </c>
      <c r="BM108" s="540">
        <f>+COS(($B$104*-1)*3.14159265358979/180)*BL108</f>
        <v>-331.5</v>
      </c>
      <c r="BN108" s="548">
        <f>+BM108-D$15</f>
        <v>-474.09197529059554</v>
      </c>
      <c r="BO108" s="262">
        <f t="shared" ref="BO108:BO150" si="10">ABS(BN108)</f>
        <v>474.09197529059554</v>
      </c>
      <c r="BP108" s="262">
        <f t="shared" ref="BP108:BP150" si="11">MIN($BO$108:$BO$150)</f>
        <v>10.40802470940443</v>
      </c>
      <c r="BQ108" s="262" t="b">
        <f t="shared" ref="BQ108:BQ150" si="12">IF(BP108=BO108,BK108)</f>
        <v>0</v>
      </c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</row>
    <row r="109" spans="1:91" ht="29.25" customHeight="1" thickBot="1" x14ac:dyDescent="0.35">
      <c r="B109" s="245"/>
      <c r="C109" s="213"/>
      <c r="D109" s="128"/>
      <c r="E109" s="367"/>
      <c r="F109" s="368"/>
      <c r="G109" s="368"/>
      <c r="H109" s="368"/>
      <c r="I109" s="368"/>
      <c r="J109" s="368"/>
      <c r="K109" s="369"/>
      <c r="L109" s="214"/>
      <c r="M109" s="214"/>
      <c r="N109" s="368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216"/>
      <c r="AB109" s="131"/>
      <c r="AC109" s="134"/>
      <c r="AD109" s="134"/>
      <c r="AE109" s="134"/>
      <c r="AF109" s="134"/>
      <c r="AG109" s="134"/>
      <c r="AH109" s="134"/>
      <c r="AI109" s="133"/>
      <c r="AJ109" s="515">
        <f>SUM(AJ110:AJ121)</f>
        <v>205.00000968766321</v>
      </c>
      <c r="AK109" s="516"/>
      <c r="AL109" s="516"/>
      <c r="AM109" s="135" t="s">
        <v>46</v>
      </c>
      <c r="AN109" s="135" t="s">
        <v>39</v>
      </c>
      <c r="AO109" s="135"/>
      <c r="AP109" s="135" t="s">
        <v>119</v>
      </c>
      <c r="AQ109" s="138" t="s">
        <v>40</v>
      </c>
      <c r="AR109" s="135" t="s">
        <v>41</v>
      </c>
      <c r="AS109" s="318" t="s">
        <v>120</v>
      </c>
      <c r="AT109" s="135" t="s">
        <v>42</v>
      </c>
      <c r="AU109" s="135" t="s">
        <v>43</v>
      </c>
      <c r="AV109" s="135" t="s">
        <v>53</v>
      </c>
      <c r="AW109" s="135" t="s">
        <v>122</v>
      </c>
      <c r="AX109" s="135" t="s">
        <v>72</v>
      </c>
      <c r="AY109" s="135" t="s">
        <v>52</v>
      </c>
      <c r="AZ109" s="135" t="s">
        <v>78</v>
      </c>
      <c r="BA109" s="135" t="s">
        <v>73</v>
      </c>
      <c r="BB109" s="135" t="s">
        <v>74</v>
      </c>
      <c r="BC109" s="370" t="s">
        <v>49</v>
      </c>
      <c r="BD109" s="370" t="s">
        <v>50</v>
      </c>
      <c r="BE109" s="142" t="s">
        <v>24</v>
      </c>
      <c r="BF109" s="142" t="s">
        <v>25</v>
      </c>
      <c r="BG109" s="228" t="s">
        <v>24</v>
      </c>
      <c r="BH109" s="228" t="s">
        <v>25</v>
      </c>
      <c r="BI109" s="14"/>
      <c r="BJ109" s="229"/>
      <c r="BK109" s="261">
        <v>-12</v>
      </c>
      <c r="BL109" s="546">
        <f t="shared" ref="BL109:BL150" si="13">+BL108+25.5</f>
        <v>-306</v>
      </c>
      <c r="BM109" s="540">
        <f>+BM108+$E$14</f>
        <v>-306</v>
      </c>
      <c r="BN109" s="548">
        <f t="shared" ref="BN109:BN150" si="14">+BM109-D$15</f>
        <v>-448.59197529059554</v>
      </c>
      <c r="BO109" s="262">
        <f t="shared" si="10"/>
        <v>448.59197529059554</v>
      </c>
      <c r="BP109" s="262">
        <f t="shared" si="11"/>
        <v>10.40802470940443</v>
      </c>
      <c r="BQ109" s="262" t="b">
        <f t="shared" si="12"/>
        <v>0</v>
      </c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</row>
    <row r="110" spans="1:91" ht="18.75" thickBot="1" x14ac:dyDescent="0.3">
      <c r="B110" s="144">
        <v>1</v>
      </c>
      <c r="C110" s="145">
        <f>+(B104*-1)+D110</f>
        <v>0</v>
      </c>
      <c r="D110" s="191"/>
      <c r="E110" s="231"/>
      <c r="F110" s="232"/>
      <c r="G110" s="232"/>
      <c r="H110" s="232"/>
      <c r="I110" s="232"/>
      <c r="J110" s="232"/>
      <c r="K110" s="233"/>
      <c r="L110" s="371"/>
      <c r="M110" s="371"/>
      <c r="N110" s="371"/>
      <c r="O110" s="522">
        <v>267.59859999999998</v>
      </c>
      <c r="P110" s="522">
        <v>39.997472000000002</v>
      </c>
      <c r="Q110" s="522">
        <f>+P110-C110</f>
        <v>39.997472000000002</v>
      </c>
      <c r="R110" s="371"/>
      <c r="S110" s="371"/>
      <c r="T110" s="371"/>
      <c r="U110" s="371"/>
      <c r="V110" s="371"/>
      <c r="W110" s="522">
        <f>COS(Q110*3.14159265358979/180)</f>
        <v>0.76607280339905826</v>
      </c>
      <c r="X110" s="522">
        <f>+W110*O110</f>
        <v>205.00000968766321</v>
      </c>
      <c r="Y110" s="234">
        <v>205</v>
      </c>
      <c r="Z110" s="522">
        <f>+X110</f>
        <v>205.00000968766321</v>
      </c>
      <c r="AA110" s="371">
        <f t="shared" ref="AA110:AA121" si="15">+Z110</f>
        <v>205.00000968766321</v>
      </c>
      <c r="AB110" s="371"/>
      <c r="AC110" s="371">
        <f>IF(B110&lt;($B$107+1),AA110,0)</f>
        <v>205.00000968766321</v>
      </c>
      <c r="AD110" s="519">
        <v>39.997467499999999</v>
      </c>
      <c r="AE110" s="371">
        <f>+AD110+AO122</f>
        <v>39.997467499999999</v>
      </c>
      <c r="AF110" s="519">
        <v>267.59859999999998</v>
      </c>
      <c r="AG110" s="520">
        <f>+COS(AE110*3.14159265358979/180)*AF110</f>
        <v>205.00002319651253</v>
      </c>
      <c r="AH110" s="521">
        <f>+AJ109-AG110</f>
        <v>-1.3508849320942318E-5</v>
      </c>
      <c r="AI110" s="371"/>
      <c r="AJ110" s="517">
        <f>IF(AK110=1,AM110)</f>
        <v>205.00000968766321</v>
      </c>
      <c r="AK110" s="517">
        <f>MAX(AL$110:AL$121)</f>
        <v>1</v>
      </c>
      <c r="AL110" s="516">
        <f>IF(AC110=0,0,1)</f>
        <v>1</v>
      </c>
      <c r="AM110" s="156">
        <f>SUM(AC110:AC121)/($B$107)</f>
        <v>205.00000968766321</v>
      </c>
      <c r="AN110" s="372">
        <f>+D110+C110</f>
        <v>0</v>
      </c>
      <c r="AO110" s="373">
        <f>IF(B110&lt;($B$107+1),AN110)</f>
        <v>0</v>
      </c>
      <c r="AP110" s="236">
        <f>50.0025336+AN110</f>
        <v>50.0025336</v>
      </c>
      <c r="AQ110" s="178">
        <f>SIN(AP110*3.14159265358979/180)</f>
        <v>0.76607286622080695</v>
      </c>
      <c r="AR110" s="238">
        <f>+AQ110*267.5986</f>
        <v>205.00002649867523</v>
      </c>
      <c r="AS110" s="236">
        <f>55.5829435-AN110</f>
        <v>55.582943499999999</v>
      </c>
      <c r="AT110" s="179">
        <f>SIN(AS110*3.14159265358979/180)</f>
        <v>0.82494527551519659</v>
      </c>
      <c r="AU110" s="238">
        <f>+AT110*304.3102</f>
        <v>251.03926178108458</v>
      </c>
      <c r="AV110" s="180">
        <f>+((AM110*AW110)+($AW$131*($AM$131+$AH$110)))/AX110</f>
        <v>166.59197525135974</v>
      </c>
      <c r="AW110" s="238">
        <f>20*B107</f>
        <v>20</v>
      </c>
      <c r="AX110" s="180">
        <f t="shared" ref="AX110:AX121" si="16">+AW110+$AW$131</f>
        <v>29.9</v>
      </c>
      <c r="AY110" s="181">
        <f>+AU110+AR110</f>
        <v>456.03928827975983</v>
      </c>
      <c r="AZ110" s="182">
        <f>+AC110-AR110</f>
        <v>-1.681101201711499E-5</v>
      </c>
      <c r="BA110" s="183">
        <f>+AV110-AZ110</f>
        <v>166.59199206237176</v>
      </c>
      <c r="BB110" s="182">
        <f>+AM110-AZ110</f>
        <v>205.00002649867523</v>
      </c>
      <c r="BC110" s="184">
        <f>+((AY110-BA110)/AY110)*AX110</f>
        <v>18.977474922271977</v>
      </c>
      <c r="BD110" s="184">
        <f>+(BA110/AY110)*AX110</f>
        <v>10.922525077728022</v>
      </c>
      <c r="BE110" s="374">
        <f t="shared" ref="BE110:BE121" si="17">2*$C$57/BC110</f>
        <v>316.16429607072729</v>
      </c>
      <c r="BF110" s="374">
        <f t="shared" ref="BF110:BF121" si="18">2*$D$57/BD110</f>
        <v>549.32352705094922</v>
      </c>
      <c r="BG110" s="375">
        <f>ABS(BE110)</f>
        <v>316.16429607072729</v>
      </c>
      <c r="BH110" s="375">
        <f>ABS(BF110)</f>
        <v>549.32352705094922</v>
      </c>
      <c r="BI110" s="172"/>
      <c r="BJ110" s="229"/>
      <c r="BK110" s="261">
        <v>-11</v>
      </c>
      <c r="BL110" s="546">
        <f t="shared" si="13"/>
        <v>-280.5</v>
      </c>
      <c r="BM110" s="540">
        <f t="shared" ref="BM110:BM150" si="19">+BM109+$E$14</f>
        <v>-280.5</v>
      </c>
      <c r="BN110" s="548">
        <f t="shared" si="14"/>
        <v>-423.09197529059554</v>
      </c>
      <c r="BO110" s="262">
        <f t="shared" si="10"/>
        <v>423.09197529059554</v>
      </c>
      <c r="BP110" s="262">
        <f t="shared" si="11"/>
        <v>10.40802470940443</v>
      </c>
      <c r="BQ110" s="262" t="b">
        <f t="shared" si="12"/>
        <v>0</v>
      </c>
      <c r="BX110" s="50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50"/>
      <c r="CJ110" s="50"/>
      <c r="CK110" s="50"/>
      <c r="CL110" s="50"/>
      <c r="CM110" s="50"/>
    </row>
    <row r="111" spans="1:91" ht="18.75" thickBot="1" x14ac:dyDescent="0.3">
      <c r="B111" s="174">
        <v>2</v>
      </c>
      <c r="C111" s="175"/>
      <c r="D111" s="191"/>
      <c r="E111" s="231"/>
      <c r="F111" s="232"/>
      <c r="G111" s="232"/>
      <c r="H111" s="232"/>
      <c r="I111" s="232"/>
      <c r="J111" s="232"/>
      <c r="K111" s="233"/>
      <c r="L111" s="371"/>
      <c r="M111" s="150"/>
      <c r="N111" s="150"/>
      <c r="O111" s="234">
        <v>304.31020000000001</v>
      </c>
      <c r="P111" s="234">
        <v>68.834131099999993</v>
      </c>
      <c r="Q111" s="150">
        <f>+P111+D111</f>
        <v>68.834131099999993</v>
      </c>
      <c r="R111" s="150">
        <f t="shared" ref="R111:R121" si="20">+Q111/2</f>
        <v>34.417065549999997</v>
      </c>
      <c r="S111" s="150">
        <f t="shared" ref="S111:S121" si="21">SIN(R111*3.14159265358979/180)</f>
        <v>0.56521273844618192</v>
      </c>
      <c r="T111" s="150">
        <f t="shared" ref="T111:T121" si="22">+S111*O111</f>
        <v>172.00000147910532</v>
      </c>
      <c r="U111" s="150">
        <f t="shared" ref="U111:U121" si="23">+T111*2</f>
        <v>344.00000295821064</v>
      </c>
      <c r="V111" s="150">
        <f>+C110+(D111/2)</f>
        <v>0</v>
      </c>
      <c r="W111" s="150">
        <f t="shared" ref="W111:W121" si="24">SIN(V111*3.14159265358979/180)</f>
        <v>0</v>
      </c>
      <c r="X111" s="150">
        <f t="shared" ref="X111:X121" si="25">+W111*U111</f>
        <v>0</v>
      </c>
      <c r="Y111" s="150">
        <f t="shared" ref="Y111:Y121" si="26">+AA110</f>
        <v>205.00000968766321</v>
      </c>
      <c r="Z111" s="150">
        <f>+Y111+X111</f>
        <v>205.00000968766321</v>
      </c>
      <c r="AA111" s="150">
        <f t="shared" si="15"/>
        <v>205.00000968766321</v>
      </c>
      <c r="AB111" s="150"/>
      <c r="AC111" s="150">
        <f t="shared" ref="AC111:AC121" si="27">IF(B111&lt;($B$107+1),AA111,0)</f>
        <v>0</v>
      </c>
      <c r="AD111" s="150"/>
      <c r="AE111" s="150"/>
      <c r="AF111" s="150"/>
      <c r="AG111" s="150"/>
      <c r="AH111" s="150"/>
      <c r="AI111" s="150"/>
      <c r="AJ111" s="517" t="b">
        <f>IF(AK111=2,AM111)</f>
        <v>0</v>
      </c>
      <c r="AK111" s="517">
        <f t="shared" ref="AK111:AK121" si="28">MAX(AL$110:AL$121)</f>
        <v>1</v>
      </c>
      <c r="AL111" s="516">
        <f>IF(AC111=0,0,2)</f>
        <v>0</v>
      </c>
      <c r="AM111" s="156" t="e">
        <f>SUM(AC111:AC121)/($B$107-B110)</f>
        <v>#DIV/0!</v>
      </c>
      <c r="AN111" s="177">
        <f>SUM(D111)+$C$110</f>
        <v>0</v>
      </c>
      <c r="AO111" s="373" t="b">
        <f t="shared" ref="AO111:AO121" si="29">IF(B111&lt;($B$107+1),AN111)</f>
        <v>0</v>
      </c>
      <c r="AP111" s="236">
        <f t="shared" ref="AP111:AP121" si="30">50.0025336+AN111</f>
        <v>50.0025336</v>
      </c>
      <c r="AQ111" s="178">
        <f>SIN(AP111*3.14159265358979/180)</f>
        <v>0.76607286622080695</v>
      </c>
      <c r="AR111" s="238">
        <f t="shared" ref="AR111:AR121" si="31">+AQ111*267.5986</f>
        <v>205.00002649867523</v>
      </c>
      <c r="AS111" s="236">
        <f t="shared" ref="AS111:AS121" si="32">55.5829435-AN111</f>
        <v>55.582943499999999</v>
      </c>
      <c r="AT111" s="179">
        <f t="shared" ref="AT111:AT121" si="33">SIN(AS111*3.14159265358979/180)</f>
        <v>0.82494527551519659</v>
      </c>
      <c r="AU111" s="238">
        <f t="shared" ref="AU111:AU121" si="34">+AT111*304.3102</f>
        <v>251.03926178108458</v>
      </c>
      <c r="AV111" s="180" t="e">
        <f t="shared" ref="AV111:AV121" si="35">+((AM111*AW111)+($AW$131*($AM$131+$AH$110)))/AX111</f>
        <v>#DIV/0!</v>
      </c>
      <c r="AW111" s="238">
        <f>20*($B$107-B110)</f>
        <v>0</v>
      </c>
      <c r="AX111" s="180">
        <f t="shared" si="16"/>
        <v>9.9</v>
      </c>
      <c r="AY111" s="181">
        <f t="shared" ref="AY111:AY121" si="36">+AU111+AR111</f>
        <v>456.03928827975983</v>
      </c>
      <c r="AZ111" s="182">
        <f t="shared" ref="AZ111:AZ121" si="37">+AC111-AR111</f>
        <v>-205.00002649867523</v>
      </c>
      <c r="BA111" s="183" t="e">
        <f t="shared" ref="BA111:BA121" si="38">+AV111-AZ111</f>
        <v>#DIV/0!</v>
      </c>
      <c r="BB111" s="182" t="e">
        <f>+AM111-AZ111</f>
        <v>#DIV/0!</v>
      </c>
      <c r="BC111" s="184" t="e">
        <f t="shared" ref="BC111:BC121" si="39">+((AY111-BA111)/AY111)*AX111</f>
        <v>#DIV/0!</v>
      </c>
      <c r="BD111" s="184" t="e">
        <f t="shared" ref="BD111:BD121" si="40">+(BA111/AY111)*AX111</f>
        <v>#DIV/0!</v>
      </c>
      <c r="BE111" s="374" t="e">
        <f t="shared" si="17"/>
        <v>#DIV/0!</v>
      </c>
      <c r="BF111" s="374" t="e">
        <f t="shared" si="18"/>
        <v>#DIV/0!</v>
      </c>
      <c r="BG111" s="376" t="e">
        <f t="shared" ref="BG111:BG121" si="41">ABS(BE111)</f>
        <v>#DIV/0!</v>
      </c>
      <c r="BH111" s="376" t="e">
        <f t="shared" ref="BH111:BH121" si="42">ABS(BF111)</f>
        <v>#DIV/0!</v>
      </c>
      <c r="BJ111" s="229"/>
      <c r="BK111" s="261">
        <v>-10</v>
      </c>
      <c r="BL111" s="546">
        <f t="shared" si="13"/>
        <v>-255</v>
      </c>
      <c r="BM111" s="540">
        <f t="shared" si="19"/>
        <v>-255</v>
      </c>
      <c r="BN111" s="548">
        <f t="shared" si="14"/>
        <v>-397.59197529059554</v>
      </c>
      <c r="BO111" s="262">
        <f t="shared" si="10"/>
        <v>397.59197529059554</v>
      </c>
      <c r="BP111" s="262">
        <f t="shared" si="11"/>
        <v>10.40802470940443</v>
      </c>
      <c r="BQ111" s="262" t="b">
        <f t="shared" si="12"/>
        <v>0</v>
      </c>
      <c r="BX111" s="50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50"/>
      <c r="CJ111" s="50"/>
      <c r="CK111" s="50"/>
      <c r="CL111" s="50"/>
      <c r="CM111" s="50"/>
    </row>
    <row r="112" spans="1:91" ht="18.75" thickBot="1" x14ac:dyDescent="0.3">
      <c r="B112" s="174">
        <v>3</v>
      </c>
      <c r="C112" s="175"/>
      <c r="D112" s="191"/>
      <c r="E112" s="231"/>
      <c r="F112" s="232"/>
      <c r="G112" s="232"/>
      <c r="H112" s="232"/>
      <c r="I112" s="232"/>
      <c r="J112" s="232"/>
      <c r="K112" s="233"/>
      <c r="L112" s="371"/>
      <c r="M112" s="150"/>
      <c r="N112" s="150"/>
      <c r="O112" s="234">
        <v>304.31020000000001</v>
      </c>
      <c r="P112" s="234">
        <v>68.834131099999993</v>
      </c>
      <c r="Q112" s="150">
        <f t="shared" ref="Q112:Q121" si="43">+P112+D112</f>
        <v>68.834131099999993</v>
      </c>
      <c r="R112" s="150">
        <f t="shared" si="20"/>
        <v>34.417065549999997</v>
      </c>
      <c r="S112" s="150">
        <f t="shared" si="21"/>
        <v>0.56521273844618192</v>
      </c>
      <c r="T112" s="150">
        <f t="shared" si="22"/>
        <v>172.00000147910532</v>
      </c>
      <c r="U112" s="150">
        <f t="shared" si="23"/>
        <v>344.00000295821064</v>
      </c>
      <c r="V112" s="150">
        <f>+C110+D111+(D112/2)</f>
        <v>0</v>
      </c>
      <c r="W112" s="150">
        <f t="shared" si="24"/>
        <v>0</v>
      </c>
      <c r="X112" s="150">
        <f t="shared" si="25"/>
        <v>0</v>
      </c>
      <c r="Y112" s="150">
        <f t="shared" si="26"/>
        <v>205.00000968766321</v>
      </c>
      <c r="Z112" s="150">
        <f t="shared" ref="Z112:Z121" si="44">+Z111+X112</f>
        <v>205.00000968766321</v>
      </c>
      <c r="AA112" s="150">
        <f t="shared" si="15"/>
        <v>205.00000968766321</v>
      </c>
      <c r="AB112" s="150"/>
      <c r="AC112" s="150">
        <f t="shared" si="27"/>
        <v>0</v>
      </c>
      <c r="AD112" s="150"/>
      <c r="AE112" s="150"/>
      <c r="AF112" s="150"/>
      <c r="AG112" s="150"/>
      <c r="AH112" s="150"/>
      <c r="AI112" s="150"/>
      <c r="AJ112" s="517" t="b">
        <f>IF(AK112=3,AM112)</f>
        <v>0</v>
      </c>
      <c r="AK112" s="517">
        <f t="shared" si="28"/>
        <v>1</v>
      </c>
      <c r="AL112" s="516">
        <f>IF(AC112=0,0,3)</f>
        <v>0</v>
      </c>
      <c r="AM112" s="156">
        <f>SUM(AC112:AC121)/($B$107-B111)</f>
        <v>0</v>
      </c>
      <c r="AN112" s="177">
        <f>SUM(D111:D112)+$C$110</f>
        <v>0</v>
      </c>
      <c r="AO112" s="373" t="b">
        <f t="shared" si="29"/>
        <v>0</v>
      </c>
      <c r="AP112" s="236">
        <f t="shared" si="30"/>
        <v>50.0025336</v>
      </c>
      <c r="AQ112" s="178">
        <f t="shared" ref="AQ112:AQ121" si="45">SIN(AP112*3.14159265358979/180)</f>
        <v>0.76607286622080695</v>
      </c>
      <c r="AR112" s="238">
        <f t="shared" si="31"/>
        <v>205.00002649867523</v>
      </c>
      <c r="AS112" s="236">
        <f t="shared" si="32"/>
        <v>55.582943499999999</v>
      </c>
      <c r="AT112" s="179">
        <f t="shared" si="33"/>
        <v>0.82494527551519659</v>
      </c>
      <c r="AU112" s="238">
        <f t="shared" si="34"/>
        <v>251.03926178108458</v>
      </c>
      <c r="AV112" s="180">
        <f t="shared" si="35"/>
        <v>-87.237610521028884</v>
      </c>
      <c r="AW112" s="238">
        <f t="shared" ref="AW112:AW121" si="46">20*($B$107-B111)</f>
        <v>-20</v>
      </c>
      <c r="AX112" s="180">
        <f t="shared" si="16"/>
        <v>-10.1</v>
      </c>
      <c r="AY112" s="181">
        <f t="shared" si="36"/>
        <v>456.03928827975983</v>
      </c>
      <c r="AZ112" s="182">
        <f t="shared" si="37"/>
        <v>-205.00002649867523</v>
      </c>
      <c r="BA112" s="183">
        <f t="shared" si="38"/>
        <v>117.76241597764634</v>
      </c>
      <c r="BB112" s="182">
        <f>+AM112-AZ112</f>
        <v>205.00002649867523</v>
      </c>
      <c r="BC112" s="184">
        <f t="shared" si="39"/>
        <v>-7.4918904972841194</v>
      </c>
      <c r="BD112" s="184">
        <f t="shared" si="40"/>
        <v>-2.6081095027158794</v>
      </c>
      <c r="BE112" s="374">
        <f t="shared" si="17"/>
        <v>-800.86594994615257</v>
      </c>
      <c r="BF112" s="374">
        <f t="shared" si="18"/>
        <v>-2300.5169045824468</v>
      </c>
      <c r="BG112" s="376">
        <f t="shared" si="41"/>
        <v>800.86594994615257</v>
      </c>
      <c r="BH112" s="376">
        <f t="shared" si="42"/>
        <v>2300.5169045824468</v>
      </c>
      <c r="BJ112" s="229"/>
      <c r="BK112" s="261">
        <v>-9</v>
      </c>
      <c r="BL112" s="546">
        <f t="shared" si="13"/>
        <v>-229.5</v>
      </c>
      <c r="BM112" s="540">
        <f t="shared" si="19"/>
        <v>-229.5</v>
      </c>
      <c r="BN112" s="548">
        <f t="shared" si="14"/>
        <v>-372.09197529059554</v>
      </c>
      <c r="BO112" s="262">
        <f t="shared" si="10"/>
        <v>372.09197529059554</v>
      </c>
      <c r="BP112" s="262">
        <f t="shared" si="11"/>
        <v>10.40802470940443</v>
      </c>
      <c r="BQ112" s="262" t="b">
        <f t="shared" si="12"/>
        <v>0</v>
      </c>
      <c r="BX112" s="50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50"/>
      <c r="CJ112" s="50"/>
      <c r="CK112" s="50"/>
      <c r="CL112" s="50"/>
      <c r="CM112" s="50"/>
    </row>
    <row r="113" spans="2:91" ht="18.75" thickBot="1" x14ac:dyDescent="0.3">
      <c r="B113" s="174">
        <v>4</v>
      </c>
      <c r="C113" s="175"/>
      <c r="D113" s="191"/>
      <c r="E113" s="231"/>
      <c r="F113" s="232"/>
      <c r="G113" s="232"/>
      <c r="H113" s="232"/>
      <c r="I113" s="232"/>
      <c r="J113" s="232"/>
      <c r="K113" s="233"/>
      <c r="L113" s="371"/>
      <c r="M113" s="150"/>
      <c r="N113" s="150"/>
      <c r="O113" s="234">
        <v>304.31020000000001</v>
      </c>
      <c r="P113" s="234">
        <v>68.834131099999993</v>
      </c>
      <c r="Q113" s="150">
        <f t="shared" si="43"/>
        <v>68.834131099999993</v>
      </c>
      <c r="R113" s="150">
        <f t="shared" si="20"/>
        <v>34.417065549999997</v>
      </c>
      <c r="S113" s="150">
        <f t="shared" si="21"/>
        <v>0.56521273844618192</v>
      </c>
      <c r="T113" s="150">
        <f t="shared" si="22"/>
        <v>172.00000147910532</v>
      </c>
      <c r="U113" s="150">
        <f t="shared" si="23"/>
        <v>344.00000295821064</v>
      </c>
      <c r="V113" s="150">
        <f>+C110+D111+D112+(D113/2)</f>
        <v>0</v>
      </c>
      <c r="W113" s="150">
        <f t="shared" si="24"/>
        <v>0</v>
      </c>
      <c r="X113" s="150">
        <f t="shared" si="25"/>
        <v>0</v>
      </c>
      <c r="Y113" s="150">
        <f t="shared" si="26"/>
        <v>205.00000968766321</v>
      </c>
      <c r="Z113" s="150">
        <f t="shared" si="44"/>
        <v>205.00000968766321</v>
      </c>
      <c r="AA113" s="150">
        <f t="shared" si="15"/>
        <v>205.00000968766321</v>
      </c>
      <c r="AB113" s="150"/>
      <c r="AC113" s="150">
        <f t="shared" si="27"/>
        <v>0</v>
      </c>
      <c r="AD113" s="150"/>
      <c r="AE113" s="150"/>
      <c r="AF113" s="150"/>
      <c r="AG113" s="150"/>
      <c r="AH113" s="150"/>
      <c r="AI113" s="150"/>
      <c r="AJ113" s="517" t="b">
        <f>IF(AK113=4,AM113)</f>
        <v>0</v>
      </c>
      <c r="AK113" s="517">
        <f t="shared" si="28"/>
        <v>1</v>
      </c>
      <c r="AL113" s="516">
        <f>IF(AC113=0,0,4)</f>
        <v>0</v>
      </c>
      <c r="AM113" s="156">
        <f>SUM(AC113:AC121)/($B$107-B112)</f>
        <v>0</v>
      </c>
      <c r="AN113" s="177">
        <f>SUM(D111:D113)+$C$110</f>
        <v>0</v>
      </c>
      <c r="AO113" s="373" t="b">
        <f t="shared" si="29"/>
        <v>0</v>
      </c>
      <c r="AP113" s="236">
        <f t="shared" si="30"/>
        <v>50.0025336</v>
      </c>
      <c r="AQ113" s="178">
        <f t="shared" si="45"/>
        <v>0.76607286622080695</v>
      </c>
      <c r="AR113" s="238">
        <f t="shared" si="31"/>
        <v>205.00002649867523</v>
      </c>
      <c r="AS113" s="236">
        <f t="shared" si="32"/>
        <v>55.582943499999999</v>
      </c>
      <c r="AT113" s="179">
        <f t="shared" si="33"/>
        <v>0.82494527551519659</v>
      </c>
      <c r="AU113" s="238">
        <f t="shared" si="34"/>
        <v>251.03926178108458</v>
      </c>
      <c r="AV113" s="180">
        <f t="shared" si="35"/>
        <v>-29.272420806059525</v>
      </c>
      <c r="AW113" s="238">
        <f t="shared" si="46"/>
        <v>-40</v>
      </c>
      <c r="AX113" s="180">
        <f t="shared" si="16"/>
        <v>-30.1</v>
      </c>
      <c r="AY113" s="181">
        <f t="shared" si="36"/>
        <v>456.03928827975983</v>
      </c>
      <c r="AZ113" s="182">
        <f t="shared" si="37"/>
        <v>-205.00002649867523</v>
      </c>
      <c r="BA113" s="183">
        <f t="shared" si="38"/>
        <v>175.7276056926157</v>
      </c>
      <c r="BB113" s="182">
        <f t="shared" ref="BB113:BB121" si="47">+AM113-AZ113</f>
        <v>205.00002649867523</v>
      </c>
      <c r="BC113" s="184">
        <f t="shared" si="39"/>
        <v>-18.501435869045302</v>
      </c>
      <c r="BD113" s="184">
        <f t="shared" si="40"/>
        <v>-11.598564130954701</v>
      </c>
      <c r="BE113" s="374">
        <f t="shared" si="17"/>
        <v>-324.29915399369526</v>
      </c>
      <c r="BF113" s="374">
        <f t="shared" si="18"/>
        <v>-517.30541231280222</v>
      </c>
      <c r="BG113" s="376">
        <f t="shared" si="41"/>
        <v>324.29915399369526</v>
      </c>
      <c r="BH113" s="376">
        <f t="shared" si="42"/>
        <v>517.30541231280222</v>
      </c>
      <c r="BJ113" s="229"/>
      <c r="BK113" s="261">
        <v>-8</v>
      </c>
      <c r="BL113" s="546">
        <f t="shared" si="13"/>
        <v>-204</v>
      </c>
      <c r="BM113" s="540">
        <f t="shared" si="19"/>
        <v>-204</v>
      </c>
      <c r="BN113" s="548">
        <f t="shared" si="14"/>
        <v>-346.59197529059554</v>
      </c>
      <c r="BO113" s="262">
        <f t="shared" si="10"/>
        <v>346.59197529059554</v>
      </c>
      <c r="BP113" s="262">
        <f t="shared" si="11"/>
        <v>10.40802470940443</v>
      </c>
      <c r="BQ113" s="262" t="b">
        <f t="shared" si="12"/>
        <v>0</v>
      </c>
      <c r="BX113" s="50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50"/>
      <c r="CJ113" s="50"/>
      <c r="CK113" s="50"/>
      <c r="CL113" s="50"/>
      <c r="CM113" s="50"/>
    </row>
    <row r="114" spans="2:91" ht="18.75" thickBot="1" x14ac:dyDescent="0.3">
      <c r="B114" s="174">
        <v>5</v>
      </c>
      <c r="C114" s="175"/>
      <c r="D114" s="191"/>
      <c r="E114" s="231"/>
      <c r="F114" s="232"/>
      <c r="G114" s="232"/>
      <c r="H114" s="232"/>
      <c r="I114" s="232"/>
      <c r="J114" s="232"/>
      <c r="K114" s="233"/>
      <c r="L114" s="371"/>
      <c r="M114" s="150"/>
      <c r="N114" s="150"/>
      <c r="O114" s="234">
        <v>304.31020000000001</v>
      </c>
      <c r="P114" s="234">
        <v>68.834131099999993</v>
      </c>
      <c r="Q114" s="150">
        <f t="shared" si="43"/>
        <v>68.834131099999993</v>
      </c>
      <c r="R114" s="150">
        <f t="shared" si="20"/>
        <v>34.417065549999997</v>
      </c>
      <c r="S114" s="150">
        <f t="shared" si="21"/>
        <v>0.56521273844618192</v>
      </c>
      <c r="T114" s="150">
        <f t="shared" si="22"/>
        <v>172.00000147910532</v>
      </c>
      <c r="U114" s="150">
        <f t="shared" si="23"/>
        <v>344.00000295821064</v>
      </c>
      <c r="V114" s="150">
        <f>+C110+D111+D112+D113+(D114/2)</f>
        <v>0</v>
      </c>
      <c r="W114" s="150">
        <f t="shared" si="24"/>
        <v>0</v>
      </c>
      <c r="X114" s="150">
        <f t="shared" si="25"/>
        <v>0</v>
      </c>
      <c r="Y114" s="150">
        <f t="shared" si="26"/>
        <v>205.00000968766321</v>
      </c>
      <c r="Z114" s="150">
        <f t="shared" si="44"/>
        <v>205.00000968766321</v>
      </c>
      <c r="AA114" s="150">
        <f t="shared" si="15"/>
        <v>205.00000968766321</v>
      </c>
      <c r="AB114" s="150"/>
      <c r="AC114" s="150">
        <f t="shared" si="27"/>
        <v>0</v>
      </c>
      <c r="AD114" s="150"/>
      <c r="AE114" s="150"/>
      <c r="AF114" s="150"/>
      <c r="AG114" s="150"/>
      <c r="AH114" s="150"/>
      <c r="AI114" s="150"/>
      <c r="AJ114" s="517" t="b">
        <f>IF(AK114=5,AM114)</f>
        <v>0</v>
      </c>
      <c r="AK114" s="517">
        <f t="shared" si="28"/>
        <v>1</v>
      </c>
      <c r="AL114" s="516">
        <f>IF(AC114=0,0,5)</f>
        <v>0</v>
      </c>
      <c r="AM114" s="156">
        <f>SUM(AC114:AC121)/($B$107-B113)</f>
        <v>0</v>
      </c>
      <c r="AN114" s="177">
        <f>SUM(D111:D114)+$C$110</f>
        <v>0</v>
      </c>
      <c r="AO114" s="373" t="b">
        <f t="shared" si="29"/>
        <v>0</v>
      </c>
      <c r="AP114" s="236">
        <f t="shared" si="30"/>
        <v>50.0025336</v>
      </c>
      <c r="AQ114" s="178">
        <f t="shared" si="45"/>
        <v>0.76607286622080695</v>
      </c>
      <c r="AR114" s="238">
        <f t="shared" si="31"/>
        <v>205.00002649867523</v>
      </c>
      <c r="AS114" s="236">
        <f t="shared" si="32"/>
        <v>55.582943499999999</v>
      </c>
      <c r="AT114" s="179">
        <f t="shared" si="33"/>
        <v>0.82494527551519659</v>
      </c>
      <c r="AU114" s="238">
        <f t="shared" si="34"/>
        <v>251.03926178108458</v>
      </c>
      <c r="AV114" s="180">
        <f t="shared" si="35"/>
        <v>-17.586823677892049</v>
      </c>
      <c r="AW114" s="238">
        <f t="shared" si="46"/>
        <v>-60</v>
      </c>
      <c r="AX114" s="180">
        <f t="shared" si="16"/>
        <v>-50.1</v>
      </c>
      <c r="AY114" s="181">
        <f t="shared" si="36"/>
        <v>456.03928827975983</v>
      </c>
      <c r="AZ114" s="182">
        <f t="shared" si="37"/>
        <v>-205.00002649867523</v>
      </c>
      <c r="BA114" s="183">
        <f t="shared" si="38"/>
        <v>187.41320282078317</v>
      </c>
      <c r="BB114" s="182">
        <f t="shared" si="47"/>
        <v>205.00002649867523</v>
      </c>
      <c r="BC114" s="184">
        <f t="shared" si="39"/>
        <v>-29.510981240806483</v>
      </c>
      <c r="BD114" s="184">
        <f t="shared" si="40"/>
        <v>-20.589018759193522</v>
      </c>
      <c r="BE114" s="374">
        <f t="shared" si="17"/>
        <v>-203.31414774184006</v>
      </c>
      <c r="BF114" s="374">
        <f t="shared" si="18"/>
        <v>-291.41748182248108</v>
      </c>
      <c r="BG114" s="376">
        <f t="shared" si="41"/>
        <v>203.31414774184006</v>
      </c>
      <c r="BH114" s="376">
        <f t="shared" si="42"/>
        <v>291.41748182248108</v>
      </c>
      <c r="BJ114" s="229"/>
      <c r="BK114" s="261">
        <v>-7</v>
      </c>
      <c r="BL114" s="546">
        <f t="shared" si="13"/>
        <v>-178.5</v>
      </c>
      <c r="BM114" s="540">
        <f t="shared" si="19"/>
        <v>-178.5</v>
      </c>
      <c r="BN114" s="548">
        <f t="shared" si="14"/>
        <v>-321.09197529059554</v>
      </c>
      <c r="BO114" s="262">
        <f t="shared" si="10"/>
        <v>321.09197529059554</v>
      </c>
      <c r="BP114" s="262">
        <f t="shared" si="11"/>
        <v>10.40802470940443</v>
      </c>
      <c r="BQ114" s="262" t="b">
        <f t="shared" si="12"/>
        <v>0</v>
      </c>
      <c r="BX114" s="18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50"/>
      <c r="CJ114" s="50"/>
      <c r="CK114" s="50"/>
      <c r="CL114" s="50"/>
      <c r="CM114" s="50"/>
    </row>
    <row r="115" spans="2:91" ht="18.75" thickBot="1" x14ac:dyDescent="0.3">
      <c r="B115" s="174">
        <v>6</v>
      </c>
      <c r="C115" s="175"/>
      <c r="D115" s="191"/>
      <c r="E115" s="231"/>
      <c r="F115" s="232"/>
      <c r="G115" s="232"/>
      <c r="H115" s="232"/>
      <c r="I115" s="232"/>
      <c r="J115" s="232"/>
      <c r="K115" s="233"/>
      <c r="L115" s="371"/>
      <c r="M115" s="150"/>
      <c r="N115" s="150"/>
      <c r="O115" s="234">
        <v>304.31020000000001</v>
      </c>
      <c r="P115" s="234">
        <v>68.834131099999993</v>
      </c>
      <c r="Q115" s="150">
        <f t="shared" si="43"/>
        <v>68.834131099999993</v>
      </c>
      <c r="R115" s="150">
        <f t="shared" si="20"/>
        <v>34.417065549999997</v>
      </c>
      <c r="S115" s="150">
        <f t="shared" si="21"/>
        <v>0.56521273844618192</v>
      </c>
      <c r="T115" s="150">
        <f t="shared" si="22"/>
        <v>172.00000147910532</v>
      </c>
      <c r="U115" s="150">
        <f t="shared" si="23"/>
        <v>344.00000295821064</v>
      </c>
      <c r="V115" s="150">
        <f>+C110+D111+D112+D113+D114+(D115/2)</f>
        <v>0</v>
      </c>
      <c r="W115" s="150">
        <f t="shared" si="24"/>
        <v>0</v>
      </c>
      <c r="X115" s="150">
        <f t="shared" si="25"/>
        <v>0</v>
      </c>
      <c r="Y115" s="150">
        <f t="shared" si="26"/>
        <v>205.00000968766321</v>
      </c>
      <c r="Z115" s="150">
        <f t="shared" si="44"/>
        <v>205.00000968766321</v>
      </c>
      <c r="AA115" s="150">
        <f t="shared" si="15"/>
        <v>205.00000968766321</v>
      </c>
      <c r="AB115" s="150"/>
      <c r="AC115" s="150">
        <f t="shared" si="27"/>
        <v>0</v>
      </c>
      <c r="AD115" s="150"/>
      <c r="AE115" s="150"/>
      <c r="AF115" s="150"/>
      <c r="AG115" s="150"/>
      <c r="AH115" s="150"/>
      <c r="AI115" s="150"/>
      <c r="AJ115" s="517" t="b">
        <f>IF(AK115=6,AM115)</f>
        <v>0</v>
      </c>
      <c r="AK115" s="517">
        <f t="shared" si="28"/>
        <v>1</v>
      </c>
      <c r="AL115" s="516">
        <f>IF(AC115=0,0,6)</f>
        <v>0</v>
      </c>
      <c r="AM115" s="156">
        <f>SUM(AC115:AC121)/($B$107-B114)</f>
        <v>0</v>
      </c>
      <c r="AN115" s="177">
        <f>SUM(D111:D115)+$C$110</f>
        <v>0</v>
      </c>
      <c r="AO115" s="373" t="b">
        <f t="shared" si="29"/>
        <v>0</v>
      </c>
      <c r="AP115" s="236">
        <f t="shared" si="30"/>
        <v>50.0025336</v>
      </c>
      <c r="AQ115" s="178">
        <f t="shared" si="45"/>
        <v>0.76607286622080695</v>
      </c>
      <c r="AR115" s="238">
        <f t="shared" si="31"/>
        <v>205.00002649867523</v>
      </c>
      <c r="AS115" s="236">
        <f t="shared" si="32"/>
        <v>55.582943499999999</v>
      </c>
      <c r="AT115" s="179">
        <f t="shared" si="33"/>
        <v>0.82494527551519659</v>
      </c>
      <c r="AU115" s="238">
        <f t="shared" si="34"/>
        <v>251.03926178108458</v>
      </c>
      <c r="AV115" s="180">
        <f t="shared" si="35"/>
        <v>-12.569184968079769</v>
      </c>
      <c r="AW115" s="238">
        <f t="shared" si="46"/>
        <v>-80</v>
      </c>
      <c r="AX115" s="180">
        <f t="shared" si="16"/>
        <v>-70.099999999999994</v>
      </c>
      <c r="AY115" s="181">
        <f t="shared" si="36"/>
        <v>456.03928827975983</v>
      </c>
      <c r="AZ115" s="182">
        <f t="shared" si="37"/>
        <v>-205.00002649867523</v>
      </c>
      <c r="BA115" s="183">
        <f t="shared" si="38"/>
        <v>192.43084153059544</v>
      </c>
      <c r="BB115" s="182">
        <f t="shared" si="47"/>
        <v>205.00002649867523</v>
      </c>
      <c r="BC115" s="184">
        <f t="shared" si="39"/>
        <v>-40.520526612567657</v>
      </c>
      <c r="BD115" s="184">
        <f t="shared" si="40"/>
        <v>-29.579473387432337</v>
      </c>
      <c r="BE115" s="374">
        <f t="shared" si="17"/>
        <v>-148.07310026763247</v>
      </c>
      <c r="BF115" s="374">
        <f t="shared" si="18"/>
        <v>-202.84336781158746</v>
      </c>
      <c r="BG115" s="376">
        <f t="shared" si="41"/>
        <v>148.07310026763247</v>
      </c>
      <c r="BH115" s="376">
        <f t="shared" si="42"/>
        <v>202.84336781158746</v>
      </c>
      <c r="BJ115" s="229"/>
      <c r="BK115" s="261">
        <v>-6</v>
      </c>
      <c r="BL115" s="546">
        <f t="shared" si="13"/>
        <v>-153</v>
      </c>
      <c r="BM115" s="540">
        <f t="shared" si="19"/>
        <v>-153</v>
      </c>
      <c r="BN115" s="548">
        <f t="shared" si="14"/>
        <v>-295.59197529059554</v>
      </c>
      <c r="BO115" s="262">
        <f t="shared" si="10"/>
        <v>295.59197529059554</v>
      </c>
      <c r="BP115" s="262">
        <f t="shared" si="11"/>
        <v>10.40802470940443</v>
      </c>
      <c r="BQ115" s="262" t="b">
        <f t="shared" si="12"/>
        <v>0</v>
      </c>
      <c r="BX115" s="18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50"/>
      <c r="CJ115" s="50"/>
      <c r="CK115" s="50"/>
      <c r="CL115" s="50"/>
      <c r="CM115" s="50"/>
    </row>
    <row r="116" spans="2:91" ht="18.75" thickBot="1" x14ac:dyDescent="0.3">
      <c r="B116" s="174">
        <v>7</v>
      </c>
      <c r="C116" s="175"/>
      <c r="D116" s="191"/>
      <c r="E116" s="231"/>
      <c r="F116" s="232"/>
      <c r="G116" s="232"/>
      <c r="H116" s="232"/>
      <c r="I116" s="232"/>
      <c r="J116" s="232"/>
      <c r="K116" s="233"/>
      <c r="L116" s="371"/>
      <c r="M116" s="150"/>
      <c r="N116" s="150"/>
      <c r="O116" s="234">
        <v>304.31020000000001</v>
      </c>
      <c r="P116" s="234">
        <v>68.834131099999993</v>
      </c>
      <c r="Q116" s="150">
        <f t="shared" si="43"/>
        <v>68.834131099999993</v>
      </c>
      <c r="R116" s="150">
        <f t="shared" si="20"/>
        <v>34.417065549999997</v>
      </c>
      <c r="S116" s="150">
        <f t="shared" si="21"/>
        <v>0.56521273844618192</v>
      </c>
      <c r="T116" s="150">
        <f t="shared" si="22"/>
        <v>172.00000147910532</v>
      </c>
      <c r="U116" s="150">
        <f t="shared" si="23"/>
        <v>344.00000295821064</v>
      </c>
      <c r="V116" s="150">
        <f>+C110+D111+D112+D113+D114+D115+(D116/2)</f>
        <v>0</v>
      </c>
      <c r="W116" s="150">
        <f t="shared" si="24"/>
        <v>0</v>
      </c>
      <c r="X116" s="150">
        <f t="shared" si="25"/>
        <v>0</v>
      </c>
      <c r="Y116" s="150">
        <f t="shared" si="26"/>
        <v>205.00000968766321</v>
      </c>
      <c r="Z116" s="150">
        <f t="shared" si="44"/>
        <v>205.00000968766321</v>
      </c>
      <c r="AA116" s="150">
        <f t="shared" si="15"/>
        <v>205.00000968766321</v>
      </c>
      <c r="AB116" s="150"/>
      <c r="AC116" s="150">
        <f t="shared" si="27"/>
        <v>0</v>
      </c>
      <c r="AD116" s="150"/>
      <c r="AE116" s="150"/>
      <c r="AF116" s="150"/>
      <c r="AG116" s="150"/>
      <c r="AH116" s="150"/>
      <c r="AI116" s="150"/>
      <c r="AJ116" s="517" t="b">
        <f>IF(AK116=7,AM116)</f>
        <v>0</v>
      </c>
      <c r="AK116" s="517">
        <f t="shared" si="28"/>
        <v>1</v>
      </c>
      <c r="AL116" s="516">
        <f>IF(AC116=0,0,7)</f>
        <v>0</v>
      </c>
      <c r="AM116" s="156">
        <f>SUM(AC116:AC121)/($B$107-B115)</f>
        <v>0</v>
      </c>
      <c r="AN116" s="177">
        <f>SUM(D111:D116)+$C$110</f>
        <v>0</v>
      </c>
      <c r="AO116" s="373" t="b">
        <f t="shared" si="29"/>
        <v>0</v>
      </c>
      <c r="AP116" s="236">
        <f t="shared" si="30"/>
        <v>50.0025336</v>
      </c>
      <c r="AQ116" s="178">
        <f t="shared" si="45"/>
        <v>0.76607286622080695</v>
      </c>
      <c r="AR116" s="238">
        <f t="shared" si="31"/>
        <v>205.00002649867523</v>
      </c>
      <c r="AS116" s="236">
        <f t="shared" si="32"/>
        <v>55.582943499999999</v>
      </c>
      <c r="AT116" s="179">
        <f t="shared" si="33"/>
        <v>0.82494527551519659</v>
      </c>
      <c r="AU116" s="238">
        <f t="shared" si="34"/>
        <v>251.03926178108458</v>
      </c>
      <c r="AV116" s="180">
        <f t="shared" si="35"/>
        <v>-9.7791328109033504</v>
      </c>
      <c r="AW116" s="238">
        <f t="shared" si="46"/>
        <v>-100</v>
      </c>
      <c r="AX116" s="180">
        <f t="shared" si="16"/>
        <v>-90.1</v>
      </c>
      <c r="AY116" s="181">
        <f t="shared" si="36"/>
        <v>456.03928827975983</v>
      </c>
      <c r="AZ116" s="182">
        <f t="shared" si="37"/>
        <v>-205.00002649867523</v>
      </c>
      <c r="BA116" s="183">
        <f t="shared" si="38"/>
        <v>195.22089368777188</v>
      </c>
      <c r="BB116" s="182">
        <f t="shared" si="47"/>
        <v>205.00002649867523</v>
      </c>
      <c r="BC116" s="184">
        <f t="shared" si="39"/>
        <v>-51.530071984328835</v>
      </c>
      <c r="BD116" s="184">
        <f t="shared" si="40"/>
        <v>-38.569928015671159</v>
      </c>
      <c r="BE116" s="374">
        <f t="shared" si="17"/>
        <v>-116.43686431924064</v>
      </c>
      <c r="BF116" s="374">
        <f t="shared" si="18"/>
        <v>-155.56160741503507</v>
      </c>
      <c r="BG116" s="376">
        <f t="shared" si="41"/>
        <v>116.43686431924064</v>
      </c>
      <c r="BH116" s="376">
        <f t="shared" si="42"/>
        <v>155.56160741503507</v>
      </c>
      <c r="BJ116" s="229"/>
      <c r="BK116" s="261">
        <v>-5</v>
      </c>
      <c r="BL116" s="546">
        <f t="shared" si="13"/>
        <v>-127.5</v>
      </c>
      <c r="BM116" s="540">
        <f t="shared" si="19"/>
        <v>-127.5</v>
      </c>
      <c r="BN116" s="548">
        <f t="shared" si="14"/>
        <v>-270.09197529059554</v>
      </c>
      <c r="BO116" s="262">
        <f t="shared" si="10"/>
        <v>270.09197529059554</v>
      </c>
      <c r="BP116" s="262">
        <f t="shared" si="11"/>
        <v>10.40802470940443</v>
      </c>
      <c r="BQ116" s="262" t="b">
        <f t="shared" si="12"/>
        <v>0</v>
      </c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</row>
    <row r="117" spans="2:91" ht="18.75" thickBot="1" x14ac:dyDescent="0.3">
      <c r="B117" s="174">
        <v>8</v>
      </c>
      <c r="C117" s="175"/>
      <c r="D117" s="191"/>
      <c r="E117" s="231"/>
      <c r="F117" s="232"/>
      <c r="G117" s="232"/>
      <c r="H117" s="232"/>
      <c r="I117" s="232"/>
      <c r="J117" s="232"/>
      <c r="K117" s="233"/>
      <c r="L117" s="371"/>
      <c r="M117" s="150"/>
      <c r="N117" s="150"/>
      <c r="O117" s="234">
        <v>304.31020000000001</v>
      </c>
      <c r="P117" s="234">
        <v>68.834131099999993</v>
      </c>
      <c r="Q117" s="150">
        <f t="shared" si="43"/>
        <v>68.834131099999993</v>
      </c>
      <c r="R117" s="150">
        <f t="shared" si="20"/>
        <v>34.417065549999997</v>
      </c>
      <c r="S117" s="150">
        <f t="shared" si="21"/>
        <v>0.56521273844618192</v>
      </c>
      <c r="T117" s="150">
        <f t="shared" si="22"/>
        <v>172.00000147910532</v>
      </c>
      <c r="U117" s="150">
        <f t="shared" si="23"/>
        <v>344.00000295821064</v>
      </c>
      <c r="V117" s="150">
        <f>+C110+D111+D112+D113+D114+D115+D116+(D117/2)</f>
        <v>0</v>
      </c>
      <c r="W117" s="150">
        <f t="shared" si="24"/>
        <v>0</v>
      </c>
      <c r="X117" s="150">
        <f t="shared" si="25"/>
        <v>0</v>
      </c>
      <c r="Y117" s="150">
        <f t="shared" si="26"/>
        <v>205.00000968766321</v>
      </c>
      <c r="Z117" s="150">
        <f t="shared" si="44"/>
        <v>205.00000968766321</v>
      </c>
      <c r="AA117" s="150">
        <f t="shared" si="15"/>
        <v>205.00000968766321</v>
      </c>
      <c r="AB117" s="150"/>
      <c r="AC117" s="150">
        <f t="shared" si="27"/>
        <v>0</v>
      </c>
      <c r="AD117" s="150"/>
      <c r="AE117" s="150"/>
      <c r="AF117" s="150"/>
      <c r="AG117" s="150"/>
      <c r="AH117" s="150"/>
      <c r="AI117" s="150"/>
      <c r="AJ117" s="517" t="b">
        <f>IF(AK117=8,AM117)</f>
        <v>0</v>
      </c>
      <c r="AK117" s="517">
        <f t="shared" si="28"/>
        <v>1</v>
      </c>
      <c r="AL117" s="516">
        <f>IF(AC117=0,0,8)</f>
        <v>0</v>
      </c>
      <c r="AM117" s="156">
        <f>SUM(AC117:AC121)/($B$107-B116)</f>
        <v>0</v>
      </c>
      <c r="AN117" s="177">
        <f>SUM(D111:D117)+$C$110</f>
        <v>0</v>
      </c>
      <c r="AO117" s="373" t="b">
        <f t="shared" si="29"/>
        <v>0</v>
      </c>
      <c r="AP117" s="236">
        <f t="shared" si="30"/>
        <v>50.0025336</v>
      </c>
      <c r="AQ117" s="178">
        <f t="shared" si="45"/>
        <v>0.76607286622080695</v>
      </c>
      <c r="AR117" s="238">
        <f t="shared" si="31"/>
        <v>205.00002649867523</v>
      </c>
      <c r="AS117" s="236">
        <f t="shared" si="32"/>
        <v>55.582943499999999</v>
      </c>
      <c r="AT117" s="179">
        <f t="shared" si="33"/>
        <v>0.82494527551519659</v>
      </c>
      <c r="AU117" s="238">
        <f t="shared" si="34"/>
        <v>251.03926178108458</v>
      </c>
      <c r="AV117" s="180">
        <f t="shared" si="35"/>
        <v>-8.0027235809481549</v>
      </c>
      <c r="AW117" s="238">
        <f t="shared" si="46"/>
        <v>-120</v>
      </c>
      <c r="AX117" s="180">
        <f t="shared" si="16"/>
        <v>-110.1</v>
      </c>
      <c r="AY117" s="181">
        <f t="shared" si="36"/>
        <v>456.03928827975983</v>
      </c>
      <c r="AZ117" s="182">
        <f t="shared" si="37"/>
        <v>-205.00002649867523</v>
      </c>
      <c r="BA117" s="183">
        <f t="shared" si="38"/>
        <v>196.99730291772707</v>
      </c>
      <c r="BB117" s="182">
        <f t="shared" si="47"/>
        <v>205.00002649867523</v>
      </c>
      <c r="BC117" s="184">
        <f t="shared" si="39"/>
        <v>-62.539617356090005</v>
      </c>
      <c r="BD117" s="184">
        <f t="shared" si="40"/>
        <v>-47.560382643909982</v>
      </c>
      <c r="BE117" s="374">
        <f t="shared" si="17"/>
        <v>-95.93918628950054</v>
      </c>
      <c r="BF117" s="374">
        <f t="shared" si="18"/>
        <v>-126.15541899489509</v>
      </c>
      <c r="BG117" s="376">
        <f t="shared" si="41"/>
        <v>95.93918628950054</v>
      </c>
      <c r="BH117" s="376">
        <f t="shared" si="42"/>
        <v>126.15541899489509</v>
      </c>
      <c r="BJ117" s="229"/>
      <c r="BK117" s="261">
        <v>-4</v>
      </c>
      <c r="BL117" s="546">
        <f t="shared" si="13"/>
        <v>-102</v>
      </c>
      <c r="BM117" s="540">
        <f t="shared" si="19"/>
        <v>-102</v>
      </c>
      <c r="BN117" s="548">
        <f t="shared" si="14"/>
        <v>-244.59197529059557</v>
      </c>
      <c r="BO117" s="262">
        <f t="shared" si="10"/>
        <v>244.59197529059557</v>
      </c>
      <c r="BP117" s="262">
        <f t="shared" si="11"/>
        <v>10.40802470940443</v>
      </c>
      <c r="BQ117" s="262" t="b">
        <f t="shared" si="12"/>
        <v>0</v>
      </c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</row>
    <row r="118" spans="2:91" ht="18.75" thickBot="1" x14ac:dyDescent="0.3">
      <c r="B118" s="174">
        <v>9</v>
      </c>
      <c r="C118" s="175"/>
      <c r="D118" s="191"/>
      <c r="E118" s="231"/>
      <c r="F118" s="232"/>
      <c r="G118" s="232"/>
      <c r="H118" s="232"/>
      <c r="I118" s="232"/>
      <c r="J118" s="232"/>
      <c r="K118" s="233"/>
      <c r="L118" s="371"/>
      <c r="M118" s="150"/>
      <c r="N118" s="150"/>
      <c r="O118" s="234">
        <v>304.31020000000001</v>
      </c>
      <c r="P118" s="234">
        <v>68.834131099999993</v>
      </c>
      <c r="Q118" s="150">
        <f t="shared" si="43"/>
        <v>68.834131099999993</v>
      </c>
      <c r="R118" s="150">
        <f t="shared" si="20"/>
        <v>34.417065549999997</v>
      </c>
      <c r="S118" s="150">
        <f t="shared" si="21"/>
        <v>0.56521273844618192</v>
      </c>
      <c r="T118" s="150">
        <f t="shared" si="22"/>
        <v>172.00000147910532</v>
      </c>
      <c r="U118" s="150">
        <f t="shared" si="23"/>
        <v>344.00000295821064</v>
      </c>
      <c r="V118" s="150">
        <f>+C110+D111+D112+D113+D114+D115+D116+D117+(D118/2)</f>
        <v>0</v>
      </c>
      <c r="W118" s="150">
        <f t="shared" si="24"/>
        <v>0</v>
      </c>
      <c r="X118" s="150">
        <f t="shared" si="25"/>
        <v>0</v>
      </c>
      <c r="Y118" s="150">
        <f t="shared" si="26"/>
        <v>205.00000968766321</v>
      </c>
      <c r="Z118" s="150">
        <f t="shared" si="44"/>
        <v>205.00000968766321</v>
      </c>
      <c r="AA118" s="150">
        <f t="shared" si="15"/>
        <v>205.00000968766321</v>
      </c>
      <c r="AB118" s="150"/>
      <c r="AC118" s="150">
        <f t="shared" si="27"/>
        <v>0</v>
      </c>
      <c r="AD118" s="150"/>
      <c r="AE118" s="150"/>
      <c r="AF118" s="150"/>
      <c r="AG118" s="150"/>
      <c r="AH118" s="150"/>
      <c r="AI118" s="150"/>
      <c r="AJ118" s="517" t="b">
        <f>IF(AK118=9,AM118)</f>
        <v>0</v>
      </c>
      <c r="AK118" s="517">
        <f t="shared" si="28"/>
        <v>1</v>
      </c>
      <c r="AL118" s="516">
        <f>IF(AC118=0,0,9)</f>
        <v>0</v>
      </c>
      <c r="AM118" s="156">
        <f>SUM(AC118:AC121)/($B$107-B117)</f>
        <v>0</v>
      </c>
      <c r="AN118" s="177">
        <f>SUM(D111:D118)+$C$110</f>
        <v>0</v>
      </c>
      <c r="AO118" s="373" t="b">
        <f t="shared" si="29"/>
        <v>0</v>
      </c>
      <c r="AP118" s="236">
        <f t="shared" si="30"/>
        <v>50.0025336</v>
      </c>
      <c r="AQ118" s="178">
        <f t="shared" si="45"/>
        <v>0.76607286622080695</v>
      </c>
      <c r="AR118" s="238">
        <f t="shared" si="31"/>
        <v>205.00002649867523</v>
      </c>
      <c r="AS118" s="236">
        <f t="shared" si="32"/>
        <v>55.582943499999999</v>
      </c>
      <c r="AT118" s="179">
        <f t="shared" si="33"/>
        <v>0.82494527551519659</v>
      </c>
      <c r="AU118" s="238">
        <f t="shared" si="34"/>
        <v>251.03926178108458</v>
      </c>
      <c r="AV118" s="180">
        <f t="shared" si="35"/>
        <v>-6.7724816776509744</v>
      </c>
      <c r="AW118" s="238">
        <f t="shared" si="46"/>
        <v>-140</v>
      </c>
      <c r="AX118" s="180">
        <f t="shared" si="16"/>
        <v>-130.1</v>
      </c>
      <c r="AY118" s="181">
        <f t="shared" si="36"/>
        <v>456.03928827975983</v>
      </c>
      <c r="AZ118" s="182">
        <f t="shared" si="37"/>
        <v>-205.00002649867523</v>
      </c>
      <c r="BA118" s="183">
        <f t="shared" si="38"/>
        <v>198.22754482102425</v>
      </c>
      <c r="BB118" s="182">
        <f t="shared" si="47"/>
        <v>205.00002649867523</v>
      </c>
      <c r="BC118" s="184">
        <f t="shared" si="39"/>
        <v>-73.549162727851197</v>
      </c>
      <c r="BD118" s="184">
        <f t="shared" si="40"/>
        <v>-56.550837272148797</v>
      </c>
      <c r="BE118" s="374">
        <f t="shared" si="17"/>
        <v>-81.578087057243309</v>
      </c>
      <c r="BF118" s="374">
        <f t="shared" si="18"/>
        <v>-106.09922486426193</v>
      </c>
      <c r="BG118" s="376">
        <f t="shared" si="41"/>
        <v>81.578087057243309</v>
      </c>
      <c r="BH118" s="376">
        <f t="shared" si="42"/>
        <v>106.09922486426193</v>
      </c>
      <c r="BJ118" s="229"/>
      <c r="BK118" s="261">
        <v>-3</v>
      </c>
      <c r="BL118" s="546">
        <f t="shared" si="13"/>
        <v>-76.5</v>
      </c>
      <c r="BM118" s="540">
        <f t="shared" si="19"/>
        <v>-76.5</v>
      </c>
      <c r="BN118" s="548">
        <f t="shared" si="14"/>
        <v>-219.09197529059557</v>
      </c>
      <c r="BO118" s="262">
        <f t="shared" si="10"/>
        <v>219.09197529059557</v>
      </c>
      <c r="BP118" s="262">
        <f t="shared" si="11"/>
        <v>10.40802470940443</v>
      </c>
      <c r="BQ118" s="262" t="b">
        <f t="shared" si="12"/>
        <v>0</v>
      </c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</row>
    <row r="119" spans="2:91" ht="18.75" thickBot="1" x14ac:dyDescent="0.3">
      <c r="B119" s="174">
        <v>10</v>
      </c>
      <c r="C119" s="175"/>
      <c r="D119" s="191"/>
      <c r="E119" s="231"/>
      <c r="F119" s="232"/>
      <c r="G119" s="232"/>
      <c r="H119" s="232"/>
      <c r="I119" s="232"/>
      <c r="J119" s="232"/>
      <c r="K119" s="233"/>
      <c r="L119" s="371"/>
      <c r="M119" s="150"/>
      <c r="N119" s="150"/>
      <c r="O119" s="234">
        <v>304.31020000000001</v>
      </c>
      <c r="P119" s="234">
        <v>68.834131099999993</v>
      </c>
      <c r="Q119" s="150">
        <f t="shared" si="43"/>
        <v>68.834131099999993</v>
      </c>
      <c r="R119" s="150">
        <f t="shared" si="20"/>
        <v>34.417065549999997</v>
      </c>
      <c r="S119" s="150">
        <f t="shared" si="21"/>
        <v>0.56521273844618192</v>
      </c>
      <c r="T119" s="150">
        <f t="shared" si="22"/>
        <v>172.00000147910532</v>
      </c>
      <c r="U119" s="150">
        <f t="shared" si="23"/>
        <v>344.00000295821064</v>
      </c>
      <c r="V119" s="150">
        <f>+C110+D111+D112+D113+D114+D115+D116+D117+D118+(D119/2)</f>
        <v>0</v>
      </c>
      <c r="W119" s="150">
        <f t="shared" si="24"/>
        <v>0</v>
      </c>
      <c r="X119" s="150">
        <f t="shared" si="25"/>
        <v>0</v>
      </c>
      <c r="Y119" s="150">
        <f t="shared" si="26"/>
        <v>205.00000968766321</v>
      </c>
      <c r="Z119" s="150">
        <f t="shared" si="44"/>
        <v>205.00000968766321</v>
      </c>
      <c r="AA119" s="150">
        <f t="shared" si="15"/>
        <v>205.00000968766321</v>
      </c>
      <c r="AB119" s="150"/>
      <c r="AC119" s="150">
        <f t="shared" si="27"/>
        <v>0</v>
      </c>
      <c r="AD119" s="150"/>
      <c r="AE119" s="150"/>
      <c r="AF119" s="150"/>
      <c r="AG119" s="150"/>
      <c r="AH119" s="150"/>
      <c r="AI119" s="150"/>
      <c r="AJ119" s="517" t="b">
        <f>IF(AK119=10,AM119)</f>
        <v>0</v>
      </c>
      <c r="AK119" s="517">
        <f t="shared" si="28"/>
        <v>1</v>
      </c>
      <c r="AL119" s="516">
        <f>IF(AC119=0,0,10)</f>
        <v>0</v>
      </c>
      <c r="AM119" s="156">
        <f>SUM(AC119:AC121)/($B$107-B118)</f>
        <v>0</v>
      </c>
      <c r="AN119" s="177">
        <f>SUM(D111:D119)+$C$110</f>
        <v>0</v>
      </c>
      <c r="AO119" s="373" t="b">
        <f t="shared" si="29"/>
        <v>0</v>
      </c>
      <c r="AP119" s="236">
        <f t="shared" si="30"/>
        <v>50.0025336</v>
      </c>
      <c r="AQ119" s="178">
        <f t="shared" si="45"/>
        <v>0.76607286622080695</v>
      </c>
      <c r="AR119" s="238">
        <f t="shared" si="31"/>
        <v>205.00002649867523</v>
      </c>
      <c r="AS119" s="236">
        <f t="shared" si="32"/>
        <v>55.582943499999999</v>
      </c>
      <c r="AT119" s="179">
        <f t="shared" si="33"/>
        <v>0.82494527551519659</v>
      </c>
      <c r="AU119" s="238">
        <f t="shared" si="34"/>
        <v>251.03926178108458</v>
      </c>
      <c r="AV119" s="180">
        <f t="shared" si="35"/>
        <v>-5.8700857179373207</v>
      </c>
      <c r="AW119" s="238">
        <f t="shared" si="46"/>
        <v>-160</v>
      </c>
      <c r="AX119" s="180">
        <f t="shared" si="16"/>
        <v>-150.1</v>
      </c>
      <c r="AY119" s="181">
        <f t="shared" si="36"/>
        <v>456.03928827975983</v>
      </c>
      <c r="AZ119" s="182">
        <f t="shared" si="37"/>
        <v>-205.00002649867523</v>
      </c>
      <c r="BA119" s="183">
        <f t="shared" si="38"/>
        <v>199.12994078073791</v>
      </c>
      <c r="BB119" s="182">
        <f t="shared" si="47"/>
        <v>205.00002649867523</v>
      </c>
      <c r="BC119" s="184">
        <f t="shared" si="39"/>
        <v>-84.558708099612375</v>
      </c>
      <c r="BD119" s="184">
        <f t="shared" si="40"/>
        <v>-65.54129190038762</v>
      </c>
      <c r="BE119" s="374">
        <f t="shared" si="17"/>
        <v>-70.95661860079322</v>
      </c>
      <c r="BF119" s="374">
        <f t="shared" si="18"/>
        <v>-91.54534227245702</v>
      </c>
      <c r="BG119" s="376">
        <f t="shared" si="41"/>
        <v>70.95661860079322</v>
      </c>
      <c r="BH119" s="376">
        <f t="shared" si="42"/>
        <v>91.54534227245702</v>
      </c>
      <c r="BJ119" s="229"/>
      <c r="BK119" s="261">
        <v>-2</v>
      </c>
      <c r="BL119" s="546">
        <f t="shared" si="13"/>
        <v>-51</v>
      </c>
      <c r="BM119" s="540">
        <f t="shared" si="19"/>
        <v>-51</v>
      </c>
      <c r="BN119" s="548">
        <f t="shared" si="14"/>
        <v>-193.59197529059557</v>
      </c>
      <c r="BO119" s="262">
        <f t="shared" si="10"/>
        <v>193.59197529059557</v>
      </c>
      <c r="BP119" s="262">
        <f t="shared" si="11"/>
        <v>10.40802470940443</v>
      </c>
      <c r="BQ119" s="262" t="b">
        <f t="shared" si="12"/>
        <v>0</v>
      </c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</row>
    <row r="120" spans="2:91" ht="18.75" thickBot="1" x14ac:dyDescent="0.3">
      <c r="B120" s="174">
        <v>11</v>
      </c>
      <c r="C120" s="175"/>
      <c r="D120" s="191"/>
      <c r="E120" s="231"/>
      <c r="F120" s="232"/>
      <c r="G120" s="232"/>
      <c r="H120" s="232"/>
      <c r="I120" s="232"/>
      <c r="J120" s="232"/>
      <c r="K120" s="233"/>
      <c r="L120" s="371"/>
      <c r="M120" s="150"/>
      <c r="N120" s="150"/>
      <c r="O120" s="234">
        <v>304.31020000000001</v>
      </c>
      <c r="P120" s="234">
        <v>68.834131099999993</v>
      </c>
      <c r="Q120" s="150">
        <f t="shared" si="43"/>
        <v>68.834131099999993</v>
      </c>
      <c r="R120" s="150">
        <f t="shared" si="20"/>
        <v>34.417065549999997</v>
      </c>
      <c r="S120" s="150">
        <f t="shared" si="21"/>
        <v>0.56521273844618192</v>
      </c>
      <c r="T120" s="150">
        <f t="shared" si="22"/>
        <v>172.00000147910532</v>
      </c>
      <c r="U120" s="150">
        <f t="shared" si="23"/>
        <v>344.00000295821064</v>
      </c>
      <c r="V120" s="150">
        <f>+C110+D111+D112+D113+D114+D115+D116+D117+D118+D119+(D120/2)</f>
        <v>0</v>
      </c>
      <c r="W120" s="150">
        <f t="shared" si="24"/>
        <v>0</v>
      </c>
      <c r="X120" s="150">
        <f t="shared" si="25"/>
        <v>0</v>
      </c>
      <c r="Y120" s="150">
        <f t="shared" si="26"/>
        <v>205.00000968766321</v>
      </c>
      <c r="Z120" s="150">
        <f t="shared" si="44"/>
        <v>205.00000968766321</v>
      </c>
      <c r="AA120" s="150">
        <f t="shared" si="15"/>
        <v>205.00000968766321</v>
      </c>
      <c r="AB120" s="150"/>
      <c r="AC120" s="150">
        <f t="shared" si="27"/>
        <v>0</v>
      </c>
      <c r="AD120" s="150"/>
      <c r="AE120" s="150"/>
      <c r="AF120" s="150"/>
      <c r="AG120" s="150"/>
      <c r="AH120" s="150"/>
      <c r="AI120" s="150"/>
      <c r="AJ120" s="517" t="b">
        <f>IF(AK120=11,AM120)</f>
        <v>0</v>
      </c>
      <c r="AK120" s="517">
        <f t="shared" si="28"/>
        <v>1</v>
      </c>
      <c r="AL120" s="516">
        <f>IF(AC120=0,0,11)</f>
        <v>0</v>
      </c>
      <c r="AM120" s="156">
        <f>SUM(AC120:AC121)/($B$107-B119)</f>
        <v>0</v>
      </c>
      <c r="AN120" s="177">
        <f>SUM(D111:D120)+$C$110</f>
        <v>0</v>
      </c>
      <c r="AO120" s="373" t="b">
        <f t="shared" si="29"/>
        <v>0</v>
      </c>
      <c r="AP120" s="236">
        <f t="shared" si="30"/>
        <v>50.0025336</v>
      </c>
      <c r="AQ120" s="178">
        <f t="shared" si="45"/>
        <v>0.76607286622080695</v>
      </c>
      <c r="AR120" s="238">
        <f t="shared" si="31"/>
        <v>205.00002649867523</v>
      </c>
      <c r="AS120" s="236">
        <f t="shared" si="32"/>
        <v>55.582943499999999</v>
      </c>
      <c r="AT120" s="179">
        <f t="shared" si="33"/>
        <v>0.82494527551519659</v>
      </c>
      <c r="AU120" s="238">
        <f t="shared" si="34"/>
        <v>251.03926178108458</v>
      </c>
      <c r="AV120" s="180">
        <f t="shared" si="35"/>
        <v>-5.1798933936648544</v>
      </c>
      <c r="AW120" s="238">
        <f t="shared" si="46"/>
        <v>-180</v>
      </c>
      <c r="AX120" s="180">
        <f t="shared" si="16"/>
        <v>-170.1</v>
      </c>
      <c r="AY120" s="181">
        <f t="shared" si="36"/>
        <v>456.03928827975983</v>
      </c>
      <c r="AZ120" s="182">
        <f t="shared" si="37"/>
        <v>-205.00002649867523</v>
      </c>
      <c r="BA120" s="183">
        <f t="shared" si="38"/>
        <v>199.82013310501037</v>
      </c>
      <c r="BB120" s="182">
        <f t="shared" si="47"/>
        <v>205.00002649867523</v>
      </c>
      <c r="BC120" s="184">
        <f t="shared" si="39"/>
        <v>-95.568253471373566</v>
      </c>
      <c r="BD120" s="184">
        <f t="shared" si="40"/>
        <v>-74.531746528626442</v>
      </c>
      <c r="BE120" s="374">
        <f t="shared" si="17"/>
        <v>-62.782354830804088</v>
      </c>
      <c r="BF120" s="374">
        <f t="shared" si="18"/>
        <v>-80.502608344157039</v>
      </c>
      <c r="BG120" s="376">
        <f t="shared" si="41"/>
        <v>62.782354830804088</v>
      </c>
      <c r="BH120" s="376">
        <f t="shared" si="42"/>
        <v>80.502608344157039</v>
      </c>
      <c r="BJ120" s="229"/>
      <c r="BK120" s="261">
        <v>-1</v>
      </c>
      <c r="BL120" s="546">
        <f t="shared" si="13"/>
        <v>-25.5</v>
      </c>
      <c r="BM120" s="540">
        <f t="shared" si="19"/>
        <v>-25.5</v>
      </c>
      <c r="BN120" s="548">
        <f t="shared" si="14"/>
        <v>-168.09197529059557</v>
      </c>
      <c r="BO120" s="262">
        <f t="shared" si="10"/>
        <v>168.09197529059557</v>
      </c>
      <c r="BP120" s="262">
        <f t="shared" si="11"/>
        <v>10.40802470940443</v>
      </c>
      <c r="BQ120" s="262" t="b">
        <f t="shared" si="12"/>
        <v>0</v>
      </c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</row>
    <row r="121" spans="2:91" ht="18.75" thickBot="1" x14ac:dyDescent="0.3">
      <c r="B121" s="174">
        <v>12</v>
      </c>
      <c r="C121" s="175"/>
      <c r="D121" s="191"/>
      <c r="E121" s="231"/>
      <c r="F121" s="232"/>
      <c r="G121" s="232"/>
      <c r="H121" s="232"/>
      <c r="I121" s="232"/>
      <c r="J121" s="232"/>
      <c r="K121" s="233"/>
      <c r="L121" s="371"/>
      <c r="M121" s="150"/>
      <c r="N121" s="150"/>
      <c r="O121" s="234">
        <v>304.31020000000001</v>
      </c>
      <c r="P121" s="234">
        <v>68.834131099999993</v>
      </c>
      <c r="Q121" s="150">
        <f t="shared" si="43"/>
        <v>68.834131099999993</v>
      </c>
      <c r="R121" s="150">
        <f t="shared" si="20"/>
        <v>34.417065549999997</v>
      </c>
      <c r="S121" s="150">
        <f t="shared" si="21"/>
        <v>0.56521273844618192</v>
      </c>
      <c r="T121" s="150">
        <f t="shared" si="22"/>
        <v>172.00000147910532</v>
      </c>
      <c r="U121" s="150">
        <f t="shared" si="23"/>
        <v>344.00000295821064</v>
      </c>
      <c r="V121" s="150">
        <f>+C110+D111+D112+D113+D114+D115+D116+D117+D118+D119+D120+(D121/2)</f>
        <v>0</v>
      </c>
      <c r="W121" s="150">
        <f t="shared" si="24"/>
        <v>0</v>
      </c>
      <c r="X121" s="150">
        <f t="shared" si="25"/>
        <v>0</v>
      </c>
      <c r="Y121" s="150">
        <f t="shared" si="26"/>
        <v>205.00000968766321</v>
      </c>
      <c r="Z121" s="150">
        <f t="shared" si="44"/>
        <v>205.00000968766321</v>
      </c>
      <c r="AA121" s="150">
        <f t="shared" si="15"/>
        <v>205.00000968766321</v>
      </c>
      <c r="AB121" s="150"/>
      <c r="AC121" s="150">
        <f t="shared" si="27"/>
        <v>0</v>
      </c>
      <c r="AD121" s="150"/>
      <c r="AE121" s="150"/>
      <c r="AF121" s="150"/>
      <c r="AG121" s="150"/>
      <c r="AH121" s="150"/>
      <c r="AI121" s="150"/>
      <c r="AJ121" s="517" t="b">
        <f>IF(AK121=12,AM121)</f>
        <v>0</v>
      </c>
      <c r="AK121" s="517">
        <f t="shared" si="28"/>
        <v>1</v>
      </c>
      <c r="AL121" s="516">
        <f>IF(AC121=0,0,12)</f>
        <v>0</v>
      </c>
      <c r="AM121" s="156">
        <f>SUM(AC121)/($B$107-B120)</f>
        <v>0</v>
      </c>
      <c r="AN121" s="177">
        <f>SUM(D111:D121)+$C$110</f>
        <v>0</v>
      </c>
      <c r="AO121" s="373" t="b">
        <f t="shared" si="29"/>
        <v>0</v>
      </c>
      <c r="AP121" s="236">
        <f t="shared" si="30"/>
        <v>50.0025336</v>
      </c>
      <c r="AQ121" s="178">
        <f t="shared" si="45"/>
        <v>0.76607286622080695</v>
      </c>
      <c r="AR121" s="238">
        <f t="shared" si="31"/>
        <v>205.00002649867523</v>
      </c>
      <c r="AS121" s="236">
        <f t="shared" si="32"/>
        <v>55.582943499999999</v>
      </c>
      <c r="AT121" s="179">
        <f t="shared" si="33"/>
        <v>0.82494527551519659</v>
      </c>
      <c r="AU121" s="238">
        <f t="shared" si="34"/>
        <v>251.03926178108458</v>
      </c>
      <c r="AV121" s="180">
        <f t="shared" si="35"/>
        <v>-4.6349282812329919</v>
      </c>
      <c r="AW121" s="238">
        <f t="shared" si="46"/>
        <v>-200</v>
      </c>
      <c r="AX121" s="180">
        <f t="shared" si="16"/>
        <v>-190.1</v>
      </c>
      <c r="AY121" s="181">
        <f t="shared" si="36"/>
        <v>456.03928827975983</v>
      </c>
      <c r="AZ121" s="182">
        <f t="shared" si="37"/>
        <v>-205.00002649867523</v>
      </c>
      <c r="BA121" s="183">
        <f t="shared" si="38"/>
        <v>200.36509821744224</v>
      </c>
      <c r="BB121" s="182">
        <f t="shared" si="47"/>
        <v>205.00002649867523</v>
      </c>
      <c r="BC121" s="184">
        <f t="shared" si="39"/>
        <v>-106.57779884313474</v>
      </c>
      <c r="BD121" s="184">
        <f t="shared" si="40"/>
        <v>-83.522201156865265</v>
      </c>
      <c r="BE121" s="374">
        <f t="shared" si="17"/>
        <v>-56.296902967859452</v>
      </c>
      <c r="BF121" s="374">
        <f t="shared" si="18"/>
        <v>-71.837187201654814</v>
      </c>
      <c r="BG121" s="376">
        <f t="shared" si="41"/>
        <v>56.296902967859452</v>
      </c>
      <c r="BH121" s="376">
        <f t="shared" si="42"/>
        <v>71.837187201654814</v>
      </c>
      <c r="BJ121" s="229"/>
      <c r="BK121" s="261">
        <v>1</v>
      </c>
      <c r="BL121" s="546">
        <f t="shared" si="13"/>
        <v>0</v>
      </c>
      <c r="BM121" s="540">
        <f t="shared" si="19"/>
        <v>0</v>
      </c>
      <c r="BN121" s="548">
        <f t="shared" si="14"/>
        <v>-142.59197529059557</v>
      </c>
      <c r="BO121" s="262">
        <f t="shared" si="10"/>
        <v>142.59197529059557</v>
      </c>
      <c r="BP121" s="262">
        <f t="shared" si="11"/>
        <v>10.40802470940443</v>
      </c>
      <c r="BQ121" s="262" t="b">
        <f t="shared" si="12"/>
        <v>0</v>
      </c>
      <c r="BX121" s="92"/>
      <c r="BY121" s="92"/>
      <c r="BZ121" s="92"/>
      <c r="CA121" s="18"/>
      <c r="CB121" s="18"/>
      <c r="CC121" s="18"/>
      <c r="CD121" s="18"/>
      <c r="CE121" s="18"/>
      <c r="CF121" s="92"/>
      <c r="CG121" s="92"/>
      <c r="CH121" s="92"/>
      <c r="CI121" s="18"/>
      <c r="CJ121" s="18"/>
      <c r="CK121" s="18"/>
      <c r="CL121" s="18"/>
      <c r="CM121" s="18"/>
    </row>
    <row r="122" spans="2:91" ht="18.75" thickBot="1" x14ac:dyDescent="0.3">
      <c r="B122" s="15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229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377" t="s">
        <v>63</v>
      </c>
      <c r="AO122" s="378">
        <f>MAX(AO110:AO121)</f>
        <v>0</v>
      </c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4"/>
      <c r="BJ122" s="229"/>
      <c r="BK122" s="261">
        <v>2</v>
      </c>
      <c r="BL122" s="546">
        <f t="shared" si="13"/>
        <v>25.5</v>
      </c>
      <c r="BM122" s="540">
        <f t="shared" si="19"/>
        <v>25.5</v>
      </c>
      <c r="BN122" s="548">
        <f t="shared" si="14"/>
        <v>-117.09197529059557</v>
      </c>
      <c r="BO122" s="262">
        <f t="shared" si="10"/>
        <v>117.09197529059557</v>
      </c>
      <c r="BP122" s="262">
        <f t="shared" si="11"/>
        <v>10.40802470940443</v>
      </c>
      <c r="BQ122" s="262" t="b">
        <f t="shared" si="12"/>
        <v>0</v>
      </c>
      <c r="BX122" s="92"/>
      <c r="BY122" s="92"/>
      <c r="BZ122" s="92"/>
      <c r="CA122" s="50"/>
      <c r="CB122" s="50"/>
      <c r="CC122" s="50"/>
      <c r="CD122" s="50"/>
      <c r="CE122" s="92"/>
      <c r="CF122" s="92"/>
      <c r="CG122" s="92"/>
      <c r="CH122" s="92"/>
      <c r="CI122" s="50"/>
      <c r="CJ122" s="50"/>
      <c r="CK122" s="50"/>
      <c r="CL122" s="50"/>
      <c r="CM122" s="92"/>
    </row>
    <row r="123" spans="2:91" ht="18.75" hidden="1" thickBot="1" x14ac:dyDescent="0.3">
      <c r="B123" s="242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229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4"/>
      <c r="BJ123" s="229"/>
      <c r="BK123" s="261">
        <v>3</v>
      </c>
      <c r="BL123" s="546">
        <f t="shared" si="13"/>
        <v>51</v>
      </c>
      <c r="BM123" s="540">
        <f t="shared" si="19"/>
        <v>51</v>
      </c>
      <c r="BN123" s="548">
        <f t="shared" si="14"/>
        <v>-91.59197529059557</v>
      </c>
      <c r="BO123" s="262">
        <f t="shared" si="10"/>
        <v>91.59197529059557</v>
      </c>
      <c r="BP123" s="262">
        <f t="shared" si="11"/>
        <v>10.40802470940443</v>
      </c>
      <c r="BQ123" s="262" t="b">
        <f t="shared" si="12"/>
        <v>0</v>
      </c>
    </row>
    <row r="124" spans="2:91" ht="18.75" hidden="1" thickBot="1" x14ac:dyDescent="0.3">
      <c r="B124" s="242"/>
      <c r="AI124" s="122"/>
      <c r="AJ124" s="122"/>
      <c r="AK124" s="122"/>
      <c r="AL124" s="122"/>
      <c r="BK124" s="261">
        <v>4</v>
      </c>
      <c r="BL124" s="546">
        <f t="shared" si="13"/>
        <v>76.5</v>
      </c>
      <c r="BM124" s="540">
        <f t="shared" si="19"/>
        <v>76.5</v>
      </c>
      <c r="BN124" s="548">
        <f t="shared" si="14"/>
        <v>-66.09197529059557</v>
      </c>
      <c r="BO124" s="262">
        <f t="shared" si="10"/>
        <v>66.09197529059557</v>
      </c>
      <c r="BP124" s="262">
        <f t="shared" si="11"/>
        <v>10.40802470940443</v>
      </c>
      <c r="BQ124" s="262" t="b">
        <f t="shared" si="12"/>
        <v>0</v>
      </c>
    </row>
    <row r="125" spans="2:91" ht="18.75" hidden="1" thickBot="1" x14ac:dyDescent="0.3">
      <c r="AC125" s="365"/>
      <c r="AD125" s="365"/>
      <c r="AE125" s="365"/>
      <c r="AF125" s="365"/>
      <c r="AG125" s="365"/>
      <c r="AH125" s="365"/>
      <c r="AI125" s="365"/>
      <c r="AJ125" s="365"/>
      <c r="AK125" s="365"/>
      <c r="AL125" s="365"/>
      <c r="AM125" s="365"/>
      <c r="AN125" s="365"/>
      <c r="AO125" s="365"/>
      <c r="AP125" s="365"/>
      <c r="AQ125" s="365"/>
      <c r="AR125" s="365"/>
      <c r="AS125" s="365"/>
      <c r="AT125" s="365"/>
      <c r="AU125" s="365"/>
      <c r="AV125" s="365"/>
      <c r="AW125" s="365"/>
      <c r="AX125" s="365"/>
      <c r="AY125" s="365"/>
      <c r="AZ125" s="365"/>
      <c r="BA125" s="365"/>
      <c r="BB125" s="365"/>
      <c r="BC125" s="365"/>
      <c r="BD125" s="365"/>
      <c r="BE125" s="365"/>
      <c r="BF125" s="365"/>
      <c r="BG125" s="365"/>
      <c r="BH125" s="365"/>
      <c r="BI125" s="53"/>
      <c r="BK125" s="261">
        <v>5</v>
      </c>
      <c r="BL125" s="546">
        <f t="shared" si="13"/>
        <v>102</v>
      </c>
      <c r="BM125" s="540">
        <f t="shared" si="19"/>
        <v>102</v>
      </c>
      <c r="BN125" s="548">
        <f t="shared" si="14"/>
        <v>-40.59197529059557</v>
      </c>
      <c r="BO125" s="262">
        <f t="shared" si="10"/>
        <v>40.59197529059557</v>
      </c>
      <c r="BP125" s="262">
        <f t="shared" si="11"/>
        <v>10.40802470940443</v>
      </c>
      <c r="BQ125" s="262" t="b">
        <f t="shared" si="12"/>
        <v>0</v>
      </c>
    </row>
    <row r="126" spans="2:91" ht="18.75" hidden="1" thickBot="1" x14ac:dyDescent="0.3">
      <c r="AB126" s="47"/>
      <c r="AC126" s="365"/>
      <c r="AD126" s="365"/>
      <c r="AE126" s="365"/>
      <c r="AF126" s="365"/>
      <c r="AG126" s="365"/>
      <c r="AH126" s="365"/>
      <c r="AI126" s="365"/>
      <c r="AJ126" s="365"/>
      <c r="AK126" s="365"/>
      <c r="AL126" s="365"/>
      <c r="AM126" s="365"/>
      <c r="AN126" s="365"/>
      <c r="AO126" s="365"/>
      <c r="AP126" s="365"/>
      <c r="AQ126" s="365"/>
      <c r="AR126" s="365"/>
      <c r="AS126" s="365"/>
      <c r="AT126" s="365"/>
      <c r="AU126" s="365"/>
      <c r="AV126" s="365"/>
      <c r="AW126" s="365"/>
      <c r="AX126" s="365"/>
      <c r="AY126" s="365"/>
      <c r="AZ126" s="365"/>
      <c r="BA126" s="365"/>
      <c r="BB126" s="365"/>
      <c r="BC126" s="365"/>
      <c r="BD126" s="365"/>
      <c r="BE126" s="365"/>
      <c r="BF126" s="365"/>
      <c r="BG126" s="365"/>
      <c r="BH126" s="365"/>
      <c r="BI126" s="53"/>
      <c r="BJ126" s="4"/>
      <c r="BK126" s="261">
        <v>6</v>
      </c>
      <c r="BL126" s="546">
        <f t="shared" si="13"/>
        <v>127.5</v>
      </c>
      <c r="BM126" s="540">
        <f t="shared" si="19"/>
        <v>127.5</v>
      </c>
      <c r="BN126" s="548">
        <f t="shared" si="14"/>
        <v>-15.09197529059557</v>
      </c>
      <c r="BO126" s="262">
        <f t="shared" si="10"/>
        <v>15.09197529059557</v>
      </c>
      <c r="BP126" s="262">
        <f t="shared" si="11"/>
        <v>10.40802470940443</v>
      </c>
      <c r="BQ126" s="262" t="b">
        <f t="shared" si="12"/>
        <v>0</v>
      </c>
    </row>
    <row r="127" spans="2:91" ht="67.5" customHeight="1" thickBot="1" x14ac:dyDescent="0.3">
      <c r="B127" s="533" t="s">
        <v>37</v>
      </c>
      <c r="C127" s="98"/>
      <c r="D127" s="99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2" t="s">
        <v>141</v>
      </c>
      <c r="AA127" s="102">
        <f>SUM(AC131:AC154)/B128</f>
        <v>89</v>
      </c>
      <c r="AB127" s="103"/>
      <c r="AC127" s="365"/>
      <c r="AD127" s="365"/>
      <c r="AE127" s="365"/>
      <c r="AF127" s="365"/>
      <c r="AG127" s="365"/>
      <c r="AH127" s="365"/>
      <c r="AI127" s="365"/>
      <c r="AJ127" s="365"/>
      <c r="AK127" s="365"/>
      <c r="AL127" s="365"/>
      <c r="AM127" s="365"/>
      <c r="AN127" s="365"/>
      <c r="AO127" s="365"/>
      <c r="AP127" s="365"/>
      <c r="AQ127" s="365"/>
      <c r="AR127" s="365"/>
      <c r="AS127" s="365"/>
      <c r="AT127" s="365"/>
      <c r="AU127" s="365"/>
      <c r="AV127" s="365"/>
      <c r="AW127" s="365"/>
      <c r="AX127" s="365"/>
      <c r="AY127" s="365"/>
      <c r="AZ127" s="365"/>
      <c r="BA127" s="365"/>
      <c r="BB127" s="365"/>
      <c r="BC127" s="365"/>
      <c r="BD127" s="365"/>
      <c r="BE127" s="365"/>
      <c r="BF127" s="365"/>
      <c r="BG127" s="365"/>
      <c r="BH127" s="365"/>
      <c r="BI127" s="53"/>
      <c r="BJ127" s="105"/>
      <c r="BK127" s="261">
        <v>7</v>
      </c>
      <c r="BL127" s="546">
        <f t="shared" si="13"/>
        <v>153</v>
      </c>
      <c r="BM127" s="540">
        <f t="shared" si="19"/>
        <v>153</v>
      </c>
      <c r="BN127" s="548">
        <f t="shared" si="14"/>
        <v>10.40802470940443</v>
      </c>
      <c r="BO127" s="262">
        <f t="shared" si="10"/>
        <v>10.40802470940443</v>
      </c>
      <c r="BP127" s="262">
        <f t="shared" si="11"/>
        <v>10.40802470940443</v>
      </c>
      <c r="BQ127" s="262">
        <f t="shared" si="12"/>
        <v>7</v>
      </c>
    </row>
    <row r="128" spans="2:91" ht="27" thickBot="1" x14ac:dyDescent="0.45">
      <c r="B128" s="504">
        <v>1</v>
      </c>
      <c r="C128" s="106"/>
      <c r="D128" s="97" t="s">
        <v>96</v>
      </c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379"/>
      <c r="P128" s="380"/>
      <c r="Q128" s="380"/>
      <c r="R128" s="380"/>
      <c r="S128" s="380"/>
      <c r="T128" s="380"/>
      <c r="U128" s="380"/>
      <c r="V128" s="380"/>
      <c r="W128" s="380"/>
      <c r="X128" s="380"/>
      <c r="Y128" s="380"/>
      <c r="Z128" s="381"/>
      <c r="AA128" s="382"/>
      <c r="AB128" s="56"/>
      <c r="AC128" s="383"/>
      <c r="AD128" s="383"/>
      <c r="AE128" s="383"/>
      <c r="AF128" s="383"/>
      <c r="AG128" s="383"/>
      <c r="AH128" s="383"/>
      <c r="AI128" s="383"/>
      <c r="AJ128" s="383"/>
      <c r="AK128" s="383"/>
      <c r="AL128" s="383"/>
      <c r="AM128" s="383"/>
      <c r="AN128" s="383"/>
      <c r="AO128" s="383"/>
      <c r="AP128" s="383"/>
      <c r="AQ128" s="383"/>
      <c r="AR128" s="383"/>
      <c r="AS128" s="383"/>
      <c r="AT128" s="383"/>
      <c r="AU128" s="383"/>
      <c r="AV128" s="383"/>
      <c r="AW128" s="383"/>
      <c r="AX128" s="383"/>
      <c r="AY128" s="383"/>
      <c r="AZ128" s="383"/>
      <c r="BA128" s="383"/>
      <c r="BB128" s="383"/>
      <c r="BC128" s="383"/>
      <c r="BD128" s="383"/>
      <c r="BE128" s="383"/>
      <c r="BF128" s="383"/>
      <c r="BG128" s="753" t="s">
        <v>54</v>
      </c>
      <c r="BH128" s="754"/>
      <c r="BI128" s="113"/>
      <c r="BJ128" s="114"/>
      <c r="BK128" s="261">
        <v>8</v>
      </c>
      <c r="BL128" s="546">
        <f t="shared" si="13"/>
        <v>178.5</v>
      </c>
      <c r="BM128" s="540">
        <f t="shared" si="19"/>
        <v>178.5</v>
      </c>
      <c r="BN128" s="548">
        <f t="shared" si="14"/>
        <v>35.90802470940443</v>
      </c>
      <c r="BO128" s="262">
        <f t="shared" si="10"/>
        <v>35.90802470940443</v>
      </c>
      <c r="BP128" s="262">
        <f t="shared" si="11"/>
        <v>10.40802470940443</v>
      </c>
      <c r="BQ128" s="262" t="b">
        <f t="shared" si="12"/>
        <v>0</v>
      </c>
    </row>
    <row r="129" spans="1:69" ht="18.75" hidden="1" thickBot="1" x14ac:dyDescent="0.3">
      <c r="B129" s="115"/>
      <c r="C129" s="115"/>
      <c r="D129" s="116" t="s">
        <v>13</v>
      </c>
      <c r="E129" s="16"/>
      <c r="F129" s="16"/>
      <c r="G129" s="16"/>
      <c r="H129" s="16"/>
      <c r="I129" s="16"/>
      <c r="J129" s="16"/>
      <c r="K129" s="16"/>
      <c r="L129" s="16"/>
      <c r="M129" s="117" t="s">
        <v>108</v>
      </c>
      <c r="N129" s="16"/>
      <c r="O129" s="384" t="s">
        <v>4</v>
      </c>
      <c r="P129" s="384" t="s">
        <v>1</v>
      </c>
      <c r="Q129" s="101" t="s">
        <v>0</v>
      </c>
      <c r="R129" s="101" t="s">
        <v>2</v>
      </c>
      <c r="S129" s="101" t="s">
        <v>3</v>
      </c>
      <c r="T129" s="101" t="s">
        <v>8</v>
      </c>
      <c r="U129" s="101" t="s">
        <v>5</v>
      </c>
      <c r="V129" s="101" t="s">
        <v>6</v>
      </c>
      <c r="W129" s="101" t="s">
        <v>7</v>
      </c>
      <c r="X129" s="101" t="s">
        <v>9</v>
      </c>
      <c r="Y129" s="385" t="s">
        <v>10</v>
      </c>
      <c r="Z129" s="101" t="s">
        <v>11</v>
      </c>
      <c r="AA129" s="120" t="s">
        <v>12</v>
      </c>
      <c r="AB129" s="45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2"/>
      <c r="BF129" s="121"/>
      <c r="BG129" s="135"/>
      <c r="BH129" s="135"/>
      <c r="BI129" s="123"/>
      <c r="BJ129" s="124"/>
      <c r="BK129" s="261">
        <v>81</v>
      </c>
      <c r="BL129" s="546">
        <f t="shared" si="13"/>
        <v>204</v>
      </c>
      <c r="BM129" s="540">
        <f t="shared" si="19"/>
        <v>204</v>
      </c>
      <c r="BN129" s="548">
        <f t="shared" si="14"/>
        <v>61.40802470940443</v>
      </c>
      <c r="BO129" s="262">
        <f t="shared" si="10"/>
        <v>61.40802470940443</v>
      </c>
      <c r="BP129" s="262">
        <f t="shared" si="11"/>
        <v>10.40802470940443</v>
      </c>
      <c r="BQ129" s="262" t="b">
        <f t="shared" si="12"/>
        <v>0</v>
      </c>
    </row>
    <row r="130" spans="1:69" ht="32.25" thickBot="1" x14ac:dyDescent="0.3">
      <c r="B130" s="245"/>
      <c r="C130" s="245"/>
      <c r="D130" s="128" t="s">
        <v>23</v>
      </c>
      <c r="E130" s="747" t="s">
        <v>139</v>
      </c>
      <c r="F130" s="748"/>
      <c r="G130" s="748"/>
      <c r="H130" s="748"/>
      <c r="I130" s="748"/>
      <c r="J130" s="748"/>
      <c r="K130" s="749"/>
      <c r="L130" s="128"/>
      <c r="M130" s="128" t="s">
        <v>51</v>
      </c>
      <c r="N130" s="386"/>
      <c r="O130" s="246"/>
      <c r="P130" s="247"/>
      <c r="Q130" s="138"/>
      <c r="R130" s="138"/>
      <c r="S130" s="138"/>
      <c r="T130" s="138"/>
      <c r="U130" s="138"/>
      <c r="V130" s="138"/>
      <c r="W130" s="138"/>
      <c r="X130" s="138"/>
      <c r="Y130" s="387"/>
      <c r="Z130" s="138"/>
      <c r="AA130" s="249"/>
      <c r="AB130" s="138"/>
      <c r="AC130" s="135"/>
      <c r="AD130" s="135"/>
      <c r="AE130" s="135"/>
      <c r="AF130" s="135"/>
      <c r="AG130" s="135"/>
      <c r="AH130" s="135"/>
      <c r="AI130" s="250"/>
      <c r="AJ130" s="135"/>
      <c r="AK130" s="135"/>
      <c r="AL130" s="135"/>
      <c r="AM130" s="121" t="s">
        <v>46</v>
      </c>
      <c r="AN130" s="217" t="s">
        <v>39</v>
      </c>
      <c r="AO130" s="217"/>
      <c r="AP130" s="137" t="s">
        <v>98</v>
      </c>
      <c r="AQ130" s="219" t="s">
        <v>40</v>
      </c>
      <c r="AR130" s="139" t="s">
        <v>41</v>
      </c>
      <c r="AS130" s="137" t="s">
        <v>99</v>
      </c>
      <c r="AT130" s="221" t="s">
        <v>42</v>
      </c>
      <c r="AU130" s="139" t="s">
        <v>43</v>
      </c>
      <c r="AV130" s="221"/>
      <c r="AW130" s="252" t="s">
        <v>44</v>
      </c>
      <c r="AX130" s="223"/>
      <c r="AY130" s="223" t="s">
        <v>45</v>
      </c>
      <c r="AZ130" s="223" t="s">
        <v>47</v>
      </c>
      <c r="BA130" s="223"/>
      <c r="BB130" s="223" t="s">
        <v>48</v>
      </c>
      <c r="BC130" s="388" t="s">
        <v>49</v>
      </c>
      <c r="BD130" s="388" t="s">
        <v>50</v>
      </c>
      <c r="BE130" s="227" t="s">
        <v>24</v>
      </c>
      <c r="BF130" s="227" t="s">
        <v>25</v>
      </c>
      <c r="BG130" s="228" t="s">
        <v>24</v>
      </c>
      <c r="BH130" s="228" t="s">
        <v>25</v>
      </c>
      <c r="BI130" s="14"/>
      <c r="BJ130" s="124"/>
      <c r="BK130" s="261">
        <v>82</v>
      </c>
      <c r="BL130" s="546">
        <f t="shared" si="13"/>
        <v>229.5</v>
      </c>
      <c r="BM130" s="540">
        <f t="shared" si="19"/>
        <v>229.5</v>
      </c>
      <c r="BN130" s="548">
        <f t="shared" si="14"/>
        <v>86.90802470940443</v>
      </c>
      <c r="BO130" s="262">
        <f t="shared" si="10"/>
        <v>86.90802470940443</v>
      </c>
      <c r="BP130" s="262">
        <f t="shared" si="11"/>
        <v>10.40802470940443</v>
      </c>
      <c r="BQ130" s="262" t="b">
        <f t="shared" si="12"/>
        <v>0</v>
      </c>
    </row>
    <row r="131" spans="1:69" ht="18.75" thickBot="1" x14ac:dyDescent="0.3">
      <c r="B131" s="144">
        <v>1</v>
      </c>
      <c r="C131" s="145">
        <f>+AO122+D131</f>
        <v>0</v>
      </c>
      <c r="D131" s="505">
        <v>0</v>
      </c>
      <c r="E131" s="146">
        <v>-6</v>
      </c>
      <c r="F131" s="147">
        <v>-4</v>
      </c>
      <c r="G131" s="147">
        <v>-2</v>
      </c>
      <c r="H131" s="147">
        <v>0</v>
      </c>
      <c r="I131" s="147">
        <v>2</v>
      </c>
      <c r="J131" s="147">
        <v>4</v>
      </c>
      <c r="K131" s="332">
        <v>6</v>
      </c>
      <c r="L131" s="149" t="s">
        <v>105</v>
      </c>
      <c r="M131" s="150">
        <f>+N131</f>
        <v>0</v>
      </c>
      <c r="N131" s="150">
        <f>+D131</f>
        <v>0</v>
      </c>
      <c r="O131" s="152">
        <v>118.90260000000001</v>
      </c>
      <c r="P131" s="152">
        <v>83.076694799999999</v>
      </c>
      <c r="Q131" s="153">
        <f>+P131-C131</f>
        <v>83.076694799999999</v>
      </c>
      <c r="R131" s="153">
        <f>+Q131/2</f>
        <v>41.538347399999999</v>
      </c>
      <c r="S131" s="153">
        <f t="shared" ref="S131:S154" si="48">SIN(R131*3.14159265358979/180)</f>
        <v>0.66312116713723779</v>
      </c>
      <c r="T131" s="153">
        <f t="shared" ref="T131:T154" si="49">+S131*O131</f>
        <v>78.846830887652132</v>
      </c>
      <c r="U131" s="153">
        <f t="shared" ref="U131:U154" si="50">+T131*2</f>
        <v>157.69366177530426</v>
      </c>
      <c r="V131" s="153">
        <f>+C131/2</f>
        <v>0</v>
      </c>
      <c r="W131" s="153">
        <f t="shared" ref="W131:W154" si="51">SIN(V131*3.14159265358979/180)</f>
        <v>0</v>
      </c>
      <c r="X131" s="153">
        <f t="shared" ref="X131:X154" si="52">+W131*U131</f>
        <v>0</v>
      </c>
      <c r="Y131" s="154">
        <v>89</v>
      </c>
      <c r="Z131" s="153">
        <f>+Y131+X131</f>
        <v>89</v>
      </c>
      <c r="AA131" s="155">
        <f t="shared" ref="AA131:AA154" si="53">+Z131</f>
        <v>89</v>
      </c>
      <c r="AC131" s="156">
        <f t="shared" ref="AC131:AC154" si="54">IF(B131&lt;($B$128+1),AA131,0)</f>
        <v>89</v>
      </c>
      <c r="AD131" s="156"/>
      <c r="AE131" s="156"/>
      <c r="AF131" s="156"/>
      <c r="AG131" s="156"/>
      <c r="AH131" s="156"/>
      <c r="AI131" s="389" t="str">
        <f>IF(BF131&lt;0,"pin in groundstacking hole"," ")</f>
        <v xml:space="preserve"> </v>
      </c>
      <c r="AJ131" s="514"/>
      <c r="AK131" s="514"/>
      <c r="AL131" s="514"/>
      <c r="AM131" s="156">
        <f>SUM(AC131:AC154)/($B$128)</f>
        <v>89</v>
      </c>
      <c r="AN131" s="177">
        <f>C131</f>
        <v>0</v>
      </c>
      <c r="AO131" s="177"/>
      <c r="AP131" s="390">
        <f>70.6301791-AN131</f>
        <v>70.630179100000007</v>
      </c>
      <c r="AQ131" s="178">
        <f t="shared" ref="AQ131:AQ154" si="55">SIN(AP131*3.14159265358979/180)</f>
        <v>0.94339748455555306</v>
      </c>
      <c r="AR131" s="162">
        <f>+AQ131*132.9087</f>
        <v>125.38573325554864</v>
      </c>
      <c r="AS131" s="390">
        <f>48.461653+AN131</f>
        <v>48.461652999999998</v>
      </c>
      <c r="AT131" s="179">
        <f>SIN(AS131*3.14159265358979/180)</f>
        <v>0.74851207380038831</v>
      </c>
      <c r="AU131" s="162">
        <f>+AT131*118.9026</f>
        <v>89.000031706258056</v>
      </c>
      <c r="AV131" s="391"/>
      <c r="AW131" s="162">
        <f>9.9*B128</f>
        <v>9.9</v>
      </c>
      <c r="AX131" s="181"/>
      <c r="AY131" s="181">
        <f>+AU131+AR131</f>
        <v>214.3857649618067</v>
      </c>
      <c r="AZ131" s="182">
        <f>+AC131-AU131</f>
        <v>-3.1706258056374281E-5</v>
      </c>
      <c r="BA131" s="182"/>
      <c r="BB131" s="182">
        <f>+AM131-AZ131</f>
        <v>89.000031706258056</v>
      </c>
      <c r="BC131" s="184">
        <f>+((AY131-BB131)/AY131)*AW131</f>
        <v>5.7901174522994818</v>
      </c>
      <c r="BD131" s="184">
        <f>+(BB131/AY131)*AW131</f>
        <v>4.1098825477005194</v>
      </c>
      <c r="BE131" s="374">
        <f t="shared" ref="BE131:BE154" si="56">2*$C$56/BC131</f>
        <v>1381.6645458241762</v>
      </c>
      <c r="BF131" s="374">
        <f t="shared" ref="BF131:BF154" si="57">$D$56/BD131</f>
        <v>1070.590205177956</v>
      </c>
      <c r="BG131" s="376">
        <f>ABS(BE131)</f>
        <v>1381.6645458241762</v>
      </c>
      <c r="BH131" s="376">
        <f>ABS(BF131)</f>
        <v>1070.590205177956</v>
      </c>
      <c r="BI131" s="172"/>
      <c r="BJ131" s="173"/>
      <c r="BK131" s="261">
        <v>83</v>
      </c>
      <c r="BL131" s="546">
        <f t="shared" si="13"/>
        <v>255</v>
      </c>
      <c r="BM131" s="540">
        <f t="shared" si="19"/>
        <v>255</v>
      </c>
      <c r="BN131" s="548">
        <f t="shared" si="14"/>
        <v>112.40802470940443</v>
      </c>
      <c r="BO131" s="262">
        <f t="shared" si="10"/>
        <v>112.40802470940443</v>
      </c>
      <c r="BP131" s="262">
        <f t="shared" si="11"/>
        <v>10.40802470940443</v>
      </c>
      <c r="BQ131" s="262" t="b">
        <f t="shared" si="12"/>
        <v>0</v>
      </c>
    </row>
    <row r="132" spans="1:69" ht="18.75" thickBot="1" x14ac:dyDescent="0.3">
      <c r="B132" s="174">
        <v>2</v>
      </c>
      <c r="C132" s="175"/>
      <c r="D132" s="505">
        <v>0</v>
      </c>
      <c r="E132" s="146">
        <v>0</v>
      </c>
      <c r="F132" s="147">
        <v>1</v>
      </c>
      <c r="G132" s="147" t="e">
        <f>IF(AI132="pin in groundstacking hole",4,3)</f>
        <v>#DIV/0!</v>
      </c>
      <c r="H132" s="147">
        <v>5</v>
      </c>
      <c r="I132" s="147" t="e">
        <f>IF(AI132="pin in groundstacking hole","",7)</f>
        <v>#DIV/0!</v>
      </c>
      <c r="J132" s="147">
        <v>9</v>
      </c>
      <c r="K132" s="332">
        <v>12</v>
      </c>
      <c r="L132" s="149" t="s">
        <v>106</v>
      </c>
      <c r="M132" s="150" t="e">
        <f t="shared" ref="M132:M154" si="58">+N132</f>
        <v>#DIV/0!</v>
      </c>
      <c r="N132" s="150" t="e">
        <f t="shared" ref="N132:N154" si="59">+D132+BI132</f>
        <v>#DIV/0!</v>
      </c>
      <c r="O132" s="152">
        <v>118.90260000000001</v>
      </c>
      <c r="P132" s="152">
        <v>83.076694799999999</v>
      </c>
      <c r="Q132" s="153">
        <f t="shared" ref="Q132:Q154" si="60">+P132-D132</f>
        <v>83.076694799999999</v>
      </c>
      <c r="R132" s="153">
        <f t="shared" ref="R132:R154" si="61">+Q132/2</f>
        <v>41.538347399999999</v>
      </c>
      <c r="S132" s="153">
        <f t="shared" si="48"/>
        <v>0.66312116713723779</v>
      </c>
      <c r="T132" s="153">
        <f t="shared" si="49"/>
        <v>78.846830887652132</v>
      </c>
      <c r="U132" s="153">
        <f t="shared" si="50"/>
        <v>157.69366177530426</v>
      </c>
      <c r="V132" s="153">
        <f>+C131+(D132/2)</f>
        <v>0</v>
      </c>
      <c r="W132" s="153">
        <f t="shared" si="51"/>
        <v>0</v>
      </c>
      <c r="X132" s="153">
        <f t="shared" si="52"/>
        <v>0</v>
      </c>
      <c r="Y132" s="153">
        <f t="shared" ref="Y132:Y154" si="62">+AA131</f>
        <v>89</v>
      </c>
      <c r="Z132" s="153">
        <f>+Y132+X132</f>
        <v>89</v>
      </c>
      <c r="AA132" s="155">
        <f t="shared" si="53"/>
        <v>89</v>
      </c>
      <c r="AC132" s="156">
        <f t="shared" si="54"/>
        <v>0</v>
      </c>
      <c r="AD132" s="156"/>
      <c r="AE132" s="156"/>
      <c r="AF132" s="156"/>
      <c r="AG132" s="156"/>
      <c r="AH132" s="156"/>
      <c r="AI132" s="389" t="e">
        <f t="shared" ref="AI132:AI154" si="63">IF(BF132&lt;0,"pin in groundstacking hole"," ")</f>
        <v>#DIV/0!</v>
      </c>
      <c r="AJ132" s="514"/>
      <c r="AK132" s="514"/>
      <c r="AL132" s="514"/>
      <c r="AM132" s="156" t="e">
        <f>SUM(AC132:AC154)/($B$128-B131)</f>
        <v>#DIV/0!</v>
      </c>
      <c r="AN132" s="177">
        <f>SUM(D132)+$C$131</f>
        <v>0</v>
      </c>
      <c r="AO132" s="177"/>
      <c r="AP132" s="390">
        <f t="shared" ref="AP132:AP154" si="64">70.6301791-AN132</f>
        <v>70.630179100000007</v>
      </c>
      <c r="AQ132" s="178">
        <f t="shared" si="55"/>
        <v>0.94339748455555306</v>
      </c>
      <c r="AR132" s="162">
        <f t="shared" ref="AR132:AR154" si="65">+AQ132*132.9087</f>
        <v>125.38573325554864</v>
      </c>
      <c r="AS132" s="390">
        <f t="shared" ref="AS132:AS154" si="66">48.461653+AN132</f>
        <v>48.461652999999998</v>
      </c>
      <c r="AT132" s="179">
        <f t="shared" ref="AT132:AT154" si="67">SIN(AS132*3.14159265358979/180)</f>
        <v>0.74851207380038831</v>
      </c>
      <c r="AU132" s="162">
        <f t="shared" ref="AU132:AU154" si="68">+AT132*118.9026</f>
        <v>89.000031706258056</v>
      </c>
      <c r="AV132" s="391"/>
      <c r="AW132" s="162">
        <f>9.9*($B$128-B131)</f>
        <v>0</v>
      </c>
      <c r="AX132" s="181"/>
      <c r="AY132" s="181">
        <f t="shared" ref="AY132:AY154" si="69">+AU132+AR132</f>
        <v>214.3857649618067</v>
      </c>
      <c r="AZ132" s="182">
        <f>+AC132-AU132</f>
        <v>-89.000031706258056</v>
      </c>
      <c r="BA132" s="182"/>
      <c r="BB132" s="182" t="e">
        <f>+AM132-AZ132</f>
        <v>#DIV/0!</v>
      </c>
      <c r="BC132" s="184" t="e">
        <f t="shared" ref="BC132:BC154" si="70">+((AY132-BB132)/AY132)*AW132</f>
        <v>#DIV/0!</v>
      </c>
      <c r="BD132" s="184" t="e">
        <f t="shared" ref="BD132:BD154" si="71">+(BB132/AY132)*AW132</f>
        <v>#DIV/0!</v>
      </c>
      <c r="BE132" s="374" t="e">
        <f t="shared" si="56"/>
        <v>#DIV/0!</v>
      </c>
      <c r="BF132" s="374" t="e">
        <f t="shared" si="57"/>
        <v>#DIV/0!</v>
      </c>
      <c r="BG132" s="376" t="e">
        <f t="shared" ref="BG132:BH154" si="72">ABS(BE132)</f>
        <v>#DIV/0!</v>
      </c>
      <c r="BH132" s="376" t="e">
        <f t="shared" si="72"/>
        <v>#DIV/0!</v>
      </c>
      <c r="BI132" s="2" t="e">
        <f t="shared" ref="BI132:BI154" si="73">IF(BF132&lt;0,0.3,0)</f>
        <v>#DIV/0!</v>
      </c>
      <c r="BK132" s="261">
        <v>9</v>
      </c>
      <c r="BL132" s="546">
        <f t="shared" si="13"/>
        <v>280.5</v>
      </c>
      <c r="BM132" s="540">
        <f t="shared" si="19"/>
        <v>280.5</v>
      </c>
      <c r="BN132" s="548">
        <f t="shared" si="14"/>
        <v>137.90802470940443</v>
      </c>
      <c r="BO132" s="262">
        <f t="shared" si="10"/>
        <v>137.90802470940443</v>
      </c>
      <c r="BP132" s="262">
        <f t="shared" si="11"/>
        <v>10.40802470940443</v>
      </c>
      <c r="BQ132" s="262" t="b">
        <f t="shared" si="12"/>
        <v>0</v>
      </c>
    </row>
    <row r="133" spans="1:69" ht="18.75" thickBot="1" x14ac:dyDescent="0.3">
      <c r="B133" s="174">
        <v>3</v>
      </c>
      <c r="C133" s="175"/>
      <c r="D133" s="505">
        <v>0</v>
      </c>
      <c r="E133" s="146">
        <v>0</v>
      </c>
      <c r="F133" s="147">
        <v>1</v>
      </c>
      <c r="G133" s="147">
        <f>IF(AI133="pin in groundstacking hole",4,3)</f>
        <v>4</v>
      </c>
      <c r="H133" s="147">
        <v>5</v>
      </c>
      <c r="I133" s="147" t="str">
        <f>IF(AI133="pin in groundstacking hole","",7)</f>
        <v/>
      </c>
      <c r="J133" s="147">
        <v>9</v>
      </c>
      <c r="K133" s="332">
        <v>12</v>
      </c>
      <c r="L133" s="150"/>
      <c r="M133" s="150">
        <f t="shared" si="58"/>
        <v>0.3</v>
      </c>
      <c r="N133" s="150">
        <f t="shared" si="59"/>
        <v>0.3</v>
      </c>
      <c r="O133" s="152">
        <v>118.90260000000001</v>
      </c>
      <c r="P133" s="152">
        <v>83.076694799999999</v>
      </c>
      <c r="Q133" s="153">
        <f t="shared" si="60"/>
        <v>83.076694799999999</v>
      </c>
      <c r="R133" s="153">
        <f t="shared" si="61"/>
        <v>41.538347399999999</v>
      </c>
      <c r="S133" s="153">
        <f t="shared" si="48"/>
        <v>0.66312116713723779</v>
      </c>
      <c r="T133" s="153">
        <f t="shared" si="49"/>
        <v>78.846830887652132</v>
      </c>
      <c r="U133" s="153">
        <f t="shared" si="50"/>
        <v>157.69366177530426</v>
      </c>
      <c r="V133" s="153">
        <f>+C131+D132+(D133/2)</f>
        <v>0</v>
      </c>
      <c r="W133" s="153">
        <f t="shared" si="51"/>
        <v>0</v>
      </c>
      <c r="X133" s="153">
        <f t="shared" si="52"/>
        <v>0</v>
      </c>
      <c r="Y133" s="153">
        <f t="shared" si="62"/>
        <v>89</v>
      </c>
      <c r="Z133" s="153">
        <f t="shared" ref="Z133:Z154" si="74">+Z132+X133</f>
        <v>89</v>
      </c>
      <c r="AA133" s="155">
        <f t="shared" si="53"/>
        <v>89</v>
      </c>
      <c r="AC133" s="156">
        <f t="shared" si="54"/>
        <v>0</v>
      </c>
      <c r="AD133" s="156"/>
      <c r="AE133" s="156"/>
      <c r="AF133" s="156"/>
      <c r="AG133" s="156"/>
      <c r="AH133" s="156"/>
      <c r="AI133" s="389" t="str">
        <f t="shared" si="63"/>
        <v>pin in groundstacking hole</v>
      </c>
      <c r="AJ133" s="514"/>
      <c r="AK133" s="514"/>
      <c r="AL133" s="514"/>
      <c r="AM133" s="156">
        <f>SUM(AC133:AC154)/($B$128-B132)</f>
        <v>0</v>
      </c>
      <c r="AN133" s="177">
        <f>SUM(D132:D133)+$C$131</f>
        <v>0</v>
      </c>
      <c r="AO133" s="177"/>
      <c r="AP133" s="390">
        <f t="shared" si="64"/>
        <v>70.630179100000007</v>
      </c>
      <c r="AQ133" s="178">
        <f t="shared" si="55"/>
        <v>0.94339748455555306</v>
      </c>
      <c r="AR133" s="162">
        <f t="shared" si="65"/>
        <v>125.38573325554864</v>
      </c>
      <c r="AS133" s="390">
        <f t="shared" si="66"/>
        <v>48.461652999999998</v>
      </c>
      <c r="AT133" s="179">
        <f t="shared" si="67"/>
        <v>0.74851207380038831</v>
      </c>
      <c r="AU133" s="162">
        <f t="shared" si="68"/>
        <v>89.000031706258056</v>
      </c>
      <c r="AV133" s="391"/>
      <c r="AW133" s="162">
        <f t="shared" ref="AW133:AW154" si="75">9.9*($B$128-B132)</f>
        <v>-9.9</v>
      </c>
      <c r="AX133" s="181"/>
      <c r="AY133" s="181">
        <f t="shared" si="69"/>
        <v>214.3857649618067</v>
      </c>
      <c r="AZ133" s="182">
        <f>+AC133-AU133</f>
        <v>-89.000031706258056</v>
      </c>
      <c r="BA133" s="182"/>
      <c r="BB133" s="182">
        <f>+AM133-AZ133</f>
        <v>89.000031706258056</v>
      </c>
      <c r="BC133" s="184">
        <f t="shared" si="70"/>
        <v>-5.7901174522994818</v>
      </c>
      <c r="BD133" s="184">
        <f t="shared" si="71"/>
        <v>-4.1098825477005194</v>
      </c>
      <c r="BE133" s="374">
        <f t="shared" si="56"/>
        <v>-1381.6645458241762</v>
      </c>
      <c r="BF133" s="374">
        <f t="shared" si="57"/>
        <v>-1070.590205177956</v>
      </c>
      <c r="BG133" s="376">
        <f t="shared" si="72"/>
        <v>1381.6645458241762</v>
      </c>
      <c r="BH133" s="376">
        <f t="shared" si="72"/>
        <v>1070.590205177956</v>
      </c>
      <c r="BI133" s="2">
        <f t="shared" si="73"/>
        <v>0.3</v>
      </c>
      <c r="BK133" s="261">
        <v>10</v>
      </c>
      <c r="BL133" s="546">
        <f t="shared" si="13"/>
        <v>306</v>
      </c>
      <c r="BM133" s="540">
        <f t="shared" si="19"/>
        <v>306</v>
      </c>
      <c r="BN133" s="548">
        <f t="shared" si="14"/>
        <v>163.40802470940443</v>
      </c>
      <c r="BO133" s="262">
        <f t="shared" si="10"/>
        <v>163.40802470940443</v>
      </c>
      <c r="BP133" s="262">
        <f t="shared" si="11"/>
        <v>10.40802470940443</v>
      </c>
      <c r="BQ133" s="262" t="b">
        <f t="shared" si="12"/>
        <v>0</v>
      </c>
    </row>
    <row r="134" spans="1:69" ht="18.75" thickBot="1" x14ac:dyDescent="0.3">
      <c r="B134" s="174">
        <v>4</v>
      </c>
      <c r="C134" s="175"/>
      <c r="D134" s="505">
        <v>0</v>
      </c>
      <c r="E134" s="146">
        <v>0</v>
      </c>
      <c r="F134" s="147">
        <v>1</v>
      </c>
      <c r="G134" s="147">
        <f>IF(AI134="pin in groundstacking hole",4,3)</f>
        <v>4</v>
      </c>
      <c r="H134" s="147">
        <v>5</v>
      </c>
      <c r="I134" s="147" t="str">
        <f>IF(AI134="pin in groundstacking hole","",7)</f>
        <v/>
      </c>
      <c r="J134" s="147">
        <v>9</v>
      </c>
      <c r="K134" s="332">
        <v>12</v>
      </c>
      <c r="L134" s="150"/>
      <c r="M134" s="150">
        <f t="shared" si="58"/>
        <v>0.3</v>
      </c>
      <c r="N134" s="150">
        <f t="shared" si="59"/>
        <v>0.3</v>
      </c>
      <c r="O134" s="152">
        <v>118.90260000000001</v>
      </c>
      <c r="P134" s="152">
        <v>83.076694799999999</v>
      </c>
      <c r="Q134" s="153">
        <f t="shared" si="60"/>
        <v>83.076694799999999</v>
      </c>
      <c r="R134" s="153">
        <f t="shared" si="61"/>
        <v>41.538347399999999</v>
      </c>
      <c r="S134" s="153">
        <f t="shared" si="48"/>
        <v>0.66312116713723779</v>
      </c>
      <c r="T134" s="153">
        <f t="shared" si="49"/>
        <v>78.846830887652132</v>
      </c>
      <c r="U134" s="153">
        <f t="shared" si="50"/>
        <v>157.69366177530426</v>
      </c>
      <c r="V134" s="153">
        <f>+C131+D132+D133+(D134/2)</f>
        <v>0</v>
      </c>
      <c r="W134" s="153">
        <f t="shared" si="51"/>
        <v>0</v>
      </c>
      <c r="X134" s="153">
        <f t="shared" si="52"/>
        <v>0</v>
      </c>
      <c r="Y134" s="153">
        <f t="shared" si="62"/>
        <v>89</v>
      </c>
      <c r="Z134" s="153">
        <f t="shared" si="74"/>
        <v>89</v>
      </c>
      <c r="AA134" s="155">
        <f t="shared" si="53"/>
        <v>89</v>
      </c>
      <c r="AC134" s="156">
        <f t="shared" si="54"/>
        <v>0</v>
      </c>
      <c r="AD134" s="156"/>
      <c r="AE134" s="156"/>
      <c r="AF134" s="156"/>
      <c r="AG134" s="156"/>
      <c r="AH134" s="156"/>
      <c r="AI134" s="389" t="str">
        <f t="shared" si="63"/>
        <v>pin in groundstacking hole</v>
      </c>
      <c r="AJ134" s="514"/>
      <c r="AK134" s="514"/>
      <c r="AL134" s="514"/>
      <c r="AM134" s="156">
        <f>SUM(AC134:AC154)/($B$128-B133)</f>
        <v>0</v>
      </c>
      <c r="AN134" s="177">
        <f>SUM(D132:D134)+$C$131</f>
        <v>0</v>
      </c>
      <c r="AO134" s="177"/>
      <c r="AP134" s="390">
        <f t="shared" si="64"/>
        <v>70.630179100000007</v>
      </c>
      <c r="AQ134" s="178">
        <f t="shared" si="55"/>
        <v>0.94339748455555306</v>
      </c>
      <c r="AR134" s="162">
        <f t="shared" si="65"/>
        <v>125.38573325554864</v>
      </c>
      <c r="AS134" s="390">
        <f t="shared" si="66"/>
        <v>48.461652999999998</v>
      </c>
      <c r="AT134" s="179">
        <f t="shared" si="67"/>
        <v>0.74851207380038831</v>
      </c>
      <c r="AU134" s="162">
        <f t="shared" si="68"/>
        <v>89.000031706258056</v>
      </c>
      <c r="AV134" s="391"/>
      <c r="AW134" s="162">
        <f t="shared" si="75"/>
        <v>-19.8</v>
      </c>
      <c r="AX134" s="181"/>
      <c r="AY134" s="181">
        <f t="shared" si="69"/>
        <v>214.3857649618067</v>
      </c>
      <c r="AZ134" s="182">
        <f>+AC134-AU134</f>
        <v>-89.000031706258056</v>
      </c>
      <c r="BA134" s="182"/>
      <c r="BB134" s="182">
        <f t="shared" ref="BB134:BB154" si="76">+AM134-AZ134</f>
        <v>89.000031706258056</v>
      </c>
      <c r="BC134" s="184">
        <f t="shared" si="70"/>
        <v>-11.580234904598964</v>
      </c>
      <c r="BD134" s="184">
        <f t="shared" si="71"/>
        <v>-8.2197650954010388</v>
      </c>
      <c r="BE134" s="374">
        <f t="shared" si="56"/>
        <v>-690.83227291208811</v>
      </c>
      <c r="BF134" s="374">
        <f t="shared" si="57"/>
        <v>-535.29510258897801</v>
      </c>
      <c r="BG134" s="376">
        <f t="shared" si="72"/>
        <v>690.83227291208811</v>
      </c>
      <c r="BH134" s="376">
        <f t="shared" si="72"/>
        <v>535.29510258897801</v>
      </c>
      <c r="BI134" s="2">
        <f t="shared" si="73"/>
        <v>0.3</v>
      </c>
      <c r="BK134" s="261">
        <v>11</v>
      </c>
      <c r="BL134" s="546">
        <f t="shared" si="13"/>
        <v>331.5</v>
      </c>
      <c r="BM134" s="540">
        <f t="shared" si="19"/>
        <v>331.5</v>
      </c>
      <c r="BN134" s="548">
        <f t="shared" si="14"/>
        <v>188.90802470940443</v>
      </c>
      <c r="BO134" s="262">
        <f t="shared" si="10"/>
        <v>188.90802470940443</v>
      </c>
      <c r="BP134" s="262">
        <f t="shared" si="11"/>
        <v>10.40802470940443</v>
      </c>
      <c r="BQ134" s="262" t="b">
        <f t="shared" si="12"/>
        <v>0</v>
      </c>
    </row>
    <row r="135" spans="1:69" ht="18.75" thickBot="1" x14ac:dyDescent="0.3">
      <c r="B135" s="174">
        <v>5</v>
      </c>
      <c r="C135" s="175"/>
      <c r="D135" s="505">
        <v>0</v>
      </c>
      <c r="E135" s="146">
        <v>0</v>
      </c>
      <c r="F135" s="147">
        <v>1</v>
      </c>
      <c r="G135" s="147">
        <f t="shared" ref="G135:G154" si="77">IF(AI135="pin in groundstacking hole",4,3)</f>
        <v>4</v>
      </c>
      <c r="H135" s="147">
        <v>5</v>
      </c>
      <c r="I135" s="147" t="str">
        <f t="shared" ref="I135:I154" si="78">IF(AI135="pin in groundstacking hole","",7)</f>
        <v/>
      </c>
      <c r="J135" s="147">
        <v>9</v>
      </c>
      <c r="K135" s="332">
        <v>12</v>
      </c>
      <c r="L135" s="150"/>
      <c r="M135" s="150">
        <f t="shared" si="58"/>
        <v>0.3</v>
      </c>
      <c r="N135" s="150">
        <f t="shared" si="59"/>
        <v>0.3</v>
      </c>
      <c r="O135" s="152">
        <v>118.90260000000001</v>
      </c>
      <c r="P135" s="152">
        <v>83.076694799999999</v>
      </c>
      <c r="Q135" s="153">
        <f t="shared" si="60"/>
        <v>83.076694799999999</v>
      </c>
      <c r="R135" s="153">
        <f t="shared" si="61"/>
        <v>41.538347399999999</v>
      </c>
      <c r="S135" s="153">
        <f t="shared" si="48"/>
        <v>0.66312116713723779</v>
      </c>
      <c r="T135" s="153">
        <f t="shared" si="49"/>
        <v>78.846830887652132</v>
      </c>
      <c r="U135" s="153">
        <f t="shared" si="50"/>
        <v>157.69366177530426</v>
      </c>
      <c r="V135" s="153">
        <f>+C131+D132+D133+D134+(D135/2)</f>
        <v>0</v>
      </c>
      <c r="W135" s="153">
        <f t="shared" si="51"/>
        <v>0</v>
      </c>
      <c r="X135" s="153">
        <f t="shared" si="52"/>
        <v>0</v>
      </c>
      <c r="Y135" s="153">
        <f t="shared" si="62"/>
        <v>89</v>
      </c>
      <c r="Z135" s="153">
        <f t="shared" si="74"/>
        <v>89</v>
      </c>
      <c r="AA135" s="155">
        <f t="shared" si="53"/>
        <v>89</v>
      </c>
      <c r="AC135" s="156">
        <f t="shared" si="54"/>
        <v>0</v>
      </c>
      <c r="AD135" s="156"/>
      <c r="AE135" s="156"/>
      <c r="AF135" s="156"/>
      <c r="AG135" s="156"/>
      <c r="AH135" s="156"/>
      <c r="AI135" s="389" t="str">
        <f t="shared" si="63"/>
        <v>pin in groundstacking hole</v>
      </c>
      <c r="AJ135" s="514"/>
      <c r="AK135" s="514"/>
      <c r="AL135" s="514"/>
      <c r="AM135" s="156">
        <f>SUM(AC135:AC154)/($B$128-B134)</f>
        <v>0</v>
      </c>
      <c r="AN135" s="177">
        <f>SUM(D132:D135)+$C$131</f>
        <v>0</v>
      </c>
      <c r="AO135" s="177"/>
      <c r="AP135" s="390">
        <f t="shared" si="64"/>
        <v>70.630179100000007</v>
      </c>
      <c r="AQ135" s="178">
        <f t="shared" si="55"/>
        <v>0.94339748455555306</v>
      </c>
      <c r="AR135" s="162">
        <f t="shared" si="65"/>
        <v>125.38573325554864</v>
      </c>
      <c r="AS135" s="390">
        <f t="shared" si="66"/>
        <v>48.461652999999998</v>
      </c>
      <c r="AT135" s="179">
        <f t="shared" si="67"/>
        <v>0.74851207380038831</v>
      </c>
      <c r="AU135" s="162">
        <f t="shared" si="68"/>
        <v>89.000031706258056</v>
      </c>
      <c r="AV135" s="391"/>
      <c r="AW135" s="162">
        <f t="shared" si="75"/>
        <v>-29.700000000000003</v>
      </c>
      <c r="AX135" s="181"/>
      <c r="AY135" s="181">
        <f t="shared" si="69"/>
        <v>214.3857649618067</v>
      </c>
      <c r="AZ135" s="182">
        <f t="shared" ref="AZ135:AZ154" si="79">+AC135-AU135</f>
        <v>-89.000031706258056</v>
      </c>
      <c r="BA135" s="182"/>
      <c r="BB135" s="182">
        <f t="shared" si="76"/>
        <v>89.000031706258056</v>
      </c>
      <c r="BC135" s="184">
        <f t="shared" si="70"/>
        <v>-17.370352356898447</v>
      </c>
      <c r="BD135" s="184">
        <f t="shared" si="71"/>
        <v>-12.329647643101559</v>
      </c>
      <c r="BE135" s="374">
        <f t="shared" si="56"/>
        <v>-460.55484860805871</v>
      </c>
      <c r="BF135" s="374">
        <f t="shared" si="57"/>
        <v>-356.86340172598534</v>
      </c>
      <c r="BG135" s="376">
        <f t="shared" si="72"/>
        <v>460.55484860805871</v>
      </c>
      <c r="BH135" s="376">
        <f t="shared" si="72"/>
        <v>356.86340172598534</v>
      </c>
      <c r="BI135" s="2">
        <f t="shared" si="73"/>
        <v>0.3</v>
      </c>
      <c r="BJ135" s="91"/>
      <c r="BK135" s="261">
        <v>12</v>
      </c>
      <c r="BL135" s="546">
        <f t="shared" si="13"/>
        <v>357</v>
      </c>
      <c r="BM135" s="540">
        <f t="shared" si="19"/>
        <v>357</v>
      </c>
      <c r="BN135" s="548">
        <f t="shared" si="14"/>
        <v>214.40802470940443</v>
      </c>
      <c r="BO135" s="262">
        <f t="shared" si="10"/>
        <v>214.40802470940443</v>
      </c>
      <c r="BP135" s="262">
        <f t="shared" si="11"/>
        <v>10.40802470940443</v>
      </c>
      <c r="BQ135" s="262" t="b">
        <f t="shared" si="12"/>
        <v>0</v>
      </c>
    </row>
    <row r="136" spans="1:69" ht="18.75" thickBot="1" x14ac:dyDescent="0.3">
      <c r="B136" s="174">
        <v>6</v>
      </c>
      <c r="C136" s="175"/>
      <c r="D136" s="505">
        <v>0</v>
      </c>
      <c r="E136" s="146">
        <v>0</v>
      </c>
      <c r="F136" s="147">
        <v>1</v>
      </c>
      <c r="G136" s="147">
        <f t="shared" si="77"/>
        <v>4</v>
      </c>
      <c r="H136" s="147">
        <v>5</v>
      </c>
      <c r="I136" s="147" t="str">
        <f t="shared" si="78"/>
        <v/>
      </c>
      <c r="J136" s="147">
        <v>9</v>
      </c>
      <c r="K136" s="332">
        <v>12</v>
      </c>
      <c r="L136" s="150"/>
      <c r="M136" s="150">
        <f t="shared" si="58"/>
        <v>0.3</v>
      </c>
      <c r="N136" s="150">
        <f t="shared" si="59"/>
        <v>0.3</v>
      </c>
      <c r="O136" s="152">
        <v>118.90260000000001</v>
      </c>
      <c r="P136" s="152">
        <v>83.076694799999999</v>
      </c>
      <c r="Q136" s="153">
        <f t="shared" si="60"/>
        <v>83.076694799999999</v>
      </c>
      <c r="R136" s="153">
        <f t="shared" si="61"/>
        <v>41.538347399999999</v>
      </c>
      <c r="S136" s="153">
        <f t="shared" si="48"/>
        <v>0.66312116713723779</v>
      </c>
      <c r="T136" s="153">
        <f t="shared" si="49"/>
        <v>78.846830887652132</v>
      </c>
      <c r="U136" s="153">
        <f t="shared" si="50"/>
        <v>157.69366177530426</v>
      </c>
      <c r="V136" s="153">
        <f>+C131+D132+D133+D134+D135+(D136/2)</f>
        <v>0</v>
      </c>
      <c r="W136" s="153">
        <f t="shared" si="51"/>
        <v>0</v>
      </c>
      <c r="X136" s="153">
        <f t="shared" si="52"/>
        <v>0</v>
      </c>
      <c r="Y136" s="153">
        <f t="shared" si="62"/>
        <v>89</v>
      </c>
      <c r="Z136" s="153">
        <f t="shared" si="74"/>
        <v>89</v>
      </c>
      <c r="AA136" s="155">
        <f t="shared" si="53"/>
        <v>89</v>
      </c>
      <c r="AC136" s="156">
        <f t="shared" si="54"/>
        <v>0</v>
      </c>
      <c r="AD136" s="156"/>
      <c r="AE136" s="156"/>
      <c r="AF136" s="156"/>
      <c r="AG136" s="156"/>
      <c r="AH136" s="156"/>
      <c r="AI136" s="389" t="str">
        <f t="shared" si="63"/>
        <v>pin in groundstacking hole</v>
      </c>
      <c r="AJ136" s="514"/>
      <c r="AK136" s="514"/>
      <c r="AL136" s="514"/>
      <c r="AM136" s="156">
        <f>SUM(AC136:AC154)/($B$128-B135)</f>
        <v>0</v>
      </c>
      <c r="AN136" s="177">
        <f>SUM(D132:D136)+$C$131</f>
        <v>0</v>
      </c>
      <c r="AO136" s="177"/>
      <c r="AP136" s="390">
        <f t="shared" si="64"/>
        <v>70.630179100000007</v>
      </c>
      <c r="AQ136" s="178">
        <f t="shared" si="55"/>
        <v>0.94339748455555306</v>
      </c>
      <c r="AR136" s="162">
        <f t="shared" si="65"/>
        <v>125.38573325554864</v>
      </c>
      <c r="AS136" s="390">
        <f t="shared" si="66"/>
        <v>48.461652999999998</v>
      </c>
      <c r="AT136" s="179">
        <f t="shared" si="67"/>
        <v>0.74851207380038831</v>
      </c>
      <c r="AU136" s="162">
        <f t="shared" si="68"/>
        <v>89.000031706258056</v>
      </c>
      <c r="AV136" s="391"/>
      <c r="AW136" s="162">
        <f t="shared" si="75"/>
        <v>-39.6</v>
      </c>
      <c r="AX136" s="181"/>
      <c r="AY136" s="181">
        <f t="shared" si="69"/>
        <v>214.3857649618067</v>
      </c>
      <c r="AZ136" s="182">
        <f t="shared" si="79"/>
        <v>-89.000031706258056</v>
      </c>
      <c r="BA136" s="182"/>
      <c r="BB136" s="182">
        <f t="shared" si="76"/>
        <v>89.000031706258056</v>
      </c>
      <c r="BC136" s="184">
        <f t="shared" si="70"/>
        <v>-23.160469809197927</v>
      </c>
      <c r="BD136" s="184">
        <f t="shared" si="71"/>
        <v>-16.439530190802078</v>
      </c>
      <c r="BE136" s="374">
        <f t="shared" si="56"/>
        <v>-345.41613645604406</v>
      </c>
      <c r="BF136" s="374">
        <f t="shared" si="57"/>
        <v>-267.64755129448901</v>
      </c>
      <c r="BG136" s="376">
        <f t="shared" si="72"/>
        <v>345.41613645604406</v>
      </c>
      <c r="BH136" s="376">
        <f t="shared" si="72"/>
        <v>267.64755129448901</v>
      </c>
      <c r="BI136" s="2">
        <f t="shared" si="73"/>
        <v>0.3</v>
      </c>
      <c r="BJ136" s="91"/>
      <c r="BK136" s="261">
        <v>13</v>
      </c>
      <c r="BL136" s="546">
        <f t="shared" si="13"/>
        <v>382.5</v>
      </c>
      <c r="BM136" s="540">
        <f t="shared" si="19"/>
        <v>382.5</v>
      </c>
      <c r="BN136" s="548">
        <f t="shared" si="14"/>
        <v>239.90802470940443</v>
      </c>
      <c r="BO136" s="262">
        <f t="shared" si="10"/>
        <v>239.90802470940443</v>
      </c>
      <c r="BP136" s="262">
        <f t="shared" si="11"/>
        <v>10.40802470940443</v>
      </c>
      <c r="BQ136" s="262" t="b">
        <f t="shared" si="12"/>
        <v>0</v>
      </c>
    </row>
    <row r="137" spans="1:69" ht="18.75" thickBot="1" x14ac:dyDescent="0.3">
      <c r="B137" s="174">
        <v>7</v>
      </c>
      <c r="C137" s="175"/>
      <c r="D137" s="505">
        <v>0</v>
      </c>
      <c r="E137" s="146">
        <v>0</v>
      </c>
      <c r="F137" s="147">
        <v>1</v>
      </c>
      <c r="G137" s="147">
        <f t="shared" si="77"/>
        <v>4</v>
      </c>
      <c r="H137" s="147">
        <v>5</v>
      </c>
      <c r="I137" s="147" t="str">
        <f t="shared" si="78"/>
        <v/>
      </c>
      <c r="J137" s="147">
        <v>9</v>
      </c>
      <c r="K137" s="332">
        <v>12</v>
      </c>
      <c r="L137" s="150"/>
      <c r="M137" s="150">
        <f t="shared" si="58"/>
        <v>0.3</v>
      </c>
      <c r="N137" s="150">
        <f t="shared" si="59"/>
        <v>0.3</v>
      </c>
      <c r="O137" s="152">
        <v>118.90260000000001</v>
      </c>
      <c r="P137" s="152">
        <v>83.076694799999999</v>
      </c>
      <c r="Q137" s="153">
        <f t="shared" si="60"/>
        <v>83.076694799999999</v>
      </c>
      <c r="R137" s="153">
        <f t="shared" si="61"/>
        <v>41.538347399999999</v>
      </c>
      <c r="S137" s="153">
        <f t="shared" si="48"/>
        <v>0.66312116713723779</v>
      </c>
      <c r="T137" s="153">
        <f t="shared" si="49"/>
        <v>78.846830887652132</v>
      </c>
      <c r="U137" s="153">
        <f t="shared" si="50"/>
        <v>157.69366177530426</v>
      </c>
      <c r="V137" s="153">
        <f>+C131+D132+D133+D134+D135+D136+(D137/2)</f>
        <v>0</v>
      </c>
      <c r="W137" s="153">
        <f t="shared" si="51"/>
        <v>0</v>
      </c>
      <c r="X137" s="153">
        <f t="shared" si="52"/>
        <v>0</v>
      </c>
      <c r="Y137" s="153">
        <f t="shared" si="62"/>
        <v>89</v>
      </c>
      <c r="Z137" s="153">
        <f t="shared" si="74"/>
        <v>89</v>
      </c>
      <c r="AA137" s="155">
        <f t="shared" si="53"/>
        <v>89</v>
      </c>
      <c r="AC137" s="156">
        <f t="shared" si="54"/>
        <v>0</v>
      </c>
      <c r="AD137" s="156"/>
      <c r="AE137" s="156"/>
      <c r="AF137" s="156"/>
      <c r="AG137" s="156"/>
      <c r="AH137" s="156"/>
      <c r="AI137" s="389" t="str">
        <f t="shared" si="63"/>
        <v>pin in groundstacking hole</v>
      </c>
      <c r="AJ137" s="514"/>
      <c r="AK137" s="514"/>
      <c r="AL137" s="514"/>
      <c r="AM137" s="156">
        <f>SUM(AC137:AC154)/($B$128-B136)</f>
        <v>0</v>
      </c>
      <c r="AN137" s="177">
        <f>SUM(D132:D137)+$C$131</f>
        <v>0</v>
      </c>
      <c r="AO137" s="177"/>
      <c r="AP137" s="390">
        <f t="shared" si="64"/>
        <v>70.630179100000007</v>
      </c>
      <c r="AQ137" s="178">
        <f t="shared" si="55"/>
        <v>0.94339748455555306</v>
      </c>
      <c r="AR137" s="162">
        <f t="shared" si="65"/>
        <v>125.38573325554864</v>
      </c>
      <c r="AS137" s="390">
        <f t="shared" si="66"/>
        <v>48.461652999999998</v>
      </c>
      <c r="AT137" s="179">
        <f t="shared" si="67"/>
        <v>0.74851207380038831</v>
      </c>
      <c r="AU137" s="162">
        <f t="shared" si="68"/>
        <v>89.000031706258056</v>
      </c>
      <c r="AV137" s="391"/>
      <c r="AW137" s="162">
        <f t="shared" si="75"/>
        <v>-49.5</v>
      </c>
      <c r="AX137" s="181"/>
      <c r="AY137" s="181">
        <f t="shared" si="69"/>
        <v>214.3857649618067</v>
      </c>
      <c r="AZ137" s="182">
        <f t="shared" si="79"/>
        <v>-89.000031706258056</v>
      </c>
      <c r="BA137" s="182"/>
      <c r="BB137" s="182">
        <f t="shared" si="76"/>
        <v>89.000031706258056</v>
      </c>
      <c r="BC137" s="184">
        <f t="shared" si="70"/>
        <v>-28.950587261497407</v>
      </c>
      <c r="BD137" s="184">
        <f t="shared" si="71"/>
        <v>-20.549412738502596</v>
      </c>
      <c r="BE137" s="374">
        <f t="shared" si="56"/>
        <v>-276.33290916483526</v>
      </c>
      <c r="BF137" s="374">
        <f t="shared" si="57"/>
        <v>-214.11804103559123</v>
      </c>
      <c r="BG137" s="376">
        <f t="shared" si="72"/>
        <v>276.33290916483526</v>
      </c>
      <c r="BH137" s="376">
        <f t="shared" si="72"/>
        <v>214.11804103559123</v>
      </c>
      <c r="BI137" s="2">
        <f t="shared" si="73"/>
        <v>0.3</v>
      </c>
      <c r="BK137" s="261">
        <v>14</v>
      </c>
      <c r="BL137" s="546">
        <f t="shared" si="13"/>
        <v>408</v>
      </c>
      <c r="BM137" s="540">
        <f t="shared" si="19"/>
        <v>408</v>
      </c>
      <c r="BN137" s="548">
        <f t="shared" si="14"/>
        <v>265.40802470940446</v>
      </c>
      <c r="BO137" s="262">
        <f t="shared" si="10"/>
        <v>265.40802470940446</v>
      </c>
      <c r="BP137" s="262">
        <f t="shared" si="11"/>
        <v>10.40802470940443</v>
      </c>
      <c r="BQ137" s="262" t="b">
        <f t="shared" si="12"/>
        <v>0</v>
      </c>
    </row>
    <row r="138" spans="1:69" ht="18.75" thickBot="1" x14ac:dyDescent="0.3">
      <c r="B138" s="174">
        <v>8</v>
      </c>
      <c r="C138" s="175"/>
      <c r="D138" s="505">
        <v>0</v>
      </c>
      <c r="E138" s="146">
        <v>0</v>
      </c>
      <c r="F138" s="147">
        <v>1</v>
      </c>
      <c r="G138" s="147">
        <f t="shared" si="77"/>
        <v>4</v>
      </c>
      <c r="H138" s="147">
        <v>5</v>
      </c>
      <c r="I138" s="147" t="str">
        <f t="shared" si="78"/>
        <v/>
      </c>
      <c r="J138" s="147">
        <v>9</v>
      </c>
      <c r="K138" s="332">
        <v>12</v>
      </c>
      <c r="L138" s="150"/>
      <c r="M138" s="150">
        <f t="shared" si="58"/>
        <v>0.3</v>
      </c>
      <c r="N138" s="150">
        <f t="shared" si="59"/>
        <v>0.3</v>
      </c>
      <c r="O138" s="152">
        <v>118.90260000000001</v>
      </c>
      <c r="P138" s="152">
        <v>83.076694799999999</v>
      </c>
      <c r="Q138" s="153">
        <f t="shared" si="60"/>
        <v>83.076694799999999</v>
      </c>
      <c r="R138" s="153">
        <f t="shared" si="61"/>
        <v>41.538347399999999</v>
      </c>
      <c r="S138" s="153">
        <f t="shared" si="48"/>
        <v>0.66312116713723779</v>
      </c>
      <c r="T138" s="153">
        <f t="shared" si="49"/>
        <v>78.846830887652132</v>
      </c>
      <c r="U138" s="153">
        <f t="shared" si="50"/>
        <v>157.69366177530426</v>
      </c>
      <c r="V138" s="153">
        <f>+C131+D132+D133+D134+D135+D136+D137+(D138/2)</f>
        <v>0</v>
      </c>
      <c r="W138" s="153">
        <f t="shared" si="51"/>
        <v>0</v>
      </c>
      <c r="X138" s="153">
        <f t="shared" si="52"/>
        <v>0</v>
      </c>
      <c r="Y138" s="153">
        <f t="shared" si="62"/>
        <v>89</v>
      </c>
      <c r="Z138" s="153">
        <f t="shared" si="74"/>
        <v>89</v>
      </c>
      <c r="AA138" s="155">
        <f t="shared" si="53"/>
        <v>89</v>
      </c>
      <c r="AC138" s="156">
        <f t="shared" si="54"/>
        <v>0</v>
      </c>
      <c r="AD138" s="156"/>
      <c r="AE138" s="156"/>
      <c r="AF138" s="156"/>
      <c r="AG138" s="156"/>
      <c r="AH138" s="156"/>
      <c r="AI138" s="389" t="str">
        <f>IF(BF138&lt;0,"pin in groundstacking hole"," ")</f>
        <v>pin in groundstacking hole</v>
      </c>
      <c r="AJ138" s="514"/>
      <c r="AK138" s="514"/>
      <c r="AL138" s="514"/>
      <c r="AM138" s="156">
        <f>SUM(AC138:AC154)/($B$128-B137)</f>
        <v>0</v>
      </c>
      <c r="AN138" s="177">
        <f>SUM(D132:D138)+$C$131</f>
        <v>0</v>
      </c>
      <c r="AO138" s="177"/>
      <c r="AP138" s="390">
        <f t="shared" si="64"/>
        <v>70.630179100000007</v>
      </c>
      <c r="AQ138" s="178">
        <f t="shared" si="55"/>
        <v>0.94339748455555306</v>
      </c>
      <c r="AR138" s="162">
        <f t="shared" si="65"/>
        <v>125.38573325554864</v>
      </c>
      <c r="AS138" s="390">
        <f t="shared" si="66"/>
        <v>48.461652999999998</v>
      </c>
      <c r="AT138" s="179">
        <f t="shared" si="67"/>
        <v>0.74851207380038831</v>
      </c>
      <c r="AU138" s="162">
        <f t="shared" si="68"/>
        <v>89.000031706258056</v>
      </c>
      <c r="AV138" s="391"/>
      <c r="AW138" s="162">
        <f t="shared" si="75"/>
        <v>-59.400000000000006</v>
      </c>
      <c r="AX138" s="181"/>
      <c r="AY138" s="181">
        <f t="shared" si="69"/>
        <v>214.3857649618067</v>
      </c>
      <c r="AZ138" s="182">
        <f t="shared" si="79"/>
        <v>-89.000031706258056</v>
      </c>
      <c r="BA138" s="182"/>
      <c r="BB138" s="182">
        <f t="shared" si="76"/>
        <v>89.000031706258056</v>
      </c>
      <c r="BC138" s="184">
        <f t="shared" si="70"/>
        <v>-34.740704713796895</v>
      </c>
      <c r="BD138" s="184">
        <f t="shared" si="71"/>
        <v>-24.659295286203118</v>
      </c>
      <c r="BE138" s="374">
        <f t="shared" si="56"/>
        <v>-230.27742430402935</v>
      </c>
      <c r="BF138" s="374">
        <f t="shared" si="57"/>
        <v>-178.43170086299267</v>
      </c>
      <c r="BG138" s="376">
        <f t="shared" si="72"/>
        <v>230.27742430402935</v>
      </c>
      <c r="BH138" s="376">
        <f t="shared" si="72"/>
        <v>178.43170086299267</v>
      </c>
      <c r="BI138" s="2">
        <f t="shared" si="73"/>
        <v>0.3</v>
      </c>
      <c r="BK138" s="261">
        <v>15</v>
      </c>
      <c r="BL138" s="546">
        <f t="shared" si="13"/>
        <v>433.5</v>
      </c>
      <c r="BM138" s="540">
        <f t="shared" si="19"/>
        <v>433.5</v>
      </c>
      <c r="BN138" s="548">
        <f t="shared" si="14"/>
        <v>290.90802470940446</v>
      </c>
      <c r="BO138" s="262">
        <f t="shared" si="10"/>
        <v>290.90802470940446</v>
      </c>
      <c r="BP138" s="262">
        <f t="shared" si="11"/>
        <v>10.40802470940443</v>
      </c>
      <c r="BQ138" s="262" t="b">
        <f t="shared" si="12"/>
        <v>0</v>
      </c>
    </row>
    <row r="139" spans="1:69" ht="18.75" thickBot="1" x14ac:dyDescent="0.3">
      <c r="B139" s="174">
        <v>9</v>
      </c>
      <c r="C139" s="175"/>
      <c r="D139" s="505">
        <v>0</v>
      </c>
      <c r="E139" s="146">
        <v>0</v>
      </c>
      <c r="F139" s="147">
        <v>1</v>
      </c>
      <c r="G139" s="147">
        <f t="shared" si="77"/>
        <v>4</v>
      </c>
      <c r="H139" s="147">
        <v>5</v>
      </c>
      <c r="I139" s="147" t="str">
        <f t="shared" si="78"/>
        <v/>
      </c>
      <c r="J139" s="147">
        <v>9</v>
      </c>
      <c r="K139" s="332">
        <v>12</v>
      </c>
      <c r="L139" s="150"/>
      <c r="M139" s="150">
        <f t="shared" si="58"/>
        <v>0.3</v>
      </c>
      <c r="N139" s="150">
        <f t="shared" si="59"/>
        <v>0.3</v>
      </c>
      <c r="O139" s="152">
        <v>118.90260000000001</v>
      </c>
      <c r="P139" s="152">
        <v>83.076694799999999</v>
      </c>
      <c r="Q139" s="153">
        <f t="shared" si="60"/>
        <v>83.076694799999999</v>
      </c>
      <c r="R139" s="153">
        <f t="shared" si="61"/>
        <v>41.538347399999999</v>
      </c>
      <c r="S139" s="153">
        <f t="shared" si="48"/>
        <v>0.66312116713723779</v>
      </c>
      <c r="T139" s="153">
        <f t="shared" si="49"/>
        <v>78.846830887652132</v>
      </c>
      <c r="U139" s="153">
        <f t="shared" si="50"/>
        <v>157.69366177530426</v>
      </c>
      <c r="V139" s="153">
        <f>+C131+D132+D133+D134+D135+D136+D137+D138+(D139/2)</f>
        <v>0</v>
      </c>
      <c r="W139" s="153">
        <f t="shared" si="51"/>
        <v>0</v>
      </c>
      <c r="X139" s="153">
        <f t="shared" si="52"/>
        <v>0</v>
      </c>
      <c r="Y139" s="153">
        <f t="shared" si="62"/>
        <v>89</v>
      </c>
      <c r="Z139" s="153">
        <f t="shared" si="74"/>
        <v>89</v>
      </c>
      <c r="AA139" s="155">
        <f t="shared" si="53"/>
        <v>89</v>
      </c>
      <c r="AC139" s="156">
        <f t="shared" si="54"/>
        <v>0</v>
      </c>
      <c r="AD139" s="156"/>
      <c r="AE139" s="156"/>
      <c r="AF139" s="156"/>
      <c r="AG139" s="156"/>
      <c r="AH139" s="156"/>
      <c r="AI139" s="389" t="str">
        <f t="shared" si="63"/>
        <v>pin in groundstacking hole</v>
      </c>
      <c r="AJ139" s="514"/>
      <c r="AK139" s="514"/>
      <c r="AL139" s="514"/>
      <c r="AM139" s="156">
        <f>SUM(AC139:AC154)/($B$128-B138)</f>
        <v>0</v>
      </c>
      <c r="AN139" s="177">
        <f>SUM(D132:D139)+$C$131</f>
        <v>0</v>
      </c>
      <c r="AO139" s="177"/>
      <c r="AP139" s="390">
        <f t="shared" si="64"/>
        <v>70.630179100000007</v>
      </c>
      <c r="AQ139" s="178">
        <f t="shared" si="55"/>
        <v>0.94339748455555306</v>
      </c>
      <c r="AR139" s="162">
        <f t="shared" si="65"/>
        <v>125.38573325554864</v>
      </c>
      <c r="AS139" s="390">
        <f t="shared" si="66"/>
        <v>48.461652999999998</v>
      </c>
      <c r="AT139" s="179">
        <f t="shared" si="67"/>
        <v>0.74851207380038831</v>
      </c>
      <c r="AU139" s="162">
        <f t="shared" si="68"/>
        <v>89.000031706258056</v>
      </c>
      <c r="AV139" s="391"/>
      <c r="AW139" s="162">
        <f t="shared" si="75"/>
        <v>-69.3</v>
      </c>
      <c r="AX139" s="181"/>
      <c r="AY139" s="181">
        <f t="shared" si="69"/>
        <v>214.3857649618067</v>
      </c>
      <c r="AZ139" s="182">
        <f t="shared" si="79"/>
        <v>-89.000031706258056</v>
      </c>
      <c r="BA139" s="182"/>
      <c r="BB139" s="182">
        <f t="shared" si="76"/>
        <v>89.000031706258056</v>
      </c>
      <c r="BC139" s="184">
        <f t="shared" si="70"/>
        <v>-40.530822166096371</v>
      </c>
      <c r="BD139" s="184">
        <f t="shared" si="71"/>
        <v>-28.769177833903633</v>
      </c>
      <c r="BE139" s="374">
        <f t="shared" si="56"/>
        <v>-197.38064940345376</v>
      </c>
      <c r="BF139" s="374">
        <f t="shared" si="57"/>
        <v>-152.94145788256517</v>
      </c>
      <c r="BG139" s="376">
        <f t="shared" si="72"/>
        <v>197.38064940345376</v>
      </c>
      <c r="BH139" s="376">
        <f t="shared" si="72"/>
        <v>152.94145788256517</v>
      </c>
      <c r="BI139" s="2">
        <f t="shared" si="73"/>
        <v>0.3</v>
      </c>
      <c r="BK139" s="261">
        <v>16</v>
      </c>
      <c r="BL139" s="546">
        <f t="shared" si="13"/>
        <v>459</v>
      </c>
      <c r="BM139" s="540">
        <f t="shared" si="19"/>
        <v>459</v>
      </c>
      <c r="BN139" s="548">
        <f t="shared" si="14"/>
        <v>316.40802470940446</v>
      </c>
      <c r="BO139" s="262">
        <f t="shared" si="10"/>
        <v>316.40802470940446</v>
      </c>
      <c r="BP139" s="262">
        <f t="shared" si="11"/>
        <v>10.40802470940443</v>
      </c>
      <c r="BQ139" s="262" t="b">
        <f t="shared" si="12"/>
        <v>0</v>
      </c>
    </row>
    <row r="140" spans="1:69" ht="18.75" thickBot="1" x14ac:dyDescent="0.3">
      <c r="B140" s="174">
        <v>10</v>
      </c>
      <c r="C140" s="175"/>
      <c r="D140" s="505">
        <v>0</v>
      </c>
      <c r="E140" s="146">
        <v>0</v>
      </c>
      <c r="F140" s="147">
        <v>1</v>
      </c>
      <c r="G140" s="147">
        <f t="shared" si="77"/>
        <v>4</v>
      </c>
      <c r="H140" s="147">
        <v>5</v>
      </c>
      <c r="I140" s="147" t="str">
        <f t="shared" si="78"/>
        <v/>
      </c>
      <c r="J140" s="147">
        <v>9</v>
      </c>
      <c r="K140" s="332">
        <v>12</v>
      </c>
      <c r="L140" s="150"/>
      <c r="M140" s="150">
        <f t="shared" si="58"/>
        <v>0.3</v>
      </c>
      <c r="N140" s="150">
        <f t="shared" si="59"/>
        <v>0.3</v>
      </c>
      <c r="O140" s="152">
        <v>118.90260000000001</v>
      </c>
      <c r="P140" s="152">
        <v>83.076694799999999</v>
      </c>
      <c r="Q140" s="153">
        <f t="shared" si="60"/>
        <v>83.076694799999999</v>
      </c>
      <c r="R140" s="153">
        <f t="shared" si="61"/>
        <v>41.538347399999999</v>
      </c>
      <c r="S140" s="153">
        <f t="shared" si="48"/>
        <v>0.66312116713723779</v>
      </c>
      <c r="T140" s="153">
        <f t="shared" si="49"/>
        <v>78.846830887652132</v>
      </c>
      <c r="U140" s="153">
        <f t="shared" si="50"/>
        <v>157.69366177530426</v>
      </c>
      <c r="V140" s="153">
        <f>+C131+D132+D133+D134+D135+D136+D137+D138+D139+(D140/2)</f>
        <v>0</v>
      </c>
      <c r="W140" s="153">
        <f t="shared" si="51"/>
        <v>0</v>
      </c>
      <c r="X140" s="153">
        <f t="shared" si="52"/>
        <v>0</v>
      </c>
      <c r="Y140" s="153">
        <f t="shared" si="62"/>
        <v>89</v>
      </c>
      <c r="Z140" s="153">
        <f t="shared" si="74"/>
        <v>89</v>
      </c>
      <c r="AA140" s="155">
        <f t="shared" si="53"/>
        <v>89</v>
      </c>
      <c r="AC140" s="156">
        <f t="shared" si="54"/>
        <v>0</v>
      </c>
      <c r="AD140" s="156"/>
      <c r="AE140" s="156"/>
      <c r="AF140" s="156"/>
      <c r="AG140" s="156"/>
      <c r="AH140" s="156"/>
      <c r="AI140" s="389" t="str">
        <f t="shared" si="63"/>
        <v>pin in groundstacking hole</v>
      </c>
      <c r="AJ140" s="514"/>
      <c r="AK140" s="514"/>
      <c r="AL140" s="514"/>
      <c r="AM140" s="156">
        <f>SUM(AC140:AC154)/($B$128-B139)</f>
        <v>0</v>
      </c>
      <c r="AN140" s="177">
        <f>SUM(D132:D140)+$C$131</f>
        <v>0</v>
      </c>
      <c r="AO140" s="177"/>
      <c r="AP140" s="390">
        <f t="shared" si="64"/>
        <v>70.630179100000007</v>
      </c>
      <c r="AQ140" s="178">
        <f t="shared" si="55"/>
        <v>0.94339748455555306</v>
      </c>
      <c r="AR140" s="162">
        <f t="shared" si="65"/>
        <v>125.38573325554864</v>
      </c>
      <c r="AS140" s="390">
        <f t="shared" si="66"/>
        <v>48.461652999999998</v>
      </c>
      <c r="AT140" s="179">
        <f t="shared" si="67"/>
        <v>0.74851207380038831</v>
      </c>
      <c r="AU140" s="162">
        <f t="shared" si="68"/>
        <v>89.000031706258056</v>
      </c>
      <c r="AV140" s="391"/>
      <c r="AW140" s="162">
        <f t="shared" si="75"/>
        <v>-79.2</v>
      </c>
      <c r="AX140" s="181"/>
      <c r="AY140" s="181">
        <f t="shared" si="69"/>
        <v>214.3857649618067</v>
      </c>
      <c r="AZ140" s="182">
        <f t="shared" si="79"/>
        <v>-89.000031706258056</v>
      </c>
      <c r="BA140" s="182"/>
      <c r="BB140" s="182">
        <f t="shared" si="76"/>
        <v>89.000031706258056</v>
      </c>
      <c r="BC140" s="184">
        <f t="shared" si="70"/>
        <v>-46.320939618395855</v>
      </c>
      <c r="BD140" s="184">
        <f t="shared" si="71"/>
        <v>-32.879060381604155</v>
      </c>
      <c r="BE140" s="374">
        <f t="shared" si="56"/>
        <v>-172.70806822802203</v>
      </c>
      <c r="BF140" s="374">
        <f t="shared" si="57"/>
        <v>-133.8237756472445</v>
      </c>
      <c r="BG140" s="376">
        <f t="shared" si="72"/>
        <v>172.70806822802203</v>
      </c>
      <c r="BH140" s="376">
        <f t="shared" si="72"/>
        <v>133.8237756472445</v>
      </c>
      <c r="BI140" s="2">
        <f t="shared" si="73"/>
        <v>0.3</v>
      </c>
      <c r="BK140" s="261">
        <v>17</v>
      </c>
      <c r="BL140" s="546">
        <f t="shared" si="13"/>
        <v>484.5</v>
      </c>
      <c r="BM140" s="540">
        <f t="shared" si="19"/>
        <v>484.5</v>
      </c>
      <c r="BN140" s="548">
        <f t="shared" si="14"/>
        <v>341.90802470940446</v>
      </c>
      <c r="BO140" s="262">
        <f t="shared" si="10"/>
        <v>341.90802470940446</v>
      </c>
      <c r="BP140" s="262">
        <f t="shared" si="11"/>
        <v>10.40802470940443</v>
      </c>
      <c r="BQ140" s="262" t="b">
        <f t="shared" si="12"/>
        <v>0</v>
      </c>
    </row>
    <row r="141" spans="1:69" ht="18.75" thickBot="1" x14ac:dyDescent="0.3">
      <c r="A141" s="185"/>
      <c r="B141" s="174">
        <v>11</v>
      </c>
      <c r="C141" s="175"/>
      <c r="D141" s="505">
        <v>0</v>
      </c>
      <c r="E141" s="146">
        <v>0</v>
      </c>
      <c r="F141" s="147">
        <v>1</v>
      </c>
      <c r="G141" s="147">
        <f t="shared" si="77"/>
        <v>4</v>
      </c>
      <c r="H141" s="147">
        <v>5</v>
      </c>
      <c r="I141" s="147" t="str">
        <f t="shared" si="78"/>
        <v/>
      </c>
      <c r="J141" s="147">
        <v>9</v>
      </c>
      <c r="K141" s="332">
        <v>12</v>
      </c>
      <c r="L141" s="150"/>
      <c r="M141" s="150">
        <f t="shared" si="58"/>
        <v>0.3</v>
      </c>
      <c r="N141" s="150">
        <f t="shared" si="59"/>
        <v>0.3</v>
      </c>
      <c r="O141" s="152">
        <v>118.90260000000001</v>
      </c>
      <c r="P141" s="152">
        <v>83.076694799999999</v>
      </c>
      <c r="Q141" s="153">
        <f t="shared" si="60"/>
        <v>83.076694799999999</v>
      </c>
      <c r="R141" s="153">
        <f t="shared" si="61"/>
        <v>41.538347399999999</v>
      </c>
      <c r="S141" s="153">
        <f t="shared" si="48"/>
        <v>0.66312116713723779</v>
      </c>
      <c r="T141" s="153">
        <f t="shared" si="49"/>
        <v>78.846830887652132</v>
      </c>
      <c r="U141" s="153">
        <f t="shared" si="50"/>
        <v>157.69366177530426</v>
      </c>
      <c r="V141" s="153">
        <f>+C131+D132+D133+D134+D135+D136+D137+D138+D139+D140+(D141/2)</f>
        <v>0</v>
      </c>
      <c r="W141" s="153">
        <f t="shared" si="51"/>
        <v>0</v>
      </c>
      <c r="X141" s="153">
        <f t="shared" si="52"/>
        <v>0</v>
      </c>
      <c r="Y141" s="153">
        <f t="shared" si="62"/>
        <v>89</v>
      </c>
      <c r="Z141" s="153">
        <f t="shared" si="74"/>
        <v>89</v>
      </c>
      <c r="AA141" s="155">
        <f t="shared" si="53"/>
        <v>89</v>
      </c>
      <c r="AC141" s="156">
        <f t="shared" si="54"/>
        <v>0</v>
      </c>
      <c r="AD141" s="156"/>
      <c r="AE141" s="156"/>
      <c r="AF141" s="156"/>
      <c r="AG141" s="156"/>
      <c r="AH141" s="156"/>
      <c r="AI141" s="389" t="str">
        <f t="shared" si="63"/>
        <v>pin in groundstacking hole</v>
      </c>
      <c r="AJ141" s="514"/>
      <c r="AK141" s="514"/>
      <c r="AL141" s="514"/>
      <c r="AM141" s="156">
        <f>SUM(AC141:AC154)/($B$128-B140)</f>
        <v>0</v>
      </c>
      <c r="AN141" s="177">
        <f>SUM(D132:D141)+$C$131</f>
        <v>0</v>
      </c>
      <c r="AO141" s="177"/>
      <c r="AP141" s="390">
        <f t="shared" si="64"/>
        <v>70.630179100000007</v>
      </c>
      <c r="AQ141" s="178">
        <f t="shared" si="55"/>
        <v>0.94339748455555306</v>
      </c>
      <c r="AR141" s="162">
        <f t="shared" si="65"/>
        <v>125.38573325554864</v>
      </c>
      <c r="AS141" s="390">
        <f t="shared" si="66"/>
        <v>48.461652999999998</v>
      </c>
      <c r="AT141" s="179">
        <f t="shared" si="67"/>
        <v>0.74851207380038831</v>
      </c>
      <c r="AU141" s="162">
        <f t="shared" si="68"/>
        <v>89.000031706258056</v>
      </c>
      <c r="AV141" s="391"/>
      <c r="AW141" s="162">
        <f t="shared" si="75"/>
        <v>-89.100000000000009</v>
      </c>
      <c r="AX141" s="181"/>
      <c r="AY141" s="181">
        <f t="shared" si="69"/>
        <v>214.3857649618067</v>
      </c>
      <c r="AZ141" s="182">
        <f t="shared" si="79"/>
        <v>-89.000031706258056</v>
      </c>
      <c r="BA141" s="182"/>
      <c r="BB141" s="182">
        <f t="shared" si="76"/>
        <v>89.000031706258056</v>
      </c>
      <c r="BC141" s="184">
        <f t="shared" si="70"/>
        <v>-52.111057070695338</v>
      </c>
      <c r="BD141" s="184">
        <f t="shared" si="71"/>
        <v>-36.988942929304677</v>
      </c>
      <c r="BE141" s="374">
        <f t="shared" si="56"/>
        <v>-153.5182828693529</v>
      </c>
      <c r="BF141" s="374">
        <f t="shared" si="57"/>
        <v>-118.95446724199512</v>
      </c>
      <c r="BG141" s="376">
        <f t="shared" si="72"/>
        <v>153.5182828693529</v>
      </c>
      <c r="BH141" s="376">
        <f t="shared" si="72"/>
        <v>118.95446724199512</v>
      </c>
      <c r="BI141" s="2">
        <f t="shared" si="73"/>
        <v>0.3</v>
      </c>
      <c r="BK141" s="261">
        <v>18</v>
      </c>
      <c r="BL141" s="546">
        <f t="shared" si="13"/>
        <v>510</v>
      </c>
      <c r="BM141" s="540">
        <f t="shared" si="19"/>
        <v>510</v>
      </c>
      <c r="BN141" s="548">
        <f t="shared" si="14"/>
        <v>367.40802470940446</v>
      </c>
      <c r="BO141" s="262">
        <f t="shared" si="10"/>
        <v>367.40802470940446</v>
      </c>
      <c r="BP141" s="262">
        <f t="shared" si="11"/>
        <v>10.40802470940443</v>
      </c>
      <c r="BQ141" s="262" t="b">
        <f t="shared" si="12"/>
        <v>0</v>
      </c>
    </row>
    <row r="142" spans="1:69" ht="18.75" thickBot="1" x14ac:dyDescent="0.3">
      <c r="A142" s="185"/>
      <c r="B142" s="174">
        <v>12</v>
      </c>
      <c r="C142" s="175"/>
      <c r="D142" s="505">
        <v>0</v>
      </c>
      <c r="E142" s="146">
        <v>0</v>
      </c>
      <c r="F142" s="147">
        <v>1</v>
      </c>
      <c r="G142" s="147">
        <f t="shared" si="77"/>
        <v>4</v>
      </c>
      <c r="H142" s="147">
        <v>5</v>
      </c>
      <c r="I142" s="147" t="str">
        <f t="shared" si="78"/>
        <v/>
      </c>
      <c r="J142" s="147">
        <v>9</v>
      </c>
      <c r="K142" s="332">
        <v>12</v>
      </c>
      <c r="L142" s="150"/>
      <c r="M142" s="150">
        <f t="shared" si="58"/>
        <v>0.3</v>
      </c>
      <c r="N142" s="150">
        <f t="shared" si="59"/>
        <v>0.3</v>
      </c>
      <c r="O142" s="152">
        <v>118.90260000000001</v>
      </c>
      <c r="P142" s="152">
        <v>83.076694799999999</v>
      </c>
      <c r="Q142" s="153">
        <f t="shared" si="60"/>
        <v>83.076694799999999</v>
      </c>
      <c r="R142" s="153">
        <f t="shared" si="61"/>
        <v>41.538347399999999</v>
      </c>
      <c r="S142" s="153">
        <f t="shared" si="48"/>
        <v>0.66312116713723779</v>
      </c>
      <c r="T142" s="153">
        <f t="shared" si="49"/>
        <v>78.846830887652132</v>
      </c>
      <c r="U142" s="153">
        <f t="shared" si="50"/>
        <v>157.69366177530426</v>
      </c>
      <c r="V142" s="153">
        <f>+C131+D132+D133+D134+D135+D136+D137+D138+D139+D140+D141+(D142/2)</f>
        <v>0</v>
      </c>
      <c r="W142" s="153">
        <f t="shared" si="51"/>
        <v>0</v>
      </c>
      <c r="X142" s="153">
        <f t="shared" si="52"/>
        <v>0</v>
      </c>
      <c r="Y142" s="153">
        <f t="shared" si="62"/>
        <v>89</v>
      </c>
      <c r="Z142" s="153">
        <f t="shared" si="74"/>
        <v>89</v>
      </c>
      <c r="AA142" s="155">
        <f t="shared" si="53"/>
        <v>89</v>
      </c>
      <c r="AC142" s="156">
        <f t="shared" si="54"/>
        <v>0</v>
      </c>
      <c r="AD142" s="156"/>
      <c r="AE142" s="156"/>
      <c r="AF142" s="156"/>
      <c r="AG142" s="156"/>
      <c r="AH142" s="156"/>
      <c r="AI142" s="389" t="str">
        <f t="shared" si="63"/>
        <v>pin in groundstacking hole</v>
      </c>
      <c r="AJ142" s="514"/>
      <c r="AK142" s="514"/>
      <c r="AL142" s="514"/>
      <c r="AM142" s="156">
        <f>SUM(AC142:AC154)/($B$128-B141)</f>
        <v>0</v>
      </c>
      <c r="AN142" s="177">
        <f>SUM(D132:D142)+$C$131</f>
        <v>0</v>
      </c>
      <c r="AO142" s="177"/>
      <c r="AP142" s="390">
        <f t="shared" si="64"/>
        <v>70.630179100000007</v>
      </c>
      <c r="AQ142" s="178">
        <f t="shared" si="55"/>
        <v>0.94339748455555306</v>
      </c>
      <c r="AR142" s="162">
        <f t="shared" si="65"/>
        <v>125.38573325554864</v>
      </c>
      <c r="AS142" s="390">
        <f t="shared" si="66"/>
        <v>48.461652999999998</v>
      </c>
      <c r="AT142" s="179">
        <f t="shared" si="67"/>
        <v>0.74851207380038831</v>
      </c>
      <c r="AU142" s="162">
        <f t="shared" si="68"/>
        <v>89.000031706258056</v>
      </c>
      <c r="AV142" s="391"/>
      <c r="AW142" s="162">
        <f t="shared" si="75"/>
        <v>-99</v>
      </c>
      <c r="AX142" s="181"/>
      <c r="AY142" s="181">
        <f t="shared" si="69"/>
        <v>214.3857649618067</v>
      </c>
      <c r="AZ142" s="182">
        <f t="shared" si="79"/>
        <v>-89.000031706258056</v>
      </c>
      <c r="BA142" s="182"/>
      <c r="BB142" s="182">
        <f t="shared" si="76"/>
        <v>89.000031706258056</v>
      </c>
      <c r="BC142" s="184">
        <f t="shared" si="70"/>
        <v>-57.901174522994815</v>
      </c>
      <c r="BD142" s="184">
        <f t="shared" si="71"/>
        <v>-41.098825477005192</v>
      </c>
      <c r="BE142" s="374">
        <f t="shared" si="56"/>
        <v>-138.16645458241763</v>
      </c>
      <c r="BF142" s="374">
        <f t="shared" si="57"/>
        <v>-107.05902051779562</v>
      </c>
      <c r="BG142" s="376">
        <f t="shared" si="72"/>
        <v>138.16645458241763</v>
      </c>
      <c r="BH142" s="376">
        <f t="shared" si="72"/>
        <v>107.05902051779562</v>
      </c>
      <c r="BI142" s="2">
        <f t="shared" si="73"/>
        <v>0.3</v>
      </c>
      <c r="BK142" s="261">
        <v>19</v>
      </c>
      <c r="BL142" s="546">
        <f t="shared" si="13"/>
        <v>535.5</v>
      </c>
      <c r="BM142" s="540">
        <f t="shared" si="19"/>
        <v>535.5</v>
      </c>
      <c r="BN142" s="548">
        <f t="shared" si="14"/>
        <v>392.90802470940446</v>
      </c>
      <c r="BO142" s="262">
        <f t="shared" si="10"/>
        <v>392.90802470940446</v>
      </c>
      <c r="BP142" s="262">
        <f t="shared" si="11"/>
        <v>10.40802470940443</v>
      </c>
      <c r="BQ142" s="262" t="b">
        <f t="shared" si="12"/>
        <v>0</v>
      </c>
    </row>
    <row r="143" spans="1:69" ht="18.75" thickBot="1" x14ac:dyDescent="0.3">
      <c r="B143" s="174">
        <v>13</v>
      </c>
      <c r="C143" s="175"/>
      <c r="D143" s="505">
        <v>0</v>
      </c>
      <c r="E143" s="146">
        <v>0</v>
      </c>
      <c r="F143" s="147">
        <v>1</v>
      </c>
      <c r="G143" s="147">
        <f t="shared" si="77"/>
        <v>4</v>
      </c>
      <c r="H143" s="147">
        <v>5</v>
      </c>
      <c r="I143" s="147" t="str">
        <f t="shared" si="78"/>
        <v/>
      </c>
      <c r="J143" s="147">
        <v>9</v>
      </c>
      <c r="K143" s="332">
        <v>12</v>
      </c>
      <c r="L143" s="150"/>
      <c r="M143" s="150">
        <f t="shared" si="58"/>
        <v>0.3</v>
      </c>
      <c r="N143" s="150">
        <f t="shared" si="59"/>
        <v>0.3</v>
      </c>
      <c r="O143" s="152">
        <v>118.90260000000001</v>
      </c>
      <c r="P143" s="152">
        <v>83.076694799999999</v>
      </c>
      <c r="Q143" s="153">
        <f t="shared" si="60"/>
        <v>83.076694799999999</v>
      </c>
      <c r="R143" s="153">
        <f t="shared" si="61"/>
        <v>41.538347399999999</v>
      </c>
      <c r="S143" s="153">
        <f t="shared" si="48"/>
        <v>0.66312116713723779</v>
      </c>
      <c r="T143" s="153">
        <f t="shared" si="49"/>
        <v>78.846830887652132</v>
      </c>
      <c r="U143" s="153">
        <f t="shared" si="50"/>
        <v>157.69366177530426</v>
      </c>
      <c r="V143" s="153">
        <f>+C131+D132+D133+D134+D135+D136+D137+D138+D139+D140+D141+D142+(D143/2)</f>
        <v>0</v>
      </c>
      <c r="W143" s="153">
        <f t="shared" si="51"/>
        <v>0</v>
      </c>
      <c r="X143" s="153">
        <f t="shared" si="52"/>
        <v>0</v>
      </c>
      <c r="Y143" s="153">
        <f t="shared" si="62"/>
        <v>89</v>
      </c>
      <c r="Z143" s="153">
        <f t="shared" si="74"/>
        <v>89</v>
      </c>
      <c r="AA143" s="155">
        <f t="shared" si="53"/>
        <v>89</v>
      </c>
      <c r="AC143" s="156">
        <f t="shared" si="54"/>
        <v>0</v>
      </c>
      <c r="AD143" s="156"/>
      <c r="AE143" s="156"/>
      <c r="AF143" s="156"/>
      <c r="AG143" s="156"/>
      <c r="AH143" s="156"/>
      <c r="AI143" s="389" t="str">
        <f t="shared" si="63"/>
        <v>pin in groundstacking hole</v>
      </c>
      <c r="AJ143" s="514"/>
      <c r="AK143" s="514"/>
      <c r="AL143" s="514"/>
      <c r="AM143" s="156">
        <f>SUM(AC143:AC154)/($B$128-B142)</f>
        <v>0</v>
      </c>
      <c r="AN143" s="177">
        <f>SUM(D132:D143)+$C$131</f>
        <v>0</v>
      </c>
      <c r="AO143" s="177"/>
      <c r="AP143" s="390">
        <f t="shared" si="64"/>
        <v>70.630179100000007</v>
      </c>
      <c r="AQ143" s="178">
        <f t="shared" si="55"/>
        <v>0.94339748455555306</v>
      </c>
      <c r="AR143" s="162">
        <f t="shared" si="65"/>
        <v>125.38573325554864</v>
      </c>
      <c r="AS143" s="390">
        <f t="shared" si="66"/>
        <v>48.461652999999998</v>
      </c>
      <c r="AT143" s="179">
        <f t="shared" si="67"/>
        <v>0.74851207380038831</v>
      </c>
      <c r="AU143" s="162">
        <f t="shared" si="68"/>
        <v>89.000031706258056</v>
      </c>
      <c r="AV143" s="391"/>
      <c r="AW143" s="162">
        <f t="shared" si="75"/>
        <v>-108.9</v>
      </c>
      <c r="AX143" s="181"/>
      <c r="AY143" s="181">
        <f t="shared" si="69"/>
        <v>214.3857649618067</v>
      </c>
      <c r="AZ143" s="182">
        <f t="shared" si="79"/>
        <v>-89.000031706258056</v>
      </c>
      <c r="BA143" s="182"/>
      <c r="BB143" s="182">
        <f t="shared" si="76"/>
        <v>89.000031706258056</v>
      </c>
      <c r="BC143" s="184">
        <f t="shared" si="70"/>
        <v>-63.691291975294298</v>
      </c>
      <c r="BD143" s="184">
        <f t="shared" si="71"/>
        <v>-45.208708024705714</v>
      </c>
      <c r="BE143" s="374">
        <f t="shared" si="56"/>
        <v>-125.60586780219785</v>
      </c>
      <c r="BF143" s="374">
        <f t="shared" si="57"/>
        <v>-97.326382288905094</v>
      </c>
      <c r="BG143" s="376">
        <f t="shared" si="72"/>
        <v>125.60586780219785</v>
      </c>
      <c r="BH143" s="376">
        <f t="shared" si="72"/>
        <v>97.326382288905094</v>
      </c>
      <c r="BI143" s="2">
        <f t="shared" si="73"/>
        <v>0.3</v>
      </c>
      <c r="BK143" s="261">
        <v>20</v>
      </c>
      <c r="BL143" s="546">
        <f t="shared" si="13"/>
        <v>561</v>
      </c>
      <c r="BM143" s="540">
        <f t="shared" si="19"/>
        <v>561</v>
      </c>
      <c r="BN143" s="548">
        <f t="shared" si="14"/>
        <v>418.40802470940446</v>
      </c>
      <c r="BO143" s="262">
        <f t="shared" si="10"/>
        <v>418.40802470940446</v>
      </c>
      <c r="BP143" s="262">
        <f t="shared" si="11"/>
        <v>10.40802470940443</v>
      </c>
      <c r="BQ143" s="262" t="b">
        <f t="shared" si="12"/>
        <v>0</v>
      </c>
    </row>
    <row r="144" spans="1:69" ht="18.75" thickBot="1" x14ac:dyDescent="0.3">
      <c r="B144" s="174">
        <v>14</v>
      </c>
      <c r="C144" s="175"/>
      <c r="D144" s="505">
        <v>0</v>
      </c>
      <c r="E144" s="146">
        <v>0</v>
      </c>
      <c r="F144" s="147">
        <v>1</v>
      </c>
      <c r="G144" s="147">
        <f t="shared" si="77"/>
        <v>4</v>
      </c>
      <c r="H144" s="147">
        <v>5</v>
      </c>
      <c r="I144" s="147" t="str">
        <f t="shared" si="78"/>
        <v/>
      </c>
      <c r="J144" s="147">
        <v>9</v>
      </c>
      <c r="K144" s="332">
        <v>12</v>
      </c>
      <c r="L144" s="150"/>
      <c r="M144" s="150">
        <f t="shared" si="58"/>
        <v>0.3</v>
      </c>
      <c r="N144" s="150">
        <f t="shared" si="59"/>
        <v>0.3</v>
      </c>
      <c r="O144" s="152">
        <v>118.90260000000001</v>
      </c>
      <c r="P144" s="152">
        <v>83.076694799999999</v>
      </c>
      <c r="Q144" s="153">
        <f t="shared" si="60"/>
        <v>83.076694799999999</v>
      </c>
      <c r="R144" s="153">
        <f t="shared" si="61"/>
        <v>41.538347399999999</v>
      </c>
      <c r="S144" s="153">
        <f t="shared" si="48"/>
        <v>0.66312116713723779</v>
      </c>
      <c r="T144" s="153">
        <f t="shared" si="49"/>
        <v>78.846830887652132</v>
      </c>
      <c r="U144" s="153">
        <f t="shared" si="50"/>
        <v>157.69366177530426</v>
      </c>
      <c r="V144" s="153">
        <f>+C131+D132+D133+D134+D135+D136+D137+D138+D139+D140+D141+D142+D143+(D144/2)</f>
        <v>0</v>
      </c>
      <c r="W144" s="153">
        <f t="shared" si="51"/>
        <v>0</v>
      </c>
      <c r="X144" s="153">
        <f t="shared" si="52"/>
        <v>0</v>
      </c>
      <c r="Y144" s="153">
        <f t="shared" si="62"/>
        <v>89</v>
      </c>
      <c r="Z144" s="153">
        <f t="shared" si="74"/>
        <v>89</v>
      </c>
      <c r="AA144" s="155">
        <f t="shared" si="53"/>
        <v>89</v>
      </c>
      <c r="AC144" s="156">
        <f t="shared" si="54"/>
        <v>0</v>
      </c>
      <c r="AD144" s="156"/>
      <c r="AE144" s="156"/>
      <c r="AF144" s="156"/>
      <c r="AG144" s="156"/>
      <c r="AH144" s="156"/>
      <c r="AI144" s="389" t="str">
        <f t="shared" si="63"/>
        <v>pin in groundstacking hole</v>
      </c>
      <c r="AJ144" s="514"/>
      <c r="AK144" s="514"/>
      <c r="AL144" s="514"/>
      <c r="AM144" s="156">
        <f>SUM(AC144:AC154)/($B$128-B143)</f>
        <v>0</v>
      </c>
      <c r="AN144" s="177">
        <f>SUM(D132:D144)+$C$131</f>
        <v>0</v>
      </c>
      <c r="AO144" s="177"/>
      <c r="AP144" s="390">
        <f t="shared" si="64"/>
        <v>70.630179100000007</v>
      </c>
      <c r="AQ144" s="178">
        <f t="shared" si="55"/>
        <v>0.94339748455555306</v>
      </c>
      <c r="AR144" s="162">
        <f t="shared" si="65"/>
        <v>125.38573325554864</v>
      </c>
      <c r="AS144" s="390">
        <f t="shared" si="66"/>
        <v>48.461652999999998</v>
      </c>
      <c r="AT144" s="179">
        <f t="shared" si="67"/>
        <v>0.74851207380038831</v>
      </c>
      <c r="AU144" s="162">
        <f t="shared" si="68"/>
        <v>89.000031706258056</v>
      </c>
      <c r="AV144" s="391"/>
      <c r="AW144" s="162">
        <f t="shared" si="75"/>
        <v>-118.80000000000001</v>
      </c>
      <c r="AX144" s="181"/>
      <c r="AY144" s="181">
        <f t="shared" si="69"/>
        <v>214.3857649618067</v>
      </c>
      <c r="AZ144" s="182">
        <f t="shared" si="79"/>
        <v>-89.000031706258056</v>
      </c>
      <c r="BA144" s="182"/>
      <c r="BB144" s="182">
        <f t="shared" si="76"/>
        <v>89.000031706258056</v>
      </c>
      <c r="BC144" s="184">
        <f t="shared" si="70"/>
        <v>-69.481409427593789</v>
      </c>
      <c r="BD144" s="184">
        <f t="shared" si="71"/>
        <v>-49.318590572406237</v>
      </c>
      <c r="BE144" s="374">
        <f t="shared" si="56"/>
        <v>-115.13871215201468</v>
      </c>
      <c r="BF144" s="374">
        <f t="shared" si="57"/>
        <v>-89.215850431496335</v>
      </c>
      <c r="BG144" s="376">
        <f t="shared" si="72"/>
        <v>115.13871215201468</v>
      </c>
      <c r="BH144" s="376">
        <f t="shared" si="72"/>
        <v>89.215850431496335</v>
      </c>
      <c r="BI144" s="2">
        <f t="shared" si="73"/>
        <v>0.3</v>
      </c>
      <c r="BK144" s="261">
        <v>21</v>
      </c>
      <c r="BL144" s="546">
        <f t="shared" si="13"/>
        <v>586.5</v>
      </c>
      <c r="BM144" s="540">
        <f t="shared" si="19"/>
        <v>586.5</v>
      </c>
      <c r="BN144" s="548">
        <f t="shared" si="14"/>
        <v>443.90802470940446</v>
      </c>
      <c r="BO144" s="262">
        <f t="shared" si="10"/>
        <v>443.90802470940446</v>
      </c>
      <c r="BP144" s="262">
        <f t="shared" si="11"/>
        <v>10.40802470940443</v>
      </c>
      <c r="BQ144" s="262" t="b">
        <f t="shared" si="12"/>
        <v>0</v>
      </c>
    </row>
    <row r="145" spans="2:69" ht="18.75" thickBot="1" x14ac:dyDescent="0.3">
      <c r="B145" s="174">
        <v>15</v>
      </c>
      <c r="C145" s="175"/>
      <c r="D145" s="505">
        <v>0</v>
      </c>
      <c r="E145" s="146">
        <v>0</v>
      </c>
      <c r="F145" s="147">
        <v>1</v>
      </c>
      <c r="G145" s="147">
        <f t="shared" si="77"/>
        <v>4</v>
      </c>
      <c r="H145" s="147">
        <v>5</v>
      </c>
      <c r="I145" s="147" t="str">
        <f t="shared" si="78"/>
        <v/>
      </c>
      <c r="J145" s="147">
        <v>9</v>
      </c>
      <c r="K145" s="332">
        <v>12</v>
      </c>
      <c r="L145" s="150"/>
      <c r="M145" s="150">
        <f t="shared" si="58"/>
        <v>0.3</v>
      </c>
      <c r="N145" s="150">
        <f t="shared" si="59"/>
        <v>0.3</v>
      </c>
      <c r="O145" s="152">
        <v>118.90260000000001</v>
      </c>
      <c r="P145" s="152">
        <v>83.076694799999999</v>
      </c>
      <c r="Q145" s="153">
        <f t="shared" si="60"/>
        <v>83.076694799999999</v>
      </c>
      <c r="R145" s="153">
        <f t="shared" si="61"/>
        <v>41.538347399999999</v>
      </c>
      <c r="S145" s="153">
        <f t="shared" si="48"/>
        <v>0.66312116713723779</v>
      </c>
      <c r="T145" s="153">
        <f t="shared" si="49"/>
        <v>78.846830887652132</v>
      </c>
      <c r="U145" s="153">
        <f t="shared" si="50"/>
        <v>157.69366177530426</v>
      </c>
      <c r="V145" s="153">
        <f>+C131+D132+D133+D134+D135+D136+D137+D138+D139+D140+D141+D142+D143+D144+(D145/2)</f>
        <v>0</v>
      </c>
      <c r="W145" s="153">
        <f t="shared" si="51"/>
        <v>0</v>
      </c>
      <c r="X145" s="153">
        <f t="shared" si="52"/>
        <v>0</v>
      </c>
      <c r="Y145" s="153">
        <f t="shared" si="62"/>
        <v>89</v>
      </c>
      <c r="Z145" s="153">
        <f t="shared" si="74"/>
        <v>89</v>
      </c>
      <c r="AA145" s="155">
        <f t="shared" si="53"/>
        <v>89</v>
      </c>
      <c r="AC145" s="156">
        <f t="shared" si="54"/>
        <v>0</v>
      </c>
      <c r="AD145" s="156"/>
      <c r="AE145" s="156"/>
      <c r="AF145" s="156"/>
      <c r="AG145" s="156"/>
      <c r="AH145" s="156"/>
      <c r="AI145" s="389" t="str">
        <f t="shared" si="63"/>
        <v>pin in groundstacking hole</v>
      </c>
      <c r="AJ145" s="514"/>
      <c r="AK145" s="514"/>
      <c r="AL145" s="514"/>
      <c r="AM145" s="156">
        <f>SUM(AC145:AC154)/($B$128-B144)</f>
        <v>0</v>
      </c>
      <c r="AN145" s="177">
        <f>SUM(D132:D145)+$C$131</f>
        <v>0</v>
      </c>
      <c r="AO145" s="177"/>
      <c r="AP145" s="390">
        <f t="shared" si="64"/>
        <v>70.630179100000007</v>
      </c>
      <c r="AQ145" s="178">
        <f t="shared" si="55"/>
        <v>0.94339748455555306</v>
      </c>
      <c r="AR145" s="162">
        <f t="shared" si="65"/>
        <v>125.38573325554864</v>
      </c>
      <c r="AS145" s="390">
        <f t="shared" si="66"/>
        <v>48.461652999999998</v>
      </c>
      <c r="AT145" s="179">
        <f t="shared" si="67"/>
        <v>0.74851207380038831</v>
      </c>
      <c r="AU145" s="162">
        <f t="shared" si="68"/>
        <v>89.000031706258056</v>
      </c>
      <c r="AV145" s="391"/>
      <c r="AW145" s="162">
        <f t="shared" si="75"/>
        <v>-128.70000000000002</v>
      </c>
      <c r="AX145" s="181"/>
      <c r="AY145" s="181">
        <f t="shared" si="69"/>
        <v>214.3857649618067</v>
      </c>
      <c r="AZ145" s="182">
        <f t="shared" si="79"/>
        <v>-89.000031706258056</v>
      </c>
      <c r="BA145" s="182"/>
      <c r="BB145" s="182">
        <f t="shared" si="76"/>
        <v>89.000031706258056</v>
      </c>
      <c r="BC145" s="184">
        <f t="shared" si="70"/>
        <v>-75.271526879893273</v>
      </c>
      <c r="BD145" s="184">
        <f t="shared" si="71"/>
        <v>-53.428473120106759</v>
      </c>
      <c r="BE145" s="374">
        <f t="shared" si="56"/>
        <v>-106.28188814032124</v>
      </c>
      <c r="BF145" s="374">
        <f t="shared" si="57"/>
        <v>-82.353092705996616</v>
      </c>
      <c r="BG145" s="376">
        <f t="shared" si="72"/>
        <v>106.28188814032124</v>
      </c>
      <c r="BH145" s="376">
        <f t="shared" si="72"/>
        <v>82.353092705996616</v>
      </c>
      <c r="BI145" s="2">
        <f t="shared" si="73"/>
        <v>0.3</v>
      </c>
      <c r="BK145" s="261">
        <v>22</v>
      </c>
      <c r="BL145" s="546">
        <f t="shared" si="13"/>
        <v>612</v>
      </c>
      <c r="BM145" s="540">
        <f t="shared" si="19"/>
        <v>612</v>
      </c>
      <c r="BN145" s="548">
        <f t="shared" si="14"/>
        <v>469.40802470940446</v>
      </c>
      <c r="BO145" s="262">
        <f t="shared" si="10"/>
        <v>469.40802470940446</v>
      </c>
      <c r="BP145" s="262">
        <f t="shared" si="11"/>
        <v>10.40802470940443</v>
      </c>
      <c r="BQ145" s="262" t="b">
        <f t="shared" si="12"/>
        <v>0</v>
      </c>
    </row>
    <row r="146" spans="2:69" ht="18.75" thickBot="1" x14ac:dyDescent="0.3">
      <c r="B146" s="174">
        <v>16</v>
      </c>
      <c r="C146" s="175"/>
      <c r="D146" s="505">
        <v>0</v>
      </c>
      <c r="E146" s="146">
        <v>0</v>
      </c>
      <c r="F146" s="147">
        <v>1</v>
      </c>
      <c r="G146" s="147">
        <f t="shared" si="77"/>
        <v>4</v>
      </c>
      <c r="H146" s="147">
        <v>5</v>
      </c>
      <c r="I146" s="147" t="str">
        <f t="shared" si="78"/>
        <v/>
      </c>
      <c r="J146" s="147">
        <v>9</v>
      </c>
      <c r="K146" s="332">
        <v>12</v>
      </c>
      <c r="L146" s="150"/>
      <c r="M146" s="150">
        <f t="shared" si="58"/>
        <v>0.3</v>
      </c>
      <c r="N146" s="150">
        <f t="shared" si="59"/>
        <v>0.3</v>
      </c>
      <c r="O146" s="152">
        <v>118.90260000000001</v>
      </c>
      <c r="P146" s="152">
        <v>83.076694799999999</v>
      </c>
      <c r="Q146" s="153">
        <f t="shared" si="60"/>
        <v>83.076694799999999</v>
      </c>
      <c r="R146" s="153">
        <f t="shared" si="61"/>
        <v>41.538347399999999</v>
      </c>
      <c r="S146" s="153">
        <f t="shared" si="48"/>
        <v>0.66312116713723779</v>
      </c>
      <c r="T146" s="153">
        <f t="shared" si="49"/>
        <v>78.846830887652132</v>
      </c>
      <c r="U146" s="153">
        <f t="shared" si="50"/>
        <v>157.69366177530426</v>
      </c>
      <c r="V146" s="153">
        <f>+C131+D132+D133+D134+D135+D136+D137+D138+D139+D140+D141+D142+D143+D144+D145+(D146/2)</f>
        <v>0</v>
      </c>
      <c r="W146" s="153">
        <f t="shared" si="51"/>
        <v>0</v>
      </c>
      <c r="X146" s="153">
        <f t="shared" si="52"/>
        <v>0</v>
      </c>
      <c r="Y146" s="153">
        <f t="shared" si="62"/>
        <v>89</v>
      </c>
      <c r="Z146" s="153">
        <f t="shared" si="74"/>
        <v>89</v>
      </c>
      <c r="AA146" s="155">
        <f t="shared" si="53"/>
        <v>89</v>
      </c>
      <c r="AC146" s="156">
        <f t="shared" si="54"/>
        <v>0</v>
      </c>
      <c r="AD146" s="156"/>
      <c r="AE146" s="156"/>
      <c r="AF146" s="156"/>
      <c r="AG146" s="156"/>
      <c r="AH146" s="156"/>
      <c r="AI146" s="389" t="str">
        <f t="shared" si="63"/>
        <v>pin in groundstacking hole</v>
      </c>
      <c r="AJ146" s="514"/>
      <c r="AK146" s="514"/>
      <c r="AL146" s="514"/>
      <c r="AM146" s="156">
        <f>SUM(AC146:AC154)/($B$128-B145)</f>
        <v>0</v>
      </c>
      <c r="AN146" s="177">
        <f>SUM(D132:D146)+$C$131</f>
        <v>0</v>
      </c>
      <c r="AO146" s="177"/>
      <c r="AP146" s="390">
        <f t="shared" si="64"/>
        <v>70.630179100000007</v>
      </c>
      <c r="AQ146" s="178">
        <f t="shared" si="55"/>
        <v>0.94339748455555306</v>
      </c>
      <c r="AR146" s="162">
        <f t="shared" si="65"/>
        <v>125.38573325554864</v>
      </c>
      <c r="AS146" s="390">
        <f t="shared" si="66"/>
        <v>48.461652999999998</v>
      </c>
      <c r="AT146" s="179">
        <f t="shared" si="67"/>
        <v>0.74851207380038831</v>
      </c>
      <c r="AU146" s="162">
        <f t="shared" si="68"/>
        <v>89.000031706258056</v>
      </c>
      <c r="AV146" s="391"/>
      <c r="AW146" s="162">
        <f t="shared" si="75"/>
        <v>-138.6</v>
      </c>
      <c r="AX146" s="181"/>
      <c r="AY146" s="181">
        <f t="shared" si="69"/>
        <v>214.3857649618067</v>
      </c>
      <c r="AZ146" s="182">
        <f t="shared" si="79"/>
        <v>-89.000031706258056</v>
      </c>
      <c r="BA146" s="182"/>
      <c r="BB146" s="182">
        <f t="shared" si="76"/>
        <v>89.000031706258056</v>
      </c>
      <c r="BC146" s="184">
        <f t="shared" si="70"/>
        <v>-81.061644332192742</v>
      </c>
      <c r="BD146" s="184">
        <f t="shared" si="71"/>
        <v>-57.538355667807267</v>
      </c>
      <c r="BE146" s="374">
        <f t="shared" si="56"/>
        <v>-98.69032470172688</v>
      </c>
      <c r="BF146" s="374">
        <f t="shared" si="57"/>
        <v>-76.470728941282587</v>
      </c>
      <c r="BG146" s="376">
        <f t="shared" si="72"/>
        <v>98.69032470172688</v>
      </c>
      <c r="BH146" s="376">
        <f t="shared" si="72"/>
        <v>76.470728941282587</v>
      </c>
      <c r="BI146" s="2">
        <f t="shared" si="73"/>
        <v>0.3</v>
      </c>
      <c r="BK146" s="261">
        <v>23</v>
      </c>
      <c r="BL146" s="546">
        <f t="shared" si="13"/>
        <v>637.5</v>
      </c>
      <c r="BM146" s="540">
        <f t="shared" si="19"/>
        <v>637.5</v>
      </c>
      <c r="BN146" s="548">
        <f t="shared" si="14"/>
        <v>494.90802470940446</v>
      </c>
      <c r="BO146" s="262">
        <f t="shared" si="10"/>
        <v>494.90802470940446</v>
      </c>
      <c r="BP146" s="262">
        <f t="shared" si="11"/>
        <v>10.40802470940443</v>
      </c>
      <c r="BQ146" s="262" t="b">
        <f t="shared" si="12"/>
        <v>0</v>
      </c>
    </row>
    <row r="147" spans="2:69" ht="18.75" thickBot="1" x14ac:dyDescent="0.3">
      <c r="B147" s="174">
        <v>17</v>
      </c>
      <c r="C147" s="175"/>
      <c r="D147" s="505">
        <v>0</v>
      </c>
      <c r="E147" s="146">
        <v>0</v>
      </c>
      <c r="F147" s="147">
        <v>1</v>
      </c>
      <c r="G147" s="147">
        <f t="shared" si="77"/>
        <v>4</v>
      </c>
      <c r="H147" s="147">
        <v>5</v>
      </c>
      <c r="I147" s="147" t="str">
        <f t="shared" si="78"/>
        <v/>
      </c>
      <c r="J147" s="147">
        <v>9</v>
      </c>
      <c r="K147" s="332">
        <v>12</v>
      </c>
      <c r="L147" s="150"/>
      <c r="M147" s="150">
        <f t="shared" si="58"/>
        <v>0.3</v>
      </c>
      <c r="N147" s="150">
        <f t="shared" si="59"/>
        <v>0.3</v>
      </c>
      <c r="O147" s="152">
        <v>118.90260000000001</v>
      </c>
      <c r="P147" s="152">
        <v>83.076694799999999</v>
      </c>
      <c r="Q147" s="153">
        <f t="shared" si="60"/>
        <v>83.076694799999999</v>
      </c>
      <c r="R147" s="153">
        <f t="shared" si="61"/>
        <v>41.538347399999999</v>
      </c>
      <c r="S147" s="153">
        <f t="shared" si="48"/>
        <v>0.66312116713723779</v>
      </c>
      <c r="T147" s="153">
        <f t="shared" si="49"/>
        <v>78.846830887652132</v>
      </c>
      <c r="U147" s="153">
        <f t="shared" si="50"/>
        <v>157.69366177530426</v>
      </c>
      <c r="V147" s="153">
        <f>+C131+D132+D133+D134+D135+D136+D137+D138+D139+D140+D141+D142+D143+D144+D145+D146+(D147/2)</f>
        <v>0</v>
      </c>
      <c r="W147" s="153">
        <f t="shared" si="51"/>
        <v>0</v>
      </c>
      <c r="X147" s="153">
        <f t="shared" si="52"/>
        <v>0</v>
      </c>
      <c r="Y147" s="153">
        <f t="shared" si="62"/>
        <v>89</v>
      </c>
      <c r="Z147" s="153">
        <f t="shared" si="74"/>
        <v>89</v>
      </c>
      <c r="AA147" s="155">
        <f t="shared" si="53"/>
        <v>89</v>
      </c>
      <c r="AC147" s="156">
        <f t="shared" si="54"/>
        <v>0</v>
      </c>
      <c r="AD147" s="156"/>
      <c r="AE147" s="156"/>
      <c r="AF147" s="156"/>
      <c r="AG147" s="156"/>
      <c r="AH147" s="156"/>
      <c r="AI147" s="389" t="str">
        <f t="shared" si="63"/>
        <v>pin in groundstacking hole</v>
      </c>
      <c r="AJ147" s="514"/>
      <c r="AK147" s="514"/>
      <c r="AL147" s="514"/>
      <c r="AM147" s="156">
        <f>SUM(AC147:AC154)/($B$128-B146)</f>
        <v>0</v>
      </c>
      <c r="AN147" s="177">
        <f>SUM(D132:D147)+$C$131</f>
        <v>0</v>
      </c>
      <c r="AO147" s="177"/>
      <c r="AP147" s="390">
        <f t="shared" si="64"/>
        <v>70.630179100000007</v>
      </c>
      <c r="AQ147" s="178">
        <f t="shared" si="55"/>
        <v>0.94339748455555306</v>
      </c>
      <c r="AR147" s="162">
        <f t="shared" si="65"/>
        <v>125.38573325554864</v>
      </c>
      <c r="AS147" s="390">
        <f t="shared" si="66"/>
        <v>48.461652999999998</v>
      </c>
      <c r="AT147" s="179">
        <f t="shared" si="67"/>
        <v>0.74851207380038831</v>
      </c>
      <c r="AU147" s="162">
        <f t="shared" si="68"/>
        <v>89.000031706258056</v>
      </c>
      <c r="AV147" s="391"/>
      <c r="AW147" s="162">
        <f t="shared" si="75"/>
        <v>-148.5</v>
      </c>
      <c r="AX147" s="181"/>
      <c r="AY147" s="181">
        <f t="shared" si="69"/>
        <v>214.3857649618067</v>
      </c>
      <c r="AZ147" s="182">
        <f t="shared" si="79"/>
        <v>-89.000031706258056</v>
      </c>
      <c r="BA147" s="182"/>
      <c r="BB147" s="182">
        <f t="shared" si="76"/>
        <v>89.000031706258056</v>
      </c>
      <c r="BC147" s="184">
        <f t="shared" si="70"/>
        <v>-86.851761784492226</v>
      </c>
      <c r="BD147" s="184">
        <f t="shared" si="71"/>
        <v>-61.648238215507789</v>
      </c>
      <c r="BE147" s="374">
        <f t="shared" si="56"/>
        <v>-92.110969721611752</v>
      </c>
      <c r="BF147" s="374">
        <f t="shared" si="57"/>
        <v>-71.372680345197082</v>
      </c>
      <c r="BG147" s="376">
        <f t="shared" si="72"/>
        <v>92.110969721611752</v>
      </c>
      <c r="BH147" s="376">
        <f t="shared" si="72"/>
        <v>71.372680345197082</v>
      </c>
      <c r="BI147" s="2">
        <f t="shared" si="73"/>
        <v>0.3</v>
      </c>
      <c r="BK147" s="261">
        <v>24</v>
      </c>
      <c r="BL147" s="546">
        <f t="shared" si="13"/>
        <v>663</v>
      </c>
      <c r="BM147" s="540">
        <f t="shared" si="19"/>
        <v>663</v>
      </c>
      <c r="BN147" s="548">
        <f t="shared" si="14"/>
        <v>520.40802470940446</v>
      </c>
      <c r="BO147" s="262">
        <f t="shared" si="10"/>
        <v>520.40802470940446</v>
      </c>
      <c r="BP147" s="262">
        <f t="shared" si="11"/>
        <v>10.40802470940443</v>
      </c>
      <c r="BQ147" s="262" t="b">
        <f t="shared" si="12"/>
        <v>0</v>
      </c>
    </row>
    <row r="148" spans="2:69" ht="18.75" thickBot="1" x14ac:dyDescent="0.3">
      <c r="B148" s="174">
        <v>18</v>
      </c>
      <c r="C148" s="175"/>
      <c r="D148" s="505">
        <v>0</v>
      </c>
      <c r="E148" s="146">
        <v>0</v>
      </c>
      <c r="F148" s="147">
        <v>1</v>
      </c>
      <c r="G148" s="147">
        <f t="shared" si="77"/>
        <v>4</v>
      </c>
      <c r="H148" s="147">
        <v>5</v>
      </c>
      <c r="I148" s="147" t="str">
        <f t="shared" si="78"/>
        <v/>
      </c>
      <c r="J148" s="147">
        <v>9</v>
      </c>
      <c r="K148" s="332">
        <v>12</v>
      </c>
      <c r="L148" s="150"/>
      <c r="M148" s="150">
        <f t="shared" si="58"/>
        <v>0.3</v>
      </c>
      <c r="N148" s="150">
        <f t="shared" si="59"/>
        <v>0.3</v>
      </c>
      <c r="O148" s="152">
        <v>118.90260000000001</v>
      </c>
      <c r="P148" s="152">
        <v>83.076694799999999</v>
      </c>
      <c r="Q148" s="153">
        <f t="shared" si="60"/>
        <v>83.076694799999999</v>
      </c>
      <c r="R148" s="153">
        <f t="shared" si="61"/>
        <v>41.538347399999999</v>
      </c>
      <c r="S148" s="153">
        <f t="shared" si="48"/>
        <v>0.66312116713723779</v>
      </c>
      <c r="T148" s="153">
        <f t="shared" si="49"/>
        <v>78.846830887652132</v>
      </c>
      <c r="U148" s="153">
        <f t="shared" si="50"/>
        <v>157.69366177530426</v>
      </c>
      <c r="V148" s="153">
        <f>+C131+D132+D133+D134+D135+D136+D137+D138+D139+D140+D141+D142+D143+D144+D145+D146+D147+(D148/2)</f>
        <v>0</v>
      </c>
      <c r="W148" s="153">
        <f t="shared" si="51"/>
        <v>0</v>
      </c>
      <c r="X148" s="153">
        <f t="shared" si="52"/>
        <v>0</v>
      </c>
      <c r="Y148" s="153">
        <f t="shared" si="62"/>
        <v>89</v>
      </c>
      <c r="Z148" s="153">
        <f t="shared" si="74"/>
        <v>89</v>
      </c>
      <c r="AA148" s="155">
        <f t="shared" si="53"/>
        <v>89</v>
      </c>
      <c r="AC148" s="156">
        <f t="shared" si="54"/>
        <v>0</v>
      </c>
      <c r="AD148" s="156"/>
      <c r="AE148" s="156"/>
      <c r="AF148" s="156"/>
      <c r="AG148" s="156"/>
      <c r="AH148" s="156"/>
      <c r="AI148" s="389" t="str">
        <f t="shared" si="63"/>
        <v>pin in groundstacking hole</v>
      </c>
      <c r="AJ148" s="514"/>
      <c r="AK148" s="514"/>
      <c r="AL148" s="514"/>
      <c r="AM148" s="156">
        <f>SUM(AC148:AC154)/($B$128-B147)</f>
        <v>0</v>
      </c>
      <c r="AN148" s="177">
        <f>SUM(D132:D148)+$C$131</f>
        <v>0</v>
      </c>
      <c r="AO148" s="177"/>
      <c r="AP148" s="390">
        <f t="shared" si="64"/>
        <v>70.630179100000007</v>
      </c>
      <c r="AQ148" s="178">
        <f t="shared" si="55"/>
        <v>0.94339748455555306</v>
      </c>
      <c r="AR148" s="162">
        <f t="shared" si="65"/>
        <v>125.38573325554864</v>
      </c>
      <c r="AS148" s="390">
        <f t="shared" si="66"/>
        <v>48.461652999999998</v>
      </c>
      <c r="AT148" s="179">
        <f t="shared" si="67"/>
        <v>0.74851207380038831</v>
      </c>
      <c r="AU148" s="162">
        <f t="shared" si="68"/>
        <v>89.000031706258056</v>
      </c>
      <c r="AV148" s="391"/>
      <c r="AW148" s="162">
        <f t="shared" si="75"/>
        <v>-158.4</v>
      </c>
      <c r="AX148" s="181"/>
      <c r="AY148" s="181">
        <f t="shared" si="69"/>
        <v>214.3857649618067</v>
      </c>
      <c r="AZ148" s="182">
        <f t="shared" si="79"/>
        <v>-89.000031706258056</v>
      </c>
      <c r="BA148" s="182"/>
      <c r="BB148" s="182">
        <f t="shared" si="76"/>
        <v>89.000031706258056</v>
      </c>
      <c r="BC148" s="184">
        <f t="shared" si="70"/>
        <v>-92.641879236791709</v>
      </c>
      <c r="BD148" s="184">
        <f t="shared" si="71"/>
        <v>-65.758120763208311</v>
      </c>
      <c r="BE148" s="374">
        <f t="shared" si="56"/>
        <v>-86.354034114011014</v>
      </c>
      <c r="BF148" s="374">
        <f t="shared" si="57"/>
        <v>-66.911887823622251</v>
      </c>
      <c r="BG148" s="376">
        <f t="shared" si="72"/>
        <v>86.354034114011014</v>
      </c>
      <c r="BH148" s="376">
        <f t="shared" si="72"/>
        <v>66.911887823622251</v>
      </c>
      <c r="BI148" s="2">
        <f t="shared" si="73"/>
        <v>0.3</v>
      </c>
      <c r="BK148" s="261">
        <v>25</v>
      </c>
      <c r="BL148" s="546">
        <f t="shared" si="13"/>
        <v>688.5</v>
      </c>
      <c r="BM148" s="540">
        <f t="shared" si="19"/>
        <v>688.5</v>
      </c>
      <c r="BN148" s="548">
        <f t="shared" si="14"/>
        <v>545.90802470940446</v>
      </c>
      <c r="BO148" s="262">
        <f t="shared" si="10"/>
        <v>545.90802470940446</v>
      </c>
      <c r="BP148" s="262">
        <f t="shared" si="11"/>
        <v>10.40802470940443</v>
      </c>
      <c r="BQ148" s="262" t="b">
        <f t="shared" si="12"/>
        <v>0</v>
      </c>
    </row>
    <row r="149" spans="2:69" ht="18.75" thickBot="1" x14ac:dyDescent="0.3">
      <c r="B149" s="174">
        <v>19</v>
      </c>
      <c r="C149" s="175"/>
      <c r="D149" s="505">
        <v>0</v>
      </c>
      <c r="E149" s="146">
        <v>0</v>
      </c>
      <c r="F149" s="147">
        <v>1</v>
      </c>
      <c r="G149" s="147">
        <f t="shared" si="77"/>
        <v>4</v>
      </c>
      <c r="H149" s="147">
        <v>5</v>
      </c>
      <c r="I149" s="147" t="str">
        <f t="shared" si="78"/>
        <v/>
      </c>
      <c r="J149" s="147">
        <v>9</v>
      </c>
      <c r="K149" s="332">
        <v>12</v>
      </c>
      <c r="L149" s="150"/>
      <c r="M149" s="150">
        <f t="shared" si="58"/>
        <v>0.3</v>
      </c>
      <c r="N149" s="150">
        <f t="shared" si="59"/>
        <v>0.3</v>
      </c>
      <c r="O149" s="152">
        <v>118.90260000000001</v>
      </c>
      <c r="P149" s="152">
        <v>83.076694799999999</v>
      </c>
      <c r="Q149" s="153">
        <f t="shared" si="60"/>
        <v>83.076694799999999</v>
      </c>
      <c r="R149" s="153">
        <f t="shared" si="61"/>
        <v>41.538347399999999</v>
      </c>
      <c r="S149" s="153">
        <f t="shared" si="48"/>
        <v>0.66312116713723779</v>
      </c>
      <c r="T149" s="153">
        <f t="shared" si="49"/>
        <v>78.846830887652132</v>
      </c>
      <c r="U149" s="153">
        <f t="shared" si="50"/>
        <v>157.69366177530426</v>
      </c>
      <c r="V149" s="153">
        <f>+C131+D132+D133+D134+D135+D136+D137+D138+D139+D140+D141+D142+D143+D144+D145+D146+D147+D148+(D149/2)</f>
        <v>0</v>
      </c>
      <c r="W149" s="153">
        <f t="shared" si="51"/>
        <v>0</v>
      </c>
      <c r="X149" s="153">
        <f t="shared" si="52"/>
        <v>0</v>
      </c>
      <c r="Y149" s="153">
        <f t="shared" si="62"/>
        <v>89</v>
      </c>
      <c r="Z149" s="153">
        <f t="shared" si="74"/>
        <v>89</v>
      </c>
      <c r="AA149" s="155">
        <f t="shared" si="53"/>
        <v>89</v>
      </c>
      <c r="AC149" s="156">
        <f t="shared" si="54"/>
        <v>0</v>
      </c>
      <c r="AD149" s="156"/>
      <c r="AE149" s="156"/>
      <c r="AF149" s="156"/>
      <c r="AG149" s="156"/>
      <c r="AH149" s="156"/>
      <c r="AI149" s="389" t="str">
        <f t="shared" si="63"/>
        <v>pin in groundstacking hole</v>
      </c>
      <c r="AJ149" s="514"/>
      <c r="AK149" s="514"/>
      <c r="AL149" s="514"/>
      <c r="AM149" s="156">
        <f>SUM(AC149:AC154)/($B$128-B148)</f>
        <v>0</v>
      </c>
      <c r="AN149" s="177">
        <f>SUM(D131:D149)+$C$131</f>
        <v>0</v>
      </c>
      <c r="AO149" s="177"/>
      <c r="AP149" s="390">
        <f t="shared" si="64"/>
        <v>70.630179100000007</v>
      </c>
      <c r="AQ149" s="178">
        <f t="shared" si="55"/>
        <v>0.94339748455555306</v>
      </c>
      <c r="AR149" s="162">
        <f t="shared" si="65"/>
        <v>125.38573325554864</v>
      </c>
      <c r="AS149" s="390">
        <f t="shared" si="66"/>
        <v>48.461652999999998</v>
      </c>
      <c r="AT149" s="179">
        <f t="shared" si="67"/>
        <v>0.74851207380038831</v>
      </c>
      <c r="AU149" s="162">
        <f t="shared" si="68"/>
        <v>89.000031706258056</v>
      </c>
      <c r="AV149" s="391"/>
      <c r="AW149" s="162">
        <f t="shared" si="75"/>
        <v>-168.3</v>
      </c>
      <c r="AX149" s="181"/>
      <c r="AY149" s="181">
        <f t="shared" si="69"/>
        <v>214.3857649618067</v>
      </c>
      <c r="AZ149" s="182">
        <f t="shared" si="79"/>
        <v>-89.000031706258056</v>
      </c>
      <c r="BA149" s="182"/>
      <c r="BB149" s="182">
        <f t="shared" si="76"/>
        <v>89.000031706258056</v>
      </c>
      <c r="BC149" s="184">
        <f t="shared" si="70"/>
        <v>-98.431996689091193</v>
      </c>
      <c r="BD149" s="184">
        <f t="shared" si="71"/>
        <v>-69.868003310908833</v>
      </c>
      <c r="BE149" s="374">
        <f t="shared" si="56"/>
        <v>-81.274385048480951</v>
      </c>
      <c r="BF149" s="374">
        <f t="shared" si="57"/>
        <v>-62.975894422232706</v>
      </c>
      <c r="BG149" s="376">
        <f t="shared" si="72"/>
        <v>81.274385048480951</v>
      </c>
      <c r="BH149" s="376">
        <f t="shared" si="72"/>
        <v>62.975894422232706</v>
      </c>
      <c r="BI149" s="2">
        <f t="shared" si="73"/>
        <v>0.3</v>
      </c>
      <c r="BK149" s="261">
        <v>26</v>
      </c>
      <c r="BL149" s="546">
        <f t="shared" si="13"/>
        <v>714</v>
      </c>
      <c r="BM149" s="540">
        <f t="shared" si="19"/>
        <v>714</v>
      </c>
      <c r="BN149" s="548">
        <f t="shared" si="14"/>
        <v>571.40802470940446</v>
      </c>
      <c r="BO149" s="262">
        <f t="shared" si="10"/>
        <v>571.40802470940446</v>
      </c>
      <c r="BP149" s="262">
        <f t="shared" si="11"/>
        <v>10.40802470940443</v>
      </c>
      <c r="BQ149" s="262" t="b">
        <f t="shared" si="12"/>
        <v>0</v>
      </c>
    </row>
    <row r="150" spans="2:69" ht="18.75" thickBot="1" x14ac:dyDescent="0.3">
      <c r="B150" s="174">
        <v>20</v>
      </c>
      <c r="C150" s="175"/>
      <c r="D150" s="505">
        <v>0</v>
      </c>
      <c r="E150" s="146">
        <v>0</v>
      </c>
      <c r="F150" s="147">
        <v>1</v>
      </c>
      <c r="G150" s="147">
        <f t="shared" si="77"/>
        <v>4</v>
      </c>
      <c r="H150" s="147">
        <v>5</v>
      </c>
      <c r="I150" s="147" t="str">
        <f t="shared" si="78"/>
        <v/>
      </c>
      <c r="J150" s="147">
        <v>9</v>
      </c>
      <c r="K150" s="332">
        <v>12</v>
      </c>
      <c r="L150" s="150"/>
      <c r="M150" s="150">
        <f t="shared" si="58"/>
        <v>0.3</v>
      </c>
      <c r="N150" s="150">
        <f t="shared" si="59"/>
        <v>0.3</v>
      </c>
      <c r="O150" s="152">
        <v>118.90260000000001</v>
      </c>
      <c r="P150" s="152">
        <v>83.076694799999999</v>
      </c>
      <c r="Q150" s="153">
        <f t="shared" si="60"/>
        <v>83.076694799999999</v>
      </c>
      <c r="R150" s="153">
        <f t="shared" si="61"/>
        <v>41.538347399999999</v>
      </c>
      <c r="S150" s="153">
        <f t="shared" si="48"/>
        <v>0.66312116713723779</v>
      </c>
      <c r="T150" s="153">
        <f t="shared" si="49"/>
        <v>78.846830887652132</v>
      </c>
      <c r="U150" s="153">
        <f t="shared" si="50"/>
        <v>157.69366177530426</v>
      </c>
      <c r="V150" s="153">
        <f>+C131+D132+D133+D134+D135+D136+D137+D138+D139+D140+D141+D142+D143+D144+D145+D146+D147+D148+D149+(D150/2)</f>
        <v>0</v>
      </c>
      <c r="W150" s="153">
        <f t="shared" si="51"/>
        <v>0</v>
      </c>
      <c r="X150" s="153">
        <f t="shared" si="52"/>
        <v>0</v>
      </c>
      <c r="Y150" s="153">
        <f t="shared" si="62"/>
        <v>89</v>
      </c>
      <c r="Z150" s="153">
        <f t="shared" si="74"/>
        <v>89</v>
      </c>
      <c r="AA150" s="155">
        <f t="shared" si="53"/>
        <v>89</v>
      </c>
      <c r="AC150" s="156">
        <f t="shared" si="54"/>
        <v>0</v>
      </c>
      <c r="AD150" s="156"/>
      <c r="AE150" s="156"/>
      <c r="AF150" s="156"/>
      <c r="AG150" s="156"/>
      <c r="AH150" s="156"/>
      <c r="AI150" s="389" t="str">
        <f t="shared" si="63"/>
        <v>pin in groundstacking hole</v>
      </c>
      <c r="AJ150" s="514"/>
      <c r="AK150" s="514"/>
      <c r="AL150" s="514"/>
      <c r="AM150" s="156">
        <f>SUM(AC150:AC154)/($B$128-B149)</f>
        <v>0</v>
      </c>
      <c r="AN150" s="177">
        <f>SUM(D132:D150)+$C$131</f>
        <v>0</v>
      </c>
      <c r="AO150" s="177"/>
      <c r="AP150" s="390">
        <f t="shared" si="64"/>
        <v>70.630179100000007</v>
      </c>
      <c r="AQ150" s="178">
        <f t="shared" si="55"/>
        <v>0.94339748455555306</v>
      </c>
      <c r="AR150" s="162">
        <f t="shared" si="65"/>
        <v>125.38573325554864</v>
      </c>
      <c r="AS150" s="390">
        <f t="shared" si="66"/>
        <v>48.461652999999998</v>
      </c>
      <c r="AT150" s="179">
        <f t="shared" si="67"/>
        <v>0.74851207380038831</v>
      </c>
      <c r="AU150" s="162">
        <f t="shared" si="68"/>
        <v>89.000031706258056</v>
      </c>
      <c r="AV150" s="391"/>
      <c r="AW150" s="162">
        <f t="shared" si="75"/>
        <v>-178.20000000000002</v>
      </c>
      <c r="AX150" s="181"/>
      <c r="AY150" s="181">
        <f t="shared" si="69"/>
        <v>214.3857649618067</v>
      </c>
      <c r="AZ150" s="182">
        <f t="shared" si="79"/>
        <v>-89.000031706258056</v>
      </c>
      <c r="BA150" s="182"/>
      <c r="BB150" s="182">
        <f t="shared" si="76"/>
        <v>89.000031706258056</v>
      </c>
      <c r="BC150" s="184">
        <f t="shared" si="70"/>
        <v>-104.22211414139068</v>
      </c>
      <c r="BD150" s="184">
        <f t="shared" si="71"/>
        <v>-73.977885858609355</v>
      </c>
      <c r="BE150" s="374">
        <f t="shared" si="56"/>
        <v>-76.759141434676451</v>
      </c>
      <c r="BF150" s="374">
        <f t="shared" si="57"/>
        <v>-59.477233620997559</v>
      </c>
      <c r="BG150" s="376">
        <f t="shared" si="72"/>
        <v>76.759141434676451</v>
      </c>
      <c r="BH150" s="376">
        <f t="shared" si="72"/>
        <v>59.477233620997559</v>
      </c>
      <c r="BI150" s="2">
        <f t="shared" si="73"/>
        <v>0.3</v>
      </c>
      <c r="BK150" s="261">
        <v>27</v>
      </c>
      <c r="BL150" s="546">
        <f t="shared" si="13"/>
        <v>739.5</v>
      </c>
      <c r="BM150" s="540">
        <f t="shared" si="19"/>
        <v>739.5</v>
      </c>
      <c r="BN150" s="548">
        <f t="shared" si="14"/>
        <v>596.90802470940446</v>
      </c>
      <c r="BO150" s="262">
        <f t="shared" si="10"/>
        <v>596.90802470940446</v>
      </c>
      <c r="BP150" s="262">
        <f t="shared" si="11"/>
        <v>10.40802470940443</v>
      </c>
      <c r="BQ150" s="262" t="b">
        <f t="shared" si="12"/>
        <v>0</v>
      </c>
    </row>
    <row r="151" spans="2:69" ht="18.75" thickBot="1" x14ac:dyDescent="0.3">
      <c r="B151" s="174">
        <v>21</v>
      </c>
      <c r="C151" s="175"/>
      <c r="D151" s="505">
        <v>0</v>
      </c>
      <c r="E151" s="146">
        <v>0</v>
      </c>
      <c r="F151" s="147">
        <v>1</v>
      </c>
      <c r="G151" s="147">
        <f t="shared" si="77"/>
        <v>4</v>
      </c>
      <c r="H151" s="147">
        <v>5</v>
      </c>
      <c r="I151" s="147" t="str">
        <f t="shared" si="78"/>
        <v/>
      </c>
      <c r="J151" s="147">
        <v>9</v>
      </c>
      <c r="K151" s="332">
        <v>12</v>
      </c>
      <c r="L151" s="150"/>
      <c r="M151" s="150">
        <f t="shared" si="58"/>
        <v>0.3</v>
      </c>
      <c r="N151" s="150">
        <f t="shared" si="59"/>
        <v>0.3</v>
      </c>
      <c r="O151" s="152">
        <v>118.90260000000001</v>
      </c>
      <c r="P151" s="152">
        <v>83.076694799999999</v>
      </c>
      <c r="Q151" s="153">
        <f t="shared" si="60"/>
        <v>83.076694799999999</v>
      </c>
      <c r="R151" s="153">
        <f t="shared" si="61"/>
        <v>41.538347399999999</v>
      </c>
      <c r="S151" s="153">
        <f t="shared" si="48"/>
        <v>0.66312116713723779</v>
      </c>
      <c r="T151" s="153">
        <f t="shared" si="49"/>
        <v>78.846830887652132</v>
      </c>
      <c r="U151" s="153">
        <f t="shared" si="50"/>
        <v>157.69366177530426</v>
      </c>
      <c r="V151" s="153">
        <f>+C131+D132+D133+D134+D135+D136+D137+D138+D139+D140+D141+D142+D143+D144+D145+D146+D147+D148+D149+D150+(D151/2)</f>
        <v>0</v>
      </c>
      <c r="W151" s="153">
        <f t="shared" si="51"/>
        <v>0</v>
      </c>
      <c r="X151" s="153">
        <f t="shared" si="52"/>
        <v>0</v>
      </c>
      <c r="Y151" s="153">
        <f t="shared" si="62"/>
        <v>89</v>
      </c>
      <c r="Z151" s="153">
        <f t="shared" si="74"/>
        <v>89</v>
      </c>
      <c r="AA151" s="155">
        <f t="shared" si="53"/>
        <v>89</v>
      </c>
      <c r="AC151" s="156">
        <f t="shared" si="54"/>
        <v>0</v>
      </c>
      <c r="AD151" s="156"/>
      <c r="AE151" s="156"/>
      <c r="AF151" s="156"/>
      <c r="AG151" s="156"/>
      <c r="AH151" s="156"/>
      <c r="AI151" s="389" t="str">
        <f t="shared" si="63"/>
        <v>pin in groundstacking hole</v>
      </c>
      <c r="AJ151" s="514"/>
      <c r="AK151" s="514"/>
      <c r="AL151" s="514"/>
      <c r="AM151" s="156">
        <f>SUM(AC151:AC154)/($B$128-B150)</f>
        <v>0</v>
      </c>
      <c r="AN151" s="177">
        <f>SUM(D132:D151)+$C$131</f>
        <v>0</v>
      </c>
      <c r="AO151" s="177"/>
      <c r="AP151" s="390">
        <f t="shared" si="64"/>
        <v>70.630179100000007</v>
      </c>
      <c r="AQ151" s="178">
        <f t="shared" si="55"/>
        <v>0.94339748455555306</v>
      </c>
      <c r="AR151" s="162">
        <f t="shared" si="65"/>
        <v>125.38573325554864</v>
      </c>
      <c r="AS151" s="390">
        <f t="shared" si="66"/>
        <v>48.461652999999998</v>
      </c>
      <c r="AT151" s="179">
        <f t="shared" si="67"/>
        <v>0.74851207380038831</v>
      </c>
      <c r="AU151" s="162">
        <f t="shared" si="68"/>
        <v>89.000031706258056</v>
      </c>
      <c r="AV151" s="391"/>
      <c r="AW151" s="162">
        <f t="shared" si="75"/>
        <v>-188.1</v>
      </c>
      <c r="AX151" s="181"/>
      <c r="AY151" s="181">
        <f t="shared" si="69"/>
        <v>214.3857649618067</v>
      </c>
      <c r="AZ151" s="182">
        <f t="shared" si="79"/>
        <v>-89.000031706258056</v>
      </c>
      <c r="BA151" s="182"/>
      <c r="BB151" s="182">
        <f t="shared" si="76"/>
        <v>89.000031706258056</v>
      </c>
      <c r="BC151" s="184">
        <f t="shared" si="70"/>
        <v>-110.01223159369015</v>
      </c>
      <c r="BD151" s="184">
        <f t="shared" si="71"/>
        <v>-78.087768406309863</v>
      </c>
      <c r="BE151" s="374">
        <f t="shared" si="56"/>
        <v>-72.719186622325068</v>
      </c>
      <c r="BF151" s="374">
        <f t="shared" si="57"/>
        <v>-56.34685290410296</v>
      </c>
      <c r="BG151" s="376">
        <f t="shared" si="72"/>
        <v>72.719186622325068</v>
      </c>
      <c r="BH151" s="376">
        <f t="shared" si="72"/>
        <v>56.34685290410296</v>
      </c>
      <c r="BI151" s="2">
        <f t="shared" si="73"/>
        <v>0.3</v>
      </c>
    </row>
    <row r="152" spans="2:69" ht="18.75" thickBot="1" x14ac:dyDescent="0.3">
      <c r="B152" s="174">
        <v>22</v>
      </c>
      <c r="C152" s="175"/>
      <c r="D152" s="505">
        <v>0</v>
      </c>
      <c r="E152" s="146">
        <v>0</v>
      </c>
      <c r="F152" s="147">
        <v>1</v>
      </c>
      <c r="G152" s="147">
        <f t="shared" si="77"/>
        <v>4</v>
      </c>
      <c r="H152" s="147">
        <v>5</v>
      </c>
      <c r="I152" s="147" t="str">
        <f t="shared" si="78"/>
        <v/>
      </c>
      <c r="J152" s="147">
        <v>9</v>
      </c>
      <c r="K152" s="332">
        <v>12</v>
      </c>
      <c r="L152" s="150"/>
      <c r="M152" s="150">
        <f t="shared" si="58"/>
        <v>0.3</v>
      </c>
      <c r="N152" s="150">
        <f t="shared" si="59"/>
        <v>0.3</v>
      </c>
      <c r="O152" s="152">
        <v>118.90260000000001</v>
      </c>
      <c r="P152" s="152">
        <v>83.076694799999999</v>
      </c>
      <c r="Q152" s="153">
        <f t="shared" si="60"/>
        <v>83.076694799999999</v>
      </c>
      <c r="R152" s="153">
        <f t="shared" si="61"/>
        <v>41.538347399999999</v>
      </c>
      <c r="S152" s="153">
        <f t="shared" si="48"/>
        <v>0.66312116713723779</v>
      </c>
      <c r="T152" s="153">
        <f t="shared" si="49"/>
        <v>78.846830887652132</v>
      </c>
      <c r="U152" s="153">
        <f t="shared" si="50"/>
        <v>157.69366177530426</v>
      </c>
      <c r="V152" s="153">
        <f>+C131+D132+D133+D134+D135+D136+D137+D138+D139+D140+D141+D142+D143+D144+D145+D146+D147+D148+D149+D150+D151+(D152/2)</f>
        <v>0</v>
      </c>
      <c r="W152" s="153">
        <f t="shared" si="51"/>
        <v>0</v>
      </c>
      <c r="X152" s="153">
        <f t="shared" si="52"/>
        <v>0</v>
      </c>
      <c r="Y152" s="153">
        <f t="shared" si="62"/>
        <v>89</v>
      </c>
      <c r="Z152" s="153">
        <f t="shared" si="74"/>
        <v>89</v>
      </c>
      <c r="AA152" s="155">
        <f t="shared" si="53"/>
        <v>89</v>
      </c>
      <c r="AC152" s="156">
        <f t="shared" si="54"/>
        <v>0</v>
      </c>
      <c r="AD152" s="156"/>
      <c r="AE152" s="156"/>
      <c r="AF152" s="156"/>
      <c r="AG152" s="156"/>
      <c r="AH152" s="156"/>
      <c r="AI152" s="389" t="str">
        <f t="shared" si="63"/>
        <v>pin in groundstacking hole</v>
      </c>
      <c r="AJ152" s="514"/>
      <c r="AK152" s="514"/>
      <c r="AL152" s="514"/>
      <c r="AM152" s="156">
        <f>SUM(AC152:AC154)/($B$128-B151)</f>
        <v>0</v>
      </c>
      <c r="AN152" s="177">
        <f>SUM(D132:D152)+$C$131</f>
        <v>0</v>
      </c>
      <c r="AO152" s="177"/>
      <c r="AP152" s="390">
        <f t="shared" si="64"/>
        <v>70.630179100000007</v>
      </c>
      <c r="AQ152" s="178">
        <f t="shared" si="55"/>
        <v>0.94339748455555306</v>
      </c>
      <c r="AR152" s="162">
        <f t="shared" si="65"/>
        <v>125.38573325554864</v>
      </c>
      <c r="AS152" s="390">
        <f t="shared" si="66"/>
        <v>48.461652999999998</v>
      </c>
      <c r="AT152" s="179">
        <f t="shared" si="67"/>
        <v>0.74851207380038831</v>
      </c>
      <c r="AU152" s="162">
        <f t="shared" si="68"/>
        <v>89.000031706258056</v>
      </c>
      <c r="AV152" s="391"/>
      <c r="AW152" s="162">
        <f t="shared" si="75"/>
        <v>-198</v>
      </c>
      <c r="AX152" s="181"/>
      <c r="AY152" s="181">
        <f t="shared" si="69"/>
        <v>214.3857649618067</v>
      </c>
      <c r="AZ152" s="182">
        <f t="shared" si="79"/>
        <v>-89.000031706258056</v>
      </c>
      <c r="BA152" s="182"/>
      <c r="BB152" s="182">
        <f t="shared" si="76"/>
        <v>89.000031706258056</v>
      </c>
      <c r="BC152" s="184">
        <f t="shared" si="70"/>
        <v>-115.80234904598963</v>
      </c>
      <c r="BD152" s="184">
        <f t="shared" si="71"/>
        <v>-82.197650954010385</v>
      </c>
      <c r="BE152" s="374">
        <f t="shared" si="56"/>
        <v>-69.083227291208814</v>
      </c>
      <c r="BF152" s="374">
        <f t="shared" si="57"/>
        <v>-53.529510258897808</v>
      </c>
      <c r="BG152" s="376">
        <f t="shared" si="72"/>
        <v>69.083227291208814</v>
      </c>
      <c r="BH152" s="376">
        <f t="shared" si="72"/>
        <v>53.529510258897808</v>
      </c>
      <c r="BI152" s="2">
        <f t="shared" si="73"/>
        <v>0.3</v>
      </c>
    </row>
    <row r="153" spans="2:69" ht="18.75" thickBot="1" x14ac:dyDescent="0.3">
      <c r="B153" s="174">
        <v>23</v>
      </c>
      <c r="C153" s="175"/>
      <c r="D153" s="505">
        <v>0</v>
      </c>
      <c r="E153" s="146">
        <v>0</v>
      </c>
      <c r="F153" s="147">
        <v>1</v>
      </c>
      <c r="G153" s="147">
        <f t="shared" si="77"/>
        <v>4</v>
      </c>
      <c r="H153" s="147">
        <v>5</v>
      </c>
      <c r="I153" s="147" t="str">
        <f t="shared" si="78"/>
        <v/>
      </c>
      <c r="J153" s="147">
        <v>9</v>
      </c>
      <c r="K153" s="332">
        <v>12</v>
      </c>
      <c r="L153" s="150"/>
      <c r="M153" s="150">
        <f t="shared" si="58"/>
        <v>0.3</v>
      </c>
      <c r="N153" s="150">
        <f t="shared" si="59"/>
        <v>0.3</v>
      </c>
      <c r="O153" s="152">
        <v>118.90260000000001</v>
      </c>
      <c r="P153" s="152">
        <v>83.076694799999999</v>
      </c>
      <c r="Q153" s="153">
        <f t="shared" si="60"/>
        <v>83.076694799999999</v>
      </c>
      <c r="R153" s="153">
        <f t="shared" si="61"/>
        <v>41.538347399999999</v>
      </c>
      <c r="S153" s="153">
        <f t="shared" si="48"/>
        <v>0.66312116713723779</v>
      </c>
      <c r="T153" s="153">
        <f t="shared" si="49"/>
        <v>78.846830887652132</v>
      </c>
      <c r="U153" s="153">
        <f t="shared" si="50"/>
        <v>157.69366177530426</v>
      </c>
      <c r="V153" s="153">
        <f>+C131+D132+D133+D134+D135+D136+D137+D138+D139+D140+D141+D142+D143+D144+D145+D146+D147+D148+D149+D150+D151+D152+(D153/2)</f>
        <v>0</v>
      </c>
      <c r="W153" s="153">
        <f t="shared" si="51"/>
        <v>0</v>
      </c>
      <c r="X153" s="153">
        <f t="shared" si="52"/>
        <v>0</v>
      </c>
      <c r="Y153" s="153">
        <f t="shared" si="62"/>
        <v>89</v>
      </c>
      <c r="Z153" s="153">
        <f t="shared" si="74"/>
        <v>89</v>
      </c>
      <c r="AA153" s="155">
        <f t="shared" si="53"/>
        <v>89</v>
      </c>
      <c r="AC153" s="156">
        <f t="shared" si="54"/>
        <v>0</v>
      </c>
      <c r="AD153" s="156"/>
      <c r="AE153" s="156"/>
      <c r="AF153" s="156"/>
      <c r="AG153" s="156"/>
      <c r="AH153" s="156"/>
      <c r="AI153" s="389" t="str">
        <f t="shared" si="63"/>
        <v>pin in groundstacking hole</v>
      </c>
      <c r="AJ153" s="514"/>
      <c r="AK153" s="514"/>
      <c r="AL153" s="514"/>
      <c r="AM153" s="156">
        <f>SUM(AC153:AC154)/($B$128-B152)</f>
        <v>0</v>
      </c>
      <c r="AN153" s="177">
        <f>SUM(D132:D153)+$C$131</f>
        <v>0</v>
      </c>
      <c r="AO153" s="177"/>
      <c r="AP153" s="390">
        <f t="shared" si="64"/>
        <v>70.630179100000007</v>
      </c>
      <c r="AQ153" s="178">
        <f t="shared" si="55"/>
        <v>0.94339748455555306</v>
      </c>
      <c r="AR153" s="162">
        <f t="shared" si="65"/>
        <v>125.38573325554864</v>
      </c>
      <c r="AS153" s="390">
        <f t="shared" si="66"/>
        <v>48.461652999999998</v>
      </c>
      <c r="AT153" s="179">
        <f t="shared" si="67"/>
        <v>0.74851207380038831</v>
      </c>
      <c r="AU153" s="162">
        <f t="shared" si="68"/>
        <v>89.000031706258056</v>
      </c>
      <c r="AV153" s="391"/>
      <c r="AW153" s="162">
        <f t="shared" si="75"/>
        <v>-207.9</v>
      </c>
      <c r="AX153" s="181"/>
      <c r="AY153" s="181">
        <f t="shared" si="69"/>
        <v>214.3857649618067</v>
      </c>
      <c r="AZ153" s="182">
        <f t="shared" si="79"/>
        <v>-89.000031706258056</v>
      </c>
      <c r="BA153" s="182"/>
      <c r="BB153" s="182">
        <f t="shared" si="76"/>
        <v>89.000031706258056</v>
      </c>
      <c r="BC153" s="184">
        <f t="shared" si="70"/>
        <v>-121.59246649828911</v>
      </c>
      <c r="BD153" s="184">
        <f t="shared" si="71"/>
        <v>-86.307533501710907</v>
      </c>
      <c r="BE153" s="374">
        <f t="shared" si="56"/>
        <v>-65.793549801151258</v>
      </c>
      <c r="BF153" s="374">
        <f t="shared" si="57"/>
        <v>-50.980485960855056</v>
      </c>
      <c r="BG153" s="376">
        <f t="shared" si="72"/>
        <v>65.793549801151258</v>
      </c>
      <c r="BH153" s="376">
        <f t="shared" si="72"/>
        <v>50.980485960855056</v>
      </c>
      <c r="BI153" s="2">
        <f t="shared" si="73"/>
        <v>0.3</v>
      </c>
    </row>
    <row r="154" spans="2:69" ht="18.75" thickBot="1" x14ac:dyDescent="0.3">
      <c r="B154" s="174">
        <v>24</v>
      </c>
      <c r="C154" s="175"/>
      <c r="D154" s="505">
        <v>0</v>
      </c>
      <c r="E154" s="146">
        <v>0</v>
      </c>
      <c r="F154" s="147">
        <v>1</v>
      </c>
      <c r="G154" s="147">
        <f t="shared" si="77"/>
        <v>4</v>
      </c>
      <c r="H154" s="147">
        <v>5</v>
      </c>
      <c r="I154" s="147" t="str">
        <f t="shared" si="78"/>
        <v/>
      </c>
      <c r="J154" s="147">
        <v>9</v>
      </c>
      <c r="K154" s="332">
        <v>12</v>
      </c>
      <c r="L154" s="150"/>
      <c r="M154" s="150">
        <f t="shared" si="58"/>
        <v>0.3</v>
      </c>
      <c r="N154" s="150">
        <f t="shared" si="59"/>
        <v>0.3</v>
      </c>
      <c r="O154" s="152">
        <v>118.90260000000001</v>
      </c>
      <c r="P154" s="152">
        <v>83.076694799999999</v>
      </c>
      <c r="Q154" s="153">
        <f t="shared" si="60"/>
        <v>83.076694799999999</v>
      </c>
      <c r="R154" s="153">
        <f t="shared" si="61"/>
        <v>41.538347399999999</v>
      </c>
      <c r="S154" s="153">
        <f t="shared" si="48"/>
        <v>0.66312116713723779</v>
      </c>
      <c r="T154" s="153">
        <f t="shared" si="49"/>
        <v>78.846830887652132</v>
      </c>
      <c r="U154" s="153">
        <f t="shared" si="50"/>
        <v>157.69366177530426</v>
      </c>
      <c r="V154" s="153">
        <f>+SUM(D132:D153)+(D154/2)+C131</f>
        <v>0</v>
      </c>
      <c r="W154" s="153">
        <f t="shared" si="51"/>
        <v>0</v>
      </c>
      <c r="X154" s="153">
        <f t="shared" si="52"/>
        <v>0</v>
      </c>
      <c r="Y154" s="153">
        <f t="shared" si="62"/>
        <v>89</v>
      </c>
      <c r="Z154" s="153">
        <f t="shared" si="74"/>
        <v>89</v>
      </c>
      <c r="AA154" s="155">
        <f t="shared" si="53"/>
        <v>89</v>
      </c>
      <c r="AC154" s="156">
        <f t="shared" si="54"/>
        <v>0</v>
      </c>
      <c r="AD154" s="156"/>
      <c r="AE154" s="156"/>
      <c r="AF154" s="156"/>
      <c r="AG154" s="156"/>
      <c r="AH154" s="156"/>
      <c r="AI154" s="389" t="str">
        <f t="shared" si="63"/>
        <v>pin in groundstacking hole</v>
      </c>
      <c r="AJ154" s="514"/>
      <c r="AK154" s="514"/>
      <c r="AL154" s="514"/>
      <c r="AM154" s="156">
        <f>SUM(AC154)/($B$128-B153)</f>
        <v>0</v>
      </c>
      <c r="AN154" s="177">
        <f>SUM(D132:D154)+$C$131</f>
        <v>0</v>
      </c>
      <c r="AO154" s="177"/>
      <c r="AP154" s="390">
        <f t="shared" si="64"/>
        <v>70.630179100000007</v>
      </c>
      <c r="AQ154" s="178">
        <f t="shared" si="55"/>
        <v>0.94339748455555306</v>
      </c>
      <c r="AR154" s="162">
        <f t="shared" si="65"/>
        <v>125.38573325554864</v>
      </c>
      <c r="AS154" s="390">
        <f t="shared" si="66"/>
        <v>48.461652999999998</v>
      </c>
      <c r="AT154" s="179">
        <f t="shared" si="67"/>
        <v>0.74851207380038831</v>
      </c>
      <c r="AU154" s="162">
        <f t="shared" si="68"/>
        <v>89.000031706258056</v>
      </c>
      <c r="AV154" s="392"/>
      <c r="AW154" s="162">
        <f t="shared" si="75"/>
        <v>-217.8</v>
      </c>
      <c r="AX154" s="181"/>
      <c r="AY154" s="181">
        <f t="shared" si="69"/>
        <v>214.3857649618067</v>
      </c>
      <c r="AZ154" s="182">
        <f t="shared" si="79"/>
        <v>-89.000031706258056</v>
      </c>
      <c r="BA154" s="182"/>
      <c r="BB154" s="182">
        <f t="shared" si="76"/>
        <v>89.000031706258056</v>
      </c>
      <c r="BC154" s="184">
        <f t="shared" si="70"/>
        <v>-127.3825839505886</v>
      </c>
      <c r="BD154" s="184">
        <f t="shared" si="71"/>
        <v>-90.417416049411429</v>
      </c>
      <c r="BE154" s="374">
        <f t="shared" si="56"/>
        <v>-62.802933901098925</v>
      </c>
      <c r="BF154" s="374">
        <f t="shared" si="57"/>
        <v>-48.663191144452547</v>
      </c>
      <c r="BG154" s="376">
        <f t="shared" si="72"/>
        <v>62.802933901098925</v>
      </c>
      <c r="BH154" s="376">
        <f t="shared" si="72"/>
        <v>48.663191144452547</v>
      </c>
      <c r="BI154" s="2">
        <f t="shared" si="73"/>
        <v>0.3</v>
      </c>
    </row>
    <row r="157" spans="2:69" x14ac:dyDescent="0.25">
      <c r="L157" s="393" t="s">
        <v>107</v>
      </c>
    </row>
  </sheetData>
  <sheetProtection algorithmName="SHA-512" hashValue="7KWU0rU55Ay0HA7iI39ZtfjLs8xs+1s840T42VWw/4Sd2+5Hvt3hRBqPn3pz8lx7lnGtzl/Jr/+af8NPltARug==" saltValue="HwBXyMTy+A5fEdsnjaF4WQ==" spinCount="100000" sheet="1" objects="1" scenarios="1"/>
  <protectedRanges>
    <protectedRange sqref="B104 B107 B128 D131:D154" name="Range1"/>
  </protectedRanges>
  <mergeCells count="19">
    <mergeCell ref="E130:K130"/>
    <mergeCell ref="BU1:BV1"/>
    <mergeCell ref="B102:B103"/>
    <mergeCell ref="BG107:BH107"/>
    <mergeCell ref="BG128:BH128"/>
    <mergeCell ref="E82:K82"/>
    <mergeCell ref="E88:K88"/>
    <mergeCell ref="E93:K93"/>
    <mergeCell ref="E95:K95"/>
    <mergeCell ref="E97:K97"/>
    <mergeCell ref="B94:K94"/>
    <mergeCell ref="AD107:AH107"/>
    <mergeCell ref="E96:K96"/>
    <mergeCell ref="BU3:BV3"/>
    <mergeCell ref="CH50:CI50"/>
    <mergeCell ref="CW50:CX50"/>
    <mergeCell ref="DJ5:DK5"/>
    <mergeCell ref="CH5:CI5"/>
    <mergeCell ref="CW3:CX3"/>
  </mergeCells>
  <phoneticPr fontId="2" type="noConversion"/>
  <conditionalFormatting sqref="E88 B88 AI74:AL74 AB74 BQ55 AB51 AI77:AL97 AB77:AB97">
    <cfRule type="cellIs" dxfId="299" priority="375" stopIfTrue="1" operator="between">
      <formula>"OVERLOAD"</formula>
      <formula>"OVERLOAD"</formula>
    </cfRule>
  </conditionalFormatting>
  <conditionalFormatting sqref="D110:K110 M110:N110 L110:L121 O111:P121 AI110 R110:V110 Y110 AA110:AF110">
    <cfRule type="expression" dxfId="298" priority="364" stopIfTrue="1">
      <formula>$B$107&lt;1</formula>
    </cfRule>
  </conditionalFormatting>
  <conditionalFormatting sqref="BE111:BH111 D111:AI111">
    <cfRule type="expression" dxfId="297" priority="362" stopIfTrue="1">
      <formula>$B$107&lt;2</formula>
    </cfRule>
  </conditionalFormatting>
  <conditionalFormatting sqref="BE112:BH112 D112:AI112">
    <cfRule type="expression" dxfId="296" priority="361" stopIfTrue="1">
      <formula>$B$107&lt;3</formula>
    </cfRule>
  </conditionalFormatting>
  <conditionalFormatting sqref="BE113:BH113 D113:AI113">
    <cfRule type="expression" dxfId="295" priority="360" stopIfTrue="1">
      <formula>$B$107&lt;4</formula>
    </cfRule>
  </conditionalFormatting>
  <conditionalFormatting sqref="BE114:BH114 D114:AI114">
    <cfRule type="expression" dxfId="294" priority="359" stopIfTrue="1">
      <formula>$B$107&lt;5</formula>
    </cfRule>
  </conditionalFormatting>
  <conditionalFormatting sqref="BE115:BH115 D115:AI115">
    <cfRule type="expression" dxfId="293" priority="358" stopIfTrue="1">
      <formula>$B$107&lt;6</formula>
    </cfRule>
  </conditionalFormatting>
  <conditionalFormatting sqref="BE116:BH116 D116:AI116">
    <cfRule type="expression" dxfId="292" priority="357" stopIfTrue="1">
      <formula>$B$107&lt;7</formula>
    </cfRule>
  </conditionalFormatting>
  <conditionalFormatting sqref="BE117:BH117 D117:AI117">
    <cfRule type="expression" dxfId="291" priority="356" stopIfTrue="1">
      <formula>$B$107&lt;8</formula>
    </cfRule>
  </conditionalFormatting>
  <conditionalFormatting sqref="BE118:BH118 D118:AI118">
    <cfRule type="expression" dxfId="290" priority="355" stopIfTrue="1">
      <formula>$B$107&lt;9</formula>
    </cfRule>
  </conditionalFormatting>
  <conditionalFormatting sqref="BE119:BH119 D119:AI119">
    <cfRule type="expression" dxfId="289" priority="158" stopIfTrue="1">
      <formula>$B$107&lt;10</formula>
    </cfRule>
  </conditionalFormatting>
  <conditionalFormatting sqref="BE120:BH120 D120:AI120">
    <cfRule type="expression" dxfId="288" priority="114" stopIfTrue="1">
      <formula>$B$107&lt;11</formula>
    </cfRule>
  </conditionalFormatting>
  <conditionalFormatting sqref="BE121:BH121 D121:AI121">
    <cfRule type="expression" dxfId="287" priority="99" stopIfTrue="1">
      <formula>$B$107&lt;12</formula>
    </cfRule>
  </conditionalFormatting>
  <conditionalFormatting sqref="D101:N102">
    <cfRule type="cellIs" dxfId="286" priority="368" stopIfTrue="1" operator="equal">
      <formula>"change the angle of frame or of cabinets"</formula>
    </cfRule>
  </conditionalFormatting>
  <conditionalFormatting sqref="E104:N104">
    <cfRule type="cellIs" dxfId="285" priority="369" stopIfTrue="1" operator="equal">
      <formula>"USE EXBAR TR AT THE BACK"</formula>
    </cfRule>
  </conditionalFormatting>
  <conditionalFormatting sqref="E103:N103 L103:L104">
    <cfRule type="cellIs" dxfId="284" priority="370" stopIfTrue="1" operator="equal">
      <formula>"USE EXBAR TR AT THE FRONT"</formula>
    </cfRule>
  </conditionalFormatting>
  <conditionalFormatting sqref="B110:B121">
    <cfRule type="cellIs" dxfId="283" priority="366" stopIfTrue="1" operator="greaterThan">
      <formula>$B$107</formula>
    </cfRule>
  </conditionalFormatting>
  <conditionalFormatting sqref="B131:B154">
    <cfRule type="cellIs" dxfId="282" priority="303" stopIfTrue="1" operator="greaterThan">
      <formula>$B$128</formula>
    </cfRule>
  </conditionalFormatting>
  <conditionalFormatting sqref="BE131:BH131 AI131:AL131 D131 BE132:BF154 L131:N131">
    <cfRule type="expression" dxfId="281" priority="298" stopIfTrue="1">
      <formula>$B$128&lt;1</formula>
    </cfRule>
  </conditionalFormatting>
  <conditionalFormatting sqref="BE132:BH132 AI132:AL132 D132 L133:L154 L132:N132">
    <cfRule type="expression" dxfId="280" priority="294" stopIfTrue="1">
      <formula>$B$128&lt;2</formula>
    </cfRule>
  </conditionalFormatting>
  <conditionalFormatting sqref="BE133:BH133 AI133:AL133 D133 L133:N133">
    <cfRule type="expression" dxfId="279" priority="293" stopIfTrue="1">
      <formula>$B$128&lt;3</formula>
    </cfRule>
  </conditionalFormatting>
  <conditionalFormatting sqref="BE134:BH134 AI134:AL134 D134 L134:N134">
    <cfRule type="expression" dxfId="278" priority="292" stopIfTrue="1">
      <formula>$B$128&lt;4</formula>
    </cfRule>
  </conditionalFormatting>
  <conditionalFormatting sqref="BE135:BH135 AI135:AL135 D135 L135:N135">
    <cfRule type="expression" dxfId="277" priority="291" stopIfTrue="1">
      <formula>$B$128&lt;5</formula>
    </cfRule>
  </conditionalFormatting>
  <conditionalFormatting sqref="BE136:BH136 AI136:AL136 D136 L136:N136">
    <cfRule type="expression" dxfId="276" priority="290">
      <formula>$B$128&lt;6</formula>
    </cfRule>
  </conditionalFormatting>
  <conditionalFormatting sqref="BE137:BH137 AI137:AL137 D137 L137:N137">
    <cfRule type="expression" dxfId="275" priority="289">
      <formula>$B$128&lt;7</formula>
    </cfRule>
  </conditionalFormatting>
  <conditionalFormatting sqref="BE138:BH138 AI138:AL138 D138 L138:N138">
    <cfRule type="expression" dxfId="274" priority="288">
      <formula>$B$128&lt;8</formula>
    </cfRule>
  </conditionalFormatting>
  <conditionalFormatting sqref="BE139:BH139 AI139:AL139 D139 L139:N139">
    <cfRule type="expression" dxfId="273" priority="287">
      <formula>$B$128&lt;9</formula>
    </cfRule>
  </conditionalFormatting>
  <conditionalFormatting sqref="BE140:BH140 AI140:AL140 D140 L140:N140">
    <cfRule type="expression" dxfId="272" priority="286">
      <formula>$B$128&lt;10</formula>
    </cfRule>
  </conditionalFormatting>
  <conditionalFormatting sqref="BE141:BH141 AI141:AL141 D141 L141:N141">
    <cfRule type="expression" dxfId="271" priority="285">
      <formula>$B$128&lt;11</formula>
    </cfRule>
  </conditionalFormatting>
  <conditionalFormatting sqref="BE142:BH142 AI142:AL142 D142 L142:N142">
    <cfRule type="expression" dxfId="270" priority="284">
      <formula>$B$128&lt;12</formula>
    </cfRule>
  </conditionalFormatting>
  <conditionalFormatting sqref="BE143:BH143 AI143:AL143 D143 L143:N143">
    <cfRule type="expression" dxfId="269" priority="283">
      <formula>$B$128&lt;13</formula>
    </cfRule>
  </conditionalFormatting>
  <conditionalFormatting sqref="BE144:BH144 AI144:AL144 D144 L144:N144">
    <cfRule type="expression" dxfId="268" priority="282">
      <formula>$B$128&lt;14</formula>
    </cfRule>
  </conditionalFormatting>
  <conditionalFormatting sqref="BE145:BH145 AI145:AL145 D145 L145:N145">
    <cfRule type="expression" dxfId="267" priority="208">
      <formula>$B$128&lt;15</formula>
    </cfRule>
  </conditionalFormatting>
  <conditionalFormatting sqref="BE146:BH146 AI146:AL146 D146 L146:N146">
    <cfRule type="expression" dxfId="266" priority="159">
      <formula>$B$128&lt;16</formula>
    </cfRule>
  </conditionalFormatting>
  <conditionalFormatting sqref="BE147:BH147 AI147:AL147 D147 L147:N147">
    <cfRule type="expression" dxfId="265" priority="98">
      <formula>$B$128&lt;17</formula>
    </cfRule>
  </conditionalFormatting>
  <conditionalFormatting sqref="BE148:BH148 AI148:AL148 D148 L148:N148">
    <cfRule type="expression" dxfId="264" priority="89">
      <formula>$B$128&lt;18</formula>
    </cfRule>
  </conditionalFormatting>
  <conditionalFormatting sqref="BE149:BH149 AI149:AL149 D149 L149:N149">
    <cfRule type="expression" dxfId="263" priority="14">
      <formula>$B$128&lt;19</formula>
    </cfRule>
  </conditionalFormatting>
  <conditionalFormatting sqref="BE150:BH150 AI150:AL150 D150 L150:N150">
    <cfRule type="expression" dxfId="262" priority="13">
      <formula>$B$128&lt;20</formula>
    </cfRule>
  </conditionalFormatting>
  <conditionalFormatting sqref="BE151:BH151 AI151:AL151 D151 L151:N151">
    <cfRule type="expression" dxfId="261" priority="12">
      <formula>$B$128&lt;21</formula>
    </cfRule>
  </conditionalFormatting>
  <conditionalFormatting sqref="BE152:BH152 AI152:AL152 D152 L152:N152">
    <cfRule type="expression" dxfId="260" priority="11">
      <formula>$B$128&lt;22</formula>
    </cfRule>
  </conditionalFormatting>
  <conditionalFormatting sqref="BE153:BH153 AI153:AL153 D153 L153:N153">
    <cfRule type="expression" dxfId="259" priority="10">
      <formula>$B$128&lt;23</formula>
    </cfRule>
  </conditionalFormatting>
  <conditionalFormatting sqref="BE154:BH154 AI154:AL154 D154 L154:N154">
    <cfRule type="expression" dxfId="258" priority="9">
      <formula>$B$128&lt;24</formula>
    </cfRule>
  </conditionalFormatting>
  <conditionalFormatting sqref="B97 BG110:BH121 BG131:BH154 D97:E97">
    <cfRule type="cellIs" dxfId="257" priority="363" stopIfTrue="1" operator="lessThan">
      <formula>10</formula>
    </cfRule>
  </conditionalFormatting>
  <conditionalFormatting sqref="D110:K121 D131:D154">
    <cfRule type="cellIs" dxfId="256" priority="299" stopIfTrue="1" operator="notEqual">
      <formula>0</formula>
    </cfRule>
  </conditionalFormatting>
  <conditionalFormatting sqref="AI131:AL154">
    <cfRule type="cellIs" dxfId="255" priority="302" operator="equal">
      <formula>"pin in groundstacking hole"</formula>
    </cfRule>
  </conditionalFormatting>
  <conditionalFormatting sqref="BX118:CM119 BU72:CR75 BZ84:CM84 BZ85:BZ89 CH85:CM89 CI76:CO76">
    <cfRule type="cellIs" dxfId="254" priority="81" stopIfTrue="1" operator="equal">
      <formula>FALSE</formula>
    </cfRule>
  </conditionalFormatting>
  <conditionalFormatting sqref="BZ70:CM70 BX116:CM116 BZ69:CH69 BU46">
    <cfRule type="cellIs" dxfId="253" priority="68" stopIfTrue="1" operator="equal">
      <formula>0</formula>
    </cfRule>
  </conditionalFormatting>
  <conditionalFormatting sqref="BQ108:BQ150 BS90:BS97">
    <cfRule type="cellIs" dxfId="252" priority="79" stopIfTrue="1" operator="equal">
      <formula>FALSE</formula>
    </cfRule>
  </conditionalFormatting>
  <conditionalFormatting sqref="BK108:BK150">
    <cfRule type="cellIs" dxfId="251" priority="78" stopIfTrue="1" operator="between">
      <formula>"заяка"</formula>
      <formula>"заявка"</formula>
    </cfRule>
  </conditionalFormatting>
  <conditionalFormatting sqref="CS72:DK73">
    <cfRule type="cellIs" dxfId="250" priority="77" stopIfTrue="1" operator="equal">
      <formula>FALSE</formula>
    </cfRule>
  </conditionalFormatting>
  <conditionalFormatting sqref="CH76">
    <cfRule type="cellIs" dxfId="249" priority="76" stopIfTrue="1" operator="equal">
      <formula>FALSE</formula>
    </cfRule>
  </conditionalFormatting>
  <conditionalFormatting sqref="CS76">
    <cfRule type="cellIs" dxfId="248" priority="75" stopIfTrue="1" operator="equal">
      <formula>FALSE</formula>
    </cfRule>
  </conditionalFormatting>
  <conditionalFormatting sqref="CT76">
    <cfRule type="cellIs" dxfId="247" priority="74" stopIfTrue="1" operator="equal">
      <formula>FALSE</formula>
    </cfRule>
  </conditionalFormatting>
  <conditionalFormatting sqref="CU76">
    <cfRule type="cellIs" dxfId="246" priority="73" stopIfTrue="1" operator="equal">
      <formula>FALSE</formula>
    </cfRule>
  </conditionalFormatting>
  <conditionalFormatting sqref="CV76">
    <cfRule type="cellIs" dxfId="245" priority="72" stopIfTrue="1" operator="equal">
      <formula>FALSE</formula>
    </cfRule>
  </conditionalFormatting>
  <conditionalFormatting sqref="CW76">
    <cfRule type="cellIs" dxfId="244" priority="71" stopIfTrue="1" operator="equal">
      <formula>FALSE</formula>
    </cfRule>
  </conditionalFormatting>
  <conditionalFormatting sqref="CX76">
    <cfRule type="cellIs" dxfId="243" priority="70" stopIfTrue="1" operator="equal">
      <formula>FALSE</formula>
    </cfRule>
  </conditionalFormatting>
  <conditionalFormatting sqref="BU70:BY70">
    <cfRule type="cellIs" dxfId="242" priority="69" stopIfTrue="1" operator="equal">
      <formula>0</formula>
    </cfRule>
  </conditionalFormatting>
  <conditionalFormatting sqref="CI69:CX69">
    <cfRule type="cellIs" dxfId="241" priority="66" stopIfTrue="1" operator="equal">
      <formula>0</formula>
    </cfRule>
  </conditionalFormatting>
  <conditionalFormatting sqref="CH47">
    <cfRule type="cellIs" dxfId="240" priority="65" operator="equal">
      <formula>0</formula>
    </cfRule>
  </conditionalFormatting>
  <conditionalFormatting sqref="E131:K131">
    <cfRule type="expression" dxfId="239" priority="38" stopIfTrue="1">
      <formula>$B$128&lt;1</formula>
    </cfRule>
  </conditionalFormatting>
  <conditionalFormatting sqref="E132:K154">
    <cfRule type="expression" dxfId="238" priority="37" stopIfTrue="1">
      <formula>$B$128&lt;2</formula>
    </cfRule>
  </conditionalFormatting>
  <conditionalFormatting sqref="E133:K133">
    <cfRule type="expression" dxfId="237" priority="36" stopIfTrue="1">
      <formula>$B$128&lt;3</formula>
    </cfRule>
  </conditionalFormatting>
  <conditionalFormatting sqref="E134:K134">
    <cfRule type="expression" dxfId="236" priority="35" stopIfTrue="1">
      <formula>$B$128&lt;4</formula>
    </cfRule>
  </conditionalFormatting>
  <conditionalFormatting sqref="E135:K135">
    <cfRule type="expression" dxfId="235" priority="34" stopIfTrue="1">
      <formula>$B$128&lt;5</formula>
    </cfRule>
  </conditionalFormatting>
  <conditionalFormatting sqref="E136:K136">
    <cfRule type="expression" dxfId="234" priority="33">
      <formula>$B$128&lt;6</formula>
    </cfRule>
  </conditionalFormatting>
  <conditionalFormatting sqref="E137:K137">
    <cfRule type="expression" dxfId="233" priority="32">
      <formula>$B$128&lt;7</formula>
    </cfRule>
  </conditionalFormatting>
  <conditionalFormatting sqref="E138:K138">
    <cfRule type="expression" dxfId="232" priority="31">
      <formula>$B$128&lt;8</formula>
    </cfRule>
  </conditionalFormatting>
  <conditionalFormatting sqref="E139:K139">
    <cfRule type="expression" dxfId="231" priority="30">
      <formula>$B$128&lt;9</formula>
    </cfRule>
  </conditionalFormatting>
  <conditionalFormatting sqref="E140:K140">
    <cfRule type="expression" dxfId="230" priority="29">
      <formula>$B$128&lt;10</formula>
    </cfRule>
  </conditionalFormatting>
  <conditionalFormatting sqref="E141:K141">
    <cfRule type="expression" dxfId="229" priority="28">
      <formula>$B$128&lt;11</formula>
    </cfRule>
  </conditionalFormatting>
  <conditionalFormatting sqref="E142:K142">
    <cfRule type="expression" dxfId="228" priority="27">
      <formula>$B$128&lt;12</formula>
    </cfRule>
  </conditionalFormatting>
  <conditionalFormatting sqref="E143:K143">
    <cfRule type="expression" dxfId="227" priority="26">
      <formula>$B$128&lt;13</formula>
    </cfRule>
  </conditionalFormatting>
  <conditionalFormatting sqref="E144:K144">
    <cfRule type="expression" dxfId="226" priority="25">
      <formula>$B$128&lt;14</formula>
    </cfRule>
  </conditionalFormatting>
  <conditionalFormatting sqref="E145:K145">
    <cfRule type="expression" dxfId="225" priority="24">
      <formula>$B$128&lt;15</formula>
    </cfRule>
  </conditionalFormatting>
  <conditionalFormatting sqref="E146:K146">
    <cfRule type="expression" dxfId="224" priority="23">
      <formula>$B$128&lt;16</formula>
    </cfRule>
  </conditionalFormatting>
  <conditionalFormatting sqref="E147:K147">
    <cfRule type="expression" dxfId="223" priority="22">
      <formula>$B$128&lt;17</formula>
    </cfRule>
  </conditionalFormatting>
  <conditionalFormatting sqref="E148:K148">
    <cfRule type="expression" dxfId="222" priority="21">
      <formula>$B$128&lt;18</formula>
    </cfRule>
  </conditionalFormatting>
  <conditionalFormatting sqref="E149:K149">
    <cfRule type="expression" dxfId="221" priority="20">
      <formula>$B$128&lt;19</formula>
    </cfRule>
  </conditionalFormatting>
  <conditionalFormatting sqref="E150:K150">
    <cfRule type="expression" dxfId="220" priority="19">
      <formula>$B$128&lt;20</formula>
    </cfRule>
  </conditionalFormatting>
  <conditionalFormatting sqref="E151:K151">
    <cfRule type="expression" dxfId="219" priority="18">
      <formula>$B$128&lt;21</formula>
    </cfRule>
  </conditionalFormatting>
  <conditionalFormatting sqref="E152:K152">
    <cfRule type="expression" dxfId="218" priority="17">
      <formula>$B$128&lt;22</formula>
    </cfRule>
  </conditionalFormatting>
  <conditionalFormatting sqref="E153:K153">
    <cfRule type="expression" dxfId="217" priority="16">
      <formula>$B$128&lt;23</formula>
    </cfRule>
  </conditionalFormatting>
  <conditionalFormatting sqref="E154:K154">
    <cfRule type="expression" dxfId="216" priority="15">
      <formula>$B$128&lt;24</formula>
    </cfRule>
  </conditionalFormatting>
  <conditionalFormatting sqref="D132:D154">
    <cfRule type="expression" dxfId="215" priority="295">
      <formula>AND(D132=7,I132="")</formula>
    </cfRule>
    <cfRule type="expression" dxfId="214" priority="296">
      <formula>AND(D132=4,G132=3)</formula>
    </cfRule>
    <cfRule type="expression" dxfId="213" priority="297">
      <formula>AND(D132=3,G132=4)</formula>
    </cfRule>
  </conditionalFormatting>
  <conditionalFormatting sqref="CH47:CO47 CS47:CX47">
    <cfRule type="cellIs" dxfId="212" priority="3" operator="equal">
      <formula>0</formula>
    </cfRule>
  </conditionalFormatting>
  <conditionalFormatting sqref="D104">
    <cfRule type="cellIs" dxfId="211" priority="5" stopIfTrue="1" operator="equal">
      <formula>"USE EXBAR TR AT THE BACK"</formula>
    </cfRule>
  </conditionalFormatting>
  <conditionalFormatting sqref="D103">
    <cfRule type="cellIs" dxfId="210" priority="4" stopIfTrue="1" operator="equal">
      <formula>"USE EXBAR TR AT THE FRONT"</formula>
    </cfRule>
  </conditionalFormatting>
  <conditionalFormatting sqref="BU47:DK47 CH69:CX69">
    <cfRule type="expression" dxfId="209" priority="2">
      <formula>$B$104=0</formula>
    </cfRule>
    <cfRule type="expression" dxfId="208" priority="80">
      <formula>$B$104=0</formula>
    </cfRule>
  </conditionalFormatting>
  <conditionalFormatting sqref="B88 E88:K88 B97 D97:K97">
    <cfRule type="expression" dxfId="207" priority="1">
      <formula>$BR$50=0</formula>
    </cfRule>
  </conditionalFormatting>
  <dataValidations count="14">
    <dataValidation type="decimal" allowBlank="1" showInputMessage="1" showErrorMessage="1" sqref="M110:N110 M131:N131">
      <formula1>0</formula1>
      <formula2>4</formula2>
    </dataValidation>
    <dataValidation type="decimal" allowBlank="1" showInputMessage="1" showErrorMessage="1" sqref="N111:N121 N132:N154 M112:M121 M133:M154">
      <formula1>0</formula1>
      <formula2>8</formula2>
    </dataValidation>
    <dataValidation type="whole" allowBlank="1" showInputMessage="1" showErrorMessage="1" errorTitle="Coda Audio" error="YOU HAVE ENTERED A WRONG NUMBER OF CABINETS" promptTitle="Coda Audio" prompt="ENTER THE NUMBER OF CABINETS FROM 1 UP TO 12" sqref="B107">
      <formula1>1</formula1>
      <formula2>12</formula2>
    </dataValidation>
    <dataValidation type="whole" allowBlank="1" showInputMessage="1" showErrorMessage="1" errorTitle="Coda Audio" error="YOU HAVE ENTERED A WRONG NUMBER OF CABINETS" promptTitle="Coda Audio" prompt="ENTER THE NUMBER OF CABINETS FROM 1 UP TO 24" sqref="B128">
      <formula1>1</formula1>
      <formula2>24</formula2>
    </dataValidation>
    <dataValidation type="custom" allowBlank="1" showInputMessage="1" showErrorMessage="1" sqref="D110:K121">
      <formula1>OR(D110=0,D110=2,D110=5)</formula1>
    </dataValidation>
    <dataValidation type="custom" allowBlank="1" showInputMessage="1" showErrorMessage="1" sqref="G132">
      <formula1>IF(AM132="pin in groundstacking hole",G132=1,G132=0)</formula1>
    </dataValidation>
    <dataValidation type="custom" allowBlank="1" showInputMessage="1" showErrorMessage="1" sqref="E132:F132">
      <formula1>IF(AM132="pin in groundstacking hole",E132=1,E132=0)</formula1>
    </dataValidation>
    <dataValidation type="custom" allowBlank="1" showInputMessage="1" showErrorMessage="1" sqref="H132">
      <formula1>IF(AM132="pin in groundstacking hole",H132=1,H132=0)</formula1>
    </dataValidation>
    <dataValidation type="custom" allowBlank="1" showInputMessage="1" showErrorMessage="1" sqref="I132:J132">
      <formula1>IF(AM132="pin in groundstacking hole",I132=1,I132=0)</formula1>
    </dataValidation>
    <dataValidation type="custom" allowBlank="1" showInputMessage="1" showErrorMessage="1" sqref="K132">
      <formula1>IF(AM132="pin in groundstacking hole",K132=1,K132=0)</formula1>
    </dataValidation>
    <dataValidation type="whole" allowBlank="1" showInputMessage="1" showErrorMessage="1" sqref="E141:K154">
      <formula1>0</formula1>
      <formula2>8</formula2>
    </dataValidation>
    <dataValidation type="list" allowBlank="1" showInputMessage="1" showErrorMessage="1" sqref="E131:K131">
      <formula1>"-6,-4,-2,0,2,4,6"</formula1>
    </dataValidation>
    <dataValidation type="list" allowBlank="1" showInputMessage="1" showErrorMessage="1" sqref="D131:D154">
      <formula1>$E131:$K131</formula1>
    </dataValidation>
    <dataValidation type="decimal" allowBlank="1" showInputMessage="1" showErrorMessage="1" sqref="B104">
      <formula1>-89.9</formula1>
      <formula2>89.9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1D588213-BD71-42F2-A399-0C4B7461F20E}">
            <xm:f>TiRAY!$BX$47</xm:f>
            <x14:dxf>
              <fill>
                <patternFill>
                  <bgColor theme="0" tint="-4.9989318521683403E-2"/>
                </patternFill>
              </fill>
            </x14:dxf>
          </x14:cfRule>
          <xm:sqref>CH47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CU189"/>
  <sheetViews>
    <sheetView zoomScale="55" zoomScaleNormal="55" workbookViewId="0">
      <selection activeCell="B94" sqref="B94"/>
    </sheetView>
  </sheetViews>
  <sheetFormatPr baseColWidth="10" defaultColWidth="9.140625" defaultRowHeight="15.75" x14ac:dyDescent="0.25"/>
  <cols>
    <col min="1" max="1" width="0.42578125" style="2" customWidth="1"/>
    <col min="2" max="2" width="27.5703125" style="3" customWidth="1"/>
    <col min="3" max="3" width="38.140625" style="2" hidden="1" customWidth="1"/>
    <col min="4" max="5" width="27.5703125" style="2" customWidth="1"/>
    <col min="6" max="6" width="24.85546875" style="2" hidden="1" customWidth="1"/>
    <col min="7" max="8" width="11" style="2" hidden="1" customWidth="1"/>
    <col min="9" max="9" width="16.7109375" style="2" hidden="1" customWidth="1"/>
    <col min="10" max="15" width="11" style="2" hidden="1" customWidth="1"/>
    <col min="16" max="16" width="13.5703125" style="2" hidden="1" customWidth="1"/>
    <col min="17" max="17" width="12.7109375" style="2" hidden="1" customWidth="1"/>
    <col min="18" max="20" width="11" style="2" hidden="1" customWidth="1"/>
    <col min="21" max="21" width="16.5703125" style="2" hidden="1" customWidth="1"/>
    <col min="22" max="22" width="17.5703125" style="2" hidden="1" customWidth="1"/>
    <col min="23" max="23" width="5.85546875" style="2" hidden="1" customWidth="1"/>
    <col min="24" max="24" width="24.140625" style="2" hidden="1" customWidth="1"/>
    <col min="25" max="25" width="7.85546875" style="2" hidden="1" customWidth="1"/>
    <col min="26" max="26" width="18.140625" style="2" hidden="1" customWidth="1"/>
    <col min="27" max="27" width="15.5703125" style="2" hidden="1" customWidth="1"/>
    <col min="28" max="29" width="16.5703125" style="2" hidden="1" customWidth="1"/>
    <col min="30" max="30" width="15.5703125" style="2" hidden="1" customWidth="1"/>
    <col min="31" max="31" width="16.5703125" style="2" hidden="1" customWidth="1"/>
    <col min="32" max="32" width="19.7109375" style="2" hidden="1" customWidth="1"/>
    <col min="33" max="33" width="16.5703125" style="2" hidden="1" customWidth="1"/>
    <col min="34" max="35" width="17.5703125" style="2" hidden="1" customWidth="1"/>
    <col min="36" max="36" width="8" style="2" hidden="1" customWidth="1"/>
    <col min="37" max="37" width="9.140625" style="2" hidden="1" customWidth="1"/>
    <col min="38" max="38" width="27.140625" style="2" hidden="1" customWidth="1"/>
    <col min="39" max="39" width="17.5703125" style="2" hidden="1" customWidth="1"/>
    <col min="40" max="41" width="11.5703125" style="2" customWidth="1"/>
    <col min="42" max="42" width="9.140625" style="2" hidden="1" customWidth="1"/>
    <col min="43" max="43" width="4" style="2" hidden="1" customWidth="1"/>
    <col min="44" max="44" width="6" style="2" hidden="1" customWidth="1"/>
    <col min="45" max="48" width="7.140625" style="2" hidden="1" customWidth="1"/>
    <col min="49" max="49" width="13.28515625" style="2" hidden="1" customWidth="1"/>
    <col min="50" max="50" width="17.140625" style="13" hidden="1" customWidth="1"/>
    <col min="51" max="51" width="12.7109375" style="13" hidden="1" customWidth="1"/>
    <col min="52" max="52" width="34.28515625" style="13" customWidth="1"/>
    <col min="53" max="53" width="6.5703125" style="13" customWidth="1"/>
    <col min="54" max="94" width="5.42578125" style="13" customWidth="1"/>
    <col min="95" max="95" width="7.28515625" style="13" customWidth="1"/>
    <col min="96" max="96" width="22" style="13" hidden="1" customWidth="1"/>
    <col min="97" max="97" width="20.140625" style="13" hidden="1" customWidth="1"/>
    <col min="98" max="98" width="6.42578125" style="13" hidden="1" customWidth="1"/>
    <col min="99" max="99" width="10" style="2" hidden="1" customWidth="1"/>
    <col min="100" max="108" width="0" style="2" hidden="1" customWidth="1"/>
    <col min="109" max="16384" width="9.140625" style="2"/>
  </cols>
  <sheetData>
    <row r="1" spans="3:98" ht="18.75" thickBot="1" x14ac:dyDescent="0.3">
      <c r="AX1" s="7"/>
      <c r="AY1" s="7"/>
      <c r="AZ1" s="8" t="s">
        <v>27</v>
      </c>
      <c r="BA1" s="774">
        <f>+D22</f>
        <v>37.5</v>
      </c>
      <c r="BB1" s="774"/>
      <c r="BC1" s="9" t="s">
        <v>17</v>
      </c>
      <c r="BD1" s="9"/>
      <c r="BE1" s="10" t="s">
        <v>125</v>
      </c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</row>
    <row r="2" spans="3:98" ht="18" x14ac:dyDescent="0.25">
      <c r="AX2" s="12"/>
      <c r="AY2" s="12"/>
      <c r="AZ2" s="581" t="s">
        <v>29</v>
      </c>
      <c r="BA2" s="582" t="s">
        <v>30</v>
      </c>
      <c r="BB2" s="583"/>
      <c r="BC2" s="583"/>
      <c r="BD2" s="583"/>
      <c r="BE2" s="583"/>
      <c r="BF2" s="583"/>
      <c r="BG2" s="583"/>
      <c r="BH2" s="583"/>
      <c r="BI2" s="583"/>
      <c r="BJ2" s="583"/>
      <c r="BK2" s="583"/>
      <c r="BL2" s="583"/>
      <c r="BM2" s="583"/>
      <c r="BN2" s="583"/>
      <c r="BO2" s="583"/>
      <c r="BP2" s="583"/>
      <c r="BQ2" s="583"/>
      <c r="BR2" s="583"/>
      <c r="BS2" s="584"/>
      <c r="BT2" s="585"/>
      <c r="BU2" s="585"/>
      <c r="BV2" s="585"/>
      <c r="BW2" s="585"/>
      <c r="BX2" s="585"/>
      <c r="BY2" s="584"/>
      <c r="BZ2" s="584"/>
      <c r="CA2" s="584"/>
      <c r="CB2" s="584"/>
      <c r="CC2" s="584"/>
      <c r="CD2" s="586" t="s">
        <v>31</v>
      </c>
      <c r="CE2" s="587"/>
      <c r="CF2" s="588"/>
      <c r="CG2" s="588"/>
      <c r="CH2" s="588"/>
      <c r="CI2" s="588"/>
      <c r="CJ2" s="588"/>
      <c r="CK2" s="588"/>
      <c r="CL2" s="588"/>
      <c r="CM2" s="588"/>
      <c r="CN2" s="588"/>
      <c r="CO2" s="588"/>
      <c r="CP2" s="588"/>
      <c r="CQ2" s="589"/>
    </row>
    <row r="3" spans="3:98" ht="39.75" customHeight="1" thickBot="1" x14ac:dyDescent="0.4">
      <c r="AX3" s="12"/>
      <c r="AY3" s="684">
        <f>+IF(AND(CC3&gt;0,BA3&gt;0),BA3)</f>
        <v>11.511155693362115</v>
      </c>
      <c r="AZ3" s="590" t="s">
        <v>104</v>
      </c>
      <c r="BA3" s="764">
        <f>+((E18-E20)/E18)*D22</f>
        <v>11.511155693362115</v>
      </c>
      <c r="BB3" s="765"/>
      <c r="BC3" s="591"/>
      <c r="BD3" s="591"/>
      <c r="BE3" s="591"/>
      <c r="BF3" s="591"/>
      <c r="BG3" s="591"/>
      <c r="BH3" s="591"/>
      <c r="BI3" s="591"/>
      <c r="BJ3" s="591"/>
      <c r="BK3" s="591"/>
      <c r="BL3" s="591"/>
      <c r="BM3" s="591"/>
      <c r="BN3" s="591"/>
      <c r="BO3" s="591"/>
      <c r="BP3" s="591"/>
      <c r="BQ3" s="591"/>
      <c r="BR3" s="591"/>
      <c r="BS3" s="592"/>
      <c r="BT3" s="593"/>
      <c r="BU3" s="593"/>
      <c r="BV3" s="593"/>
      <c r="BW3" s="593"/>
      <c r="BX3" s="594"/>
      <c r="BY3" s="592"/>
      <c r="BZ3" s="592"/>
      <c r="CA3" s="592"/>
      <c r="CB3" s="592"/>
      <c r="CC3" s="745">
        <f>+(E20/E18)*D22</f>
        <v>25.988844306637883</v>
      </c>
      <c r="CD3" s="746"/>
      <c r="CE3" s="595"/>
      <c r="CF3" s="596"/>
      <c r="CG3" s="596"/>
      <c r="CH3" s="596"/>
      <c r="CI3" s="596"/>
      <c r="CJ3" s="596"/>
      <c r="CK3" s="596"/>
      <c r="CL3" s="596"/>
      <c r="CM3" s="596"/>
      <c r="CN3" s="596"/>
      <c r="CO3" s="596"/>
      <c r="CP3" s="596"/>
      <c r="CQ3" s="597"/>
      <c r="CR3" s="684">
        <f>+IF(AND(BA3&gt;0,CC3&gt;0),CC3)</f>
        <v>25.988844306637883</v>
      </c>
    </row>
    <row r="4" spans="3:98" ht="18" x14ac:dyDescent="0.25">
      <c r="AX4" s="12"/>
      <c r="AY4" s="12"/>
      <c r="AZ4" s="598" t="s">
        <v>29</v>
      </c>
      <c r="BA4" s="587"/>
      <c r="BB4" s="588"/>
      <c r="BC4" s="588"/>
      <c r="BD4" s="588"/>
      <c r="BE4" s="588"/>
      <c r="BF4" s="588"/>
      <c r="BG4" s="588"/>
      <c r="BH4" s="588"/>
      <c r="BI4" s="588"/>
      <c r="BJ4" s="588"/>
      <c r="BK4" s="588"/>
      <c r="BL4" s="588"/>
      <c r="BM4" s="589"/>
      <c r="BN4" s="599" t="s">
        <v>30</v>
      </c>
      <c r="BO4" s="600"/>
      <c r="BP4" s="600"/>
      <c r="BQ4" s="600"/>
      <c r="BR4" s="600"/>
      <c r="BS4" s="600"/>
      <c r="BT4" s="600"/>
      <c r="BU4" s="600"/>
      <c r="BV4" s="600"/>
      <c r="BW4" s="600"/>
      <c r="BX4" s="584"/>
      <c r="BY4" s="584"/>
      <c r="BZ4" s="584"/>
      <c r="CA4" s="584"/>
      <c r="CB4" s="584"/>
      <c r="CC4" s="584"/>
      <c r="CD4" s="584"/>
      <c r="CE4" s="601"/>
      <c r="CF4" s="601"/>
      <c r="CG4" s="601"/>
      <c r="CH4" s="601"/>
      <c r="CI4" s="601"/>
      <c r="CJ4" s="601"/>
      <c r="CK4" s="601"/>
      <c r="CL4" s="601"/>
      <c r="CM4" s="601"/>
      <c r="CN4" s="601"/>
      <c r="CO4" s="601"/>
      <c r="CP4" s="601"/>
      <c r="CQ4" s="602" t="s">
        <v>31</v>
      </c>
    </row>
    <row r="5" spans="3:98" ht="38.25" customHeight="1" thickBot="1" x14ac:dyDescent="0.4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X5" s="12"/>
      <c r="AY5" s="684">
        <f>+IF(AND(CP5&gt;0,BN5&gt;0),BN5)</f>
        <v>28.321500520948323</v>
      </c>
      <c r="AZ5" s="603" t="s">
        <v>103</v>
      </c>
      <c r="BA5" s="595"/>
      <c r="BB5" s="596"/>
      <c r="BC5" s="596"/>
      <c r="BD5" s="596"/>
      <c r="BE5" s="596"/>
      <c r="BF5" s="596"/>
      <c r="BG5" s="596"/>
      <c r="BH5" s="596"/>
      <c r="BI5" s="596"/>
      <c r="BJ5" s="596"/>
      <c r="BK5" s="596"/>
      <c r="BL5" s="596"/>
      <c r="BM5" s="597"/>
      <c r="BN5" s="768">
        <f>((E18-E17)/E18)*D22</f>
        <v>28.321500520948323</v>
      </c>
      <c r="BO5" s="769"/>
      <c r="BP5" s="604"/>
      <c r="BQ5" s="604"/>
      <c r="BR5" s="604"/>
      <c r="BS5" s="604"/>
      <c r="BT5" s="604"/>
      <c r="BU5" s="604"/>
      <c r="BV5" s="604"/>
      <c r="BW5" s="604"/>
      <c r="BX5" s="592"/>
      <c r="BY5" s="592"/>
      <c r="BZ5" s="592"/>
      <c r="CA5" s="592"/>
      <c r="CB5" s="592"/>
      <c r="CC5" s="592"/>
      <c r="CD5" s="592"/>
      <c r="CE5" s="592"/>
      <c r="CF5" s="592"/>
      <c r="CG5" s="592"/>
      <c r="CH5" s="592"/>
      <c r="CI5" s="592"/>
      <c r="CJ5" s="592"/>
      <c r="CK5" s="592"/>
      <c r="CL5" s="592"/>
      <c r="CM5" s="592"/>
      <c r="CN5" s="592"/>
      <c r="CO5" s="592"/>
      <c r="CP5" s="766">
        <f>+(E17/E18)*D22</f>
        <v>9.1784994790516752</v>
      </c>
      <c r="CQ5" s="767"/>
      <c r="CR5" s="684">
        <f>+IF(AND(BN5&gt;0,CP5&gt;0),CP5)</f>
        <v>9.1784994790516752</v>
      </c>
    </row>
    <row r="6" spans="3:98" ht="18.75" thickBot="1" x14ac:dyDescent="0.3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X6" s="12"/>
      <c r="AY6" s="12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  <c r="CB6" s="434"/>
      <c r="CC6" s="434"/>
      <c r="CD6" s="434"/>
      <c r="CE6" s="434"/>
      <c r="CF6" s="434"/>
      <c r="CG6" s="434"/>
      <c r="CH6" s="434"/>
      <c r="CI6" s="434"/>
      <c r="CJ6" s="434"/>
      <c r="CK6" s="434"/>
      <c r="CL6" s="434"/>
      <c r="CM6" s="434"/>
      <c r="CN6" s="434"/>
      <c r="CO6" s="434"/>
      <c r="CP6" s="434"/>
      <c r="CQ6" s="434"/>
    </row>
    <row r="7" spans="3:98" ht="18.75" hidden="1" thickBot="1" x14ac:dyDescent="0.3">
      <c r="D7" s="14"/>
      <c r="E7" s="14"/>
      <c r="AX7" s="22"/>
      <c r="AY7" s="22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  <c r="CB7" s="434"/>
      <c r="CC7" s="434"/>
      <c r="CD7" s="434"/>
      <c r="CE7" s="434"/>
      <c r="CF7" s="434"/>
      <c r="CG7" s="434"/>
      <c r="CH7" s="434"/>
      <c r="CI7" s="434"/>
      <c r="CJ7" s="434"/>
      <c r="CK7" s="434"/>
      <c r="CL7" s="434"/>
      <c r="CM7" s="434"/>
      <c r="CN7" s="434"/>
      <c r="CO7" s="434"/>
      <c r="CP7" s="434"/>
      <c r="CQ7" s="434"/>
    </row>
    <row r="8" spans="3:98" ht="18.75" hidden="1" thickBot="1" x14ac:dyDescent="0.3">
      <c r="D8" s="14"/>
      <c r="E8" s="14"/>
      <c r="AX8" s="12"/>
      <c r="AY8" s="12"/>
      <c r="AZ8" s="434">
        <v>26</v>
      </c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  <c r="CB8" s="434"/>
      <c r="CC8" s="434"/>
      <c r="CD8" s="434"/>
      <c r="CE8" s="434"/>
      <c r="CF8" s="434"/>
      <c r="CG8" s="434"/>
      <c r="CH8" s="434"/>
      <c r="CI8" s="434"/>
      <c r="CJ8" s="434"/>
      <c r="CK8" s="434"/>
      <c r="CL8" s="434"/>
      <c r="CM8" s="434"/>
      <c r="CN8" s="434"/>
      <c r="CO8" s="605" t="b">
        <f>IF(CP72=26,25)</f>
        <v>0</v>
      </c>
      <c r="CP8" s="606"/>
      <c r="CQ8" s="607" t="b">
        <f>IF(CP72=26,27)</f>
        <v>0</v>
      </c>
    </row>
    <row r="9" spans="3:98" ht="18.75" hidden="1" thickBot="1" x14ac:dyDescent="0.3">
      <c r="D9" s="14"/>
      <c r="E9" s="14"/>
      <c r="AX9" s="12"/>
      <c r="AY9" s="12"/>
      <c r="AZ9" s="434">
        <v>25</v>
      </c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605" t="b">
        <f>IF(CO72=25,23)</f>
        <v>0</v>
      </c>
      <c r="CN9" s="606"/>
      <c r="CO9" s="606"/>
      <c r="CP9" s="606"/>
      <c r="CQ9" s="607" t="b">
        <f>IF(CO72=25,27)</f>
        <v>0</v>
      </c>
    </row>
    <row r="10" spans="3:98" ht="18.75" hidden="1" thickBot="1" x14ac:dyDescent="0.3">
      <c r="D10" s="14"/>
      <c r="E10" s="14"/>
      <c r="AX10" s="12"/>
      <c r="AY10" s="12"/>
      <c r="AZ10" s="434">
        <v>24</v>
      </c>
      <c r="BA10" s="608"/>
      <c r="BB10" s="608"/>
      <c r="BC10" s="608"/>
      <c r="BD10" s="608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605" t="b">
        <f>IF(CN72=24,21)</f>
        <v>0</v>
      </c>
      <c r="CL10" s="606"/>
      <c r="CM10" s="606"/>
      <c r="CN10" s="606"/>
      <c r="CO10" s="606"/>
      <c r="CP10" s="609"/>
      <c r="CQ10" s="607" t="b">
        <f>IF(CN72=24,27)</f>
        <v>0</v>
      </c>
    </row>
    <row r="11" spans="3:98" ht="18.75" hidden="1" thickBot="1" x14ac:dyDescent="0.3">
      <c r="D11" s="14"/>
      <c r="E11" s="14"/>
      <c r="AX11" s="12"/>
      <c r="AY11" s="12"/>
      <c r="AZ11" s="434">
        <v>23</v>
      </c>
      <c r="BA11" s="608"/>
      <c r="BB11" s="608"/>
      <c r="BC11" s="608"/>
      <c r="BD11" s="608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  <c r="CB11" s="434"/>
      <c r="CC11" s="434"/>
      <c r="CD11" s="434"/>
      <c r="CE11" s="434"/>
      <c r="CF11" s="434"/>
      <c r="CG11" s="434"/>
      <c r="CH11" s="434"/>
      <c r="CI11" s="605" t="b">
        <f>IF(CM72=23,19)</f>
        <v>0</v>
      </c>
      <c r="CJ11" s="606"/>
      <c r="CK11" s="606"/>
      <c r="CL11" s="606"/>
      <c r="CM11" s="606"/>
      <c r="CN11" s="606"/>
      <c r="CO11" s="606"/>
      <c r="CP11" s="606"/>
      <c r="CQ11" s="607" t="b">
        <f>IF(CM72=23,27)</f>
        <v>0</v>
      </c>
    </row>
    <row r="12" spans="3:98" ht="18.75" hidden="1" thickBot="1" x14ac:dyDescent="0.3">
      <c r="C12" s="263"/>
      <c r="D12" s="14"/>
      <c r="E12" s="14"/>
      <c r="AX12" s="12"/>
      <c r="AY12" s="12"/>
      <c r="AZ12" s="434">
        <v>22</v>
      </c>
      <c r="BA12" s="608"/>
      <c r="BB12" s="608"/>
      <c r="BC12" s="608"/>
      <c r="BD12" s="608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  <c r="CB12" s="434"/>
      <c r="CC12" s="434"/>
      <c r="CD12" s="434"/>
      <c r="CE12" s="434"/>
      <c r="CF12" s="434"/>
      <c r="CG12" s="605" t="b">
        <f>IF(CL72=22,17)</f>
        <v>0</v>
      </c>
      <c r="CH12" s="606"/>
      <c r="CI12" s="606"/>
      <c r="CJ12" s="606"/>
      <c r="CK12" s="606"/>
      <c r="CL12" s="606"/>
      <c r="CM12" s="606"/>
      <c r="CN12" s="606"/>
      <c r="CO12" s="606"/>
      <c r="CP12" s="606"/>
      <c r="CQ12" s="607" t="b">
        <f>IF(CL72=22,27)</f>
        <v>0</v>
      </c>
    </row>
    <row r="13" spans="3:98" ht="18.75" hidden="1" thickBot="1" x14ac:dyDescent="0.3">
      <c r="D13" s="14"/>
      <c r="E13" s="14"/>
      <c r="AX13" s="12"/>
      <c r="AY13" s="12"/>
      <c r="AZ13" s="434">
        <v>21</v>
      </c>
      <c r="BA13" s="608"/>
      <c r="BB13" s="608"/>
      <c r="BC13" s="608"/>
      <c r="BD13" s="608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  <c r="CB13" s="434"/>
      <c r="CC13" s="434"/>
      <c r="CD13" s="434"/>
      <c r="CE13" s="605" t="b">
        <f>IF(CK72=21,15)</f>
        <v>0</v>
      </c>
      <c r="CF13" s="606"/>
      <c r="CG13" s="606"/>
      <c r="CH13" s="606"/>
      <c r="CI13" s="606"/>
      <c r="CJ13" s="606"/>
      <c r="CK13" s="606"/>
      <c r="CL13" s="606"/>
      <c r="CM13" s="606"/>
      <c r="CN13" s="606"/>
      <c r="CO13" s="606"/>
      <c r="CP13" s="606"/>
      <c r="CQ13" s="607" t="b">
        <f>IF(CK72=21,27)</f>
        <v>0</v>
      </c>
    </row>
    <row r="14" spans="3:98" ht="18.75" hidden="1" thickBot="1" x14ac:dyDescent="0.3">
      <c r="D14" s="14"/>
      <c r="E14" s="14"/>
      <c r="AX14" s="12"/>
      <c r="AY14" s="12"/>
      <c r="AZ14" s="434">
        <v>20</v>
      </c>
      <c r="BA14" s="608"/>
      <c r="BB14" s="608"/>
      <c r="BC14" s="608"/>
      <c r="BD14" s="608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  <c r="CB14" s="434"/>
      <c r="CC14" s="605" t="b">
        <f>IF(CJ72=20,13)</f>
        <v>0</v>
      </c>
      <c r="CD14" s="606"/>
      <c r="CE14" s="606"/>
      <c r="CF14" s="606"/>
      <c r="CG14" s="606"/>
      <c r="CH14" s="606"/>
      <c r="CI14" s="606"/>
      <c r="CJ14" s="606"/>
      <c r="CK14" s="606"/>
      <c r="CL14" s="606"/>
      <c r="CM14" s="606"/>
      <c r="CN14" s="606"/>
      <c r="CO14" s="606"/>
      <c r="CP14" s="606"/>
      <c r="CQ14" s="607" t="b">
        <f>IF(CJ72=20,27)</f>
        <v>0</v>
      </c>
    </row>
    <row r="15" spans="3:98" ht="18.75" hidden="1" thickBot="1" x14ac:dyDescent="0.3">
      <c r="C15" s="264" t="s">
        <v>92</v>
      </c>
      <c r="D15" s="4"/>
      <c r="E15" s="540" t="s">
        <v>158</v>
      </c>
      <c r="F15" s="540" t="s">
        <v>159</v>
      </c>
      <c r="G15" s="540" t="s">
        <v>160</v>
      </c>
      <c r="AX15" s="12"/>
      <c r="AY15" s="12"/>
      <c r="AZ15" s="434">
        <v>19</v>
      </c>
      <c r="BA15" s="608"/>
      <c r="BB15" s="608"/>
      <c r="BC15" s="608"/>
      <c r="BD15" s="608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605" t="b">
        <f>IF(CI72=19,11)</f>
        <v>0</v>
      </c>
      <c r="CB15" s="606"/>
      <c r="CC15" s="606"/>
      <c r="CD15" s="606"/>
      <c r="CE15" s="606"/>
      <c r="CF15" s="606"/>
      <c r="CG15" s="606"/>
      <c r="CH15" s="606"/>
      <c r="CI15" s="606"/>
      <c r="CJ15" s="606"/>
      <c r="CK15" s="606"/>
      <c r="CL15" s="606"/>
      <c r="CM15" s="606"/>
      <c r="CN15" s="606"/>
      <c r="CO15" s="606"/>
      <c r="CP15" s="606"/>
      <c r="CQ15" s="607" t="b">
        <f>IF(CI72=19,27)</f>
        <v>0</v>
      </c>
    </row>
    <row r="16" spans="3:98" ht="21" hidden="1" thickBot="1" x14ac:dyDescent="0.35">
      <c r="C16" s="265" t="s">
        <v>28</v>
      </c>
      <c r="D16" s="569">
        <v>408</v>
      </c>
      <c r="E16" s="539">
        <f>+COS(($B$90*-1)*3.14159265358979/180)*D16</f>
        <v>408</v>
      </c>
      <c r="F16" s="540">
        <f>+COS(($B$90*-1)*3.14159265358979/180)*25.5</f>
        <v>25.5</v>
      </c>
      <c r="G16" s="540">
        <f>+COS((($B$90*-1)+58.4416265)*3.14159265358979/180)*45.856925</f>
        <v>23.999999960764171</v>
      </c>
      <c r="AX16" s="12"/>
      <c r="AY16" s="12"/>
      <c r="AZ16" s="434">
        <v>18</v>
      </c>
      <c r="BA16" s="608"/>
      <c r="BB16" s="608"/>
      <c r="BC16" s="608"/>
      <c r="BD16" s="608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605" t="b">
        <f>IF(CH72=18,9)</f>
        <v>0</v>
      </c>
      <c r="BZ16" s="606"/>
      <c r="CA16" s="606"/>
      <c r="CB16" s="606"/>
      <c r="CC16" s="606"/>
      <c r="CD16" s="606"/>
      <c r="CE16" s="606"/>
      <c r="CF16" s="606"/>
      <c r="CG16" s="606"/>
      <c r="CH16" s="606"/>
      <c r="CI16" s="606"/>
      <c r="CJ16" s="606"/>
      <c r="CK16" s="606"/>
      <c r="CL16" s="606"/>
      <c r="CM16" s="606"/>
      <c r="CN16" s="606"/>
      <c r="CO16" s="606"/>
      <c r="CP16" s="606"/>
      <c r="CQ16" s="607" t="b">
        <f>IF(CH72=18,27)</f>
        <v>0</v>
      </c>
    </row>
    <row r="17" spans="2:95" ht="37.5" hidden="1" customHeight="1" thickBot="1" x14ac:dyDescent="0.35">
      <c r="C17" s="265" t="s">
        <v>93</v>
      </c>
      <c r="D17" s="266">
        <f>+D25-24</f>
        <v>181.00000968766321</v>
      </c>
      <c r="E17" s="539">
        <f>+D25-G16</f>
        <v>181.00000972689904</v>
      </c>
      <c r="AX17" s="12"/>
      <c r="AY17" s="12"/>
      <c r="AZ17" s="434">
        <v>17</v>
      </c>
      <c r="BA17" s="608"/>
      <c r="BB17" s="608"/>
      <c r="BC17" s="608"/>
      <c r="BD17" s="608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610" t="b">
        <f>IF(CG72=17,9)</f>
        <v>0</v>
      </c>
      <c r="BZ17" s="611"/>
      <c r="CA17" s="611"/>
      <c r="CB17" s="611"/>
      <c r="CC17" s="611"/>
      <c r="CD17" s="611"/>
      <c r="CE17" s="611"/>
      <c r="CF17" s="611"/>
      <c r="CG17" s="611"/>
      <c r="CH17" s="611"/>
      <c r="CI17" s="611"/>
      <c r="CJ17" s="611"/>
      <c r="CK17" s="611"/>
      <c r="CL17" s="611"/>
      <c r="CM17" s="611"/>
      <c r="CN17" s="611"/>
      <c r="CO17" s="612" t="b">
        <f>IF(CG72=17,25)</f>
        <v>0</v>
      </c>
      <c r="CP17" s="434"/>
      <c r="CQ17" s="434"/>
    </row>
    <row r="18" spans="2:95" ht="41.25" hidden="1" thickBot="1" x14ac:dyDescent="0.35">
      <c r="C18" s="267" t="s">
        <v>67</v>
      </c>
      <c r="D18" s="24">
        <v>739.5</v>
      </c>
      <c r="E18" s="539">
        <f>+COS(($B$90*-1)*3.14159265358979/180)*D18</f>
        <v>739.5</v>
      </c>
      <c r="AX18" s="12"/>
      <c r="AY18" s="12"/>
      <c r="AZ18" s="434">
        <v>16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8"/>
      <c r="BO18" s="608"/>
      <c r="BP18" s="608"/>
      <c r="BQ18" s="608"/>
      <c r="BR18" s="608"/>
      <c r="BS18" s="608"/>
      <c r="BT18" s="608"/>
      <c r="BU18" s="613" t="b">
        <f>IF(CF72=16,8)</f>
        <v>0</v>
      </c>
      <c r="BV18" s="614"/>
      <c r="BW18" s="614"/>
      <c r="BX18" s="614"/>
      <c r="BY18" s="606"/>
      <c r="BZ18" s="606"/>
      <c r="CA18" s="606"/>
      <c r="CB18" s="606"/>
      <c r="CC18" s="606"/>
      <c r="CD18" s="606"/>
      <c r="CE18" s="606"/>
      <c r="CF18" s="606"/>
      <c r="CG18" s="606"/>
      <c r="CH18" s="606"/>
      <c r="CI18" s="606"/>
      <c r="CJ18" s="606"/>
      <c r="CK18" s="606"/>
      <c r="CL18" s="606"/>
      <c r="CM18" s="606"/>
      <c r="CN18" s="606"/>
      <c r="CO18" s="606"/>
      <c r="CP18" s="606"/>
      <c r="CQ18" s="615" t="b">
        <f>IF(CF72=16,27)</f>
        <v>0</v>
      </c>
    </row>
    <row r="19" spans="2:95" ht="41.25" hidden="1" thickBot="1" x14ac:dyDescent="0.35">
      <c r="C19" s="267" t="s">
        <v>68</v>
      </c>
      <c r="D19" s="24">
        <v>739.5</v>
      </c>
      <c r="E19" s="4"/>
      <c r="AX19" s="12"/>
      <c r="AY19" s="12"/>
      <c r="AZ19" s="434">
        <v>15</v>
      </c>
      <c r="BA19" s="608"/>
      <c r="BB19" s="608"/>
      <c r="BC19" s="608"/>
      <c r="BD19" s="608"/>
      <c r="BE19" s="608"/>
      <c r="BF19" s="608"/>
      <c r="BG19" s="608"/>
      <c r="BH19" s="608"/>
      <c r="BI19" s="608"/>
      <c r="BJ19" s="608"/>
      <c r="BK19" s="608"/>
      <c r="BL19" s="608"/>
      <c r="BM19" s="608"/>
      <c r="BN19" s="608"/>
      <c r="BO19" s="608"/>
      <c r="BP19" s="608"/>
      <c r="BQ19" s="608"/>
      <c r="BR19" s="608"/>
      <c r="BS19" s="613" t="b">
        <f>IF(CE72=15,6)</f>
        <v>0</v>
      </c>
      <c r="BT19" s="614"/>
      <c r="BU19" s="614"/>
      <c r="BV19" s="614"/>
      <c r="BW19" s="614"/>
      <c r="BX19" s="614"/>
      <c r="BY19" s="606"/>
      <c r="BZ19" s="606"/>
      <c r="CA19" s="606"/>
      <c r="CB19" s="606"/>
      <c r="CC19" s="606"/>
      <c r="CD19" s="606"/>
      <c r="CE19" s="606"/>
      <c r="CF19" s="606"/>
      <c r="CG19" s="606"/>
      <c r="CH19" s="606"/>
      <c r="CI19" s="606"/>
      <c r="CJ19" s="606"/>
      <c r="CK19" s="606"/>
      <c r="CL19" s="606"/>
      <c r="CM19" s="606"/>
      <c r="CN19" s="606"/>
      <c r="CO19" s="606"/>
      <c r="CP19" s="606"/>
      <c r="CQ19" s="615" t="b">
        <f>IF(CE72=15,27)</f>
        <v>0</v>
      </c>
    </row>
    <row r="20" spans="2:95" ht="37.5" hidden="1" thickBot="1" x14ac:dyDescent="0.35">
      <c r="C20" s="574" t="s">
        <v>161</v>
      </c>
      <c r="D20" s="576">
        <f>+D25+307.5</f>
        <v>512.50000968766324</v>
      </c>
      <c r="E20" s="550">
        <f>+(COS(($B$90*-1)*3.14159265358979/180)*331.5)+$E$17</f>
        <v>512.50000972689907</v>
      </c>
      <c r="AX20" s="12"/>
      <c r="AY20" s="12"/>
      <c r="AZ20" s="434">
        <v>14</v>
      </c>
      <c r="BA20" s="608"/>
      <c r="BB20" s="608"/>
      <c r="BC20" s="608"/>
      <c r="BD20" s="608"/>
      <c r="BE20" s="608"/>
      <c r="BF20" s="608"/>
      <c r="BG20" s="608"/>
      <c r="BH20" s="608"/>
      <c r="BI20" s="608"/>
      <c r="BJ20" s="608"/>
      <c r="BK20" s="608"/>
      <c r="BL20" s="608"/>
      <c r="BM20" s="608"/>
      <c r="BN20" s="608"/>
      <c r="BO20" s="608"/>
      <c r="BP20" s="608"/>
      <c r="BQ20" s="613" t="b">
        <f>IF(CD72=14,4)</f>
        <v>0</v>
      </c>
      <c r="BR20" s="614"/>
      <c r="BS20" s="614"/>
      <c r="BT20" s="614"/>
      <c r="BU20" s="614"/>
      <c r="BV20" s="614"/>
      <c r="BW20" s="614"/>
      <c r="BX20" s="614"/>
      <c r="BY20" s="606"/>
      <c r="BZ20" s="606"/>
      <c r="CA20" s="606"/>
      <c r="CB20" s="606"/>
      <c r="CC20" s="606"/>
      <c r="CD20" s="606"/>
      <c r="CE20" s="606"/>
      <c r="CF20" s="606"/>
      <c r="CG20" s="606"/>
      <c r="CH20" s="606"/>
      <c r="CI20" s="606"/>
      <c r="CJ20" s="606"/>
      <c r="CK20" s="606"/>
      <c r="CL20" s="606"/>
      <c r="CM20" s="606"/>
      <c r="CN20" s="606"/>
      <c r="CO20" s="606"/>
      <c r="CP20" s="606"/>
      <c r="CQ20" s="615" t="b">
        <f>IF(CD72=14,27)</f>
        <v>0</v>
      </c>
    </row>
    <row r="21" spans="2:95" ht="21" hidden="1" thickBot="1" x14ac:dyDescent="0.35">
      <c r="C21" s="268"/>
      <c r="D21" s="269"/>
      <c r="E21" s="4"/>
      <c r="AX21" s="12"/>
      <c r="AY21" s="12"/>
      <c r="AZ21" s="434">
        <v>13</v>
      </c>
      <c r="BA21" s="608"/>
      <c r="BB21" s="608"/>
      <c r="BC21" s="608"/>
      <c r="BD21" s="608"/>
      <c r="BE21" s="608"/>
      <c r="BF21" s="608"/>
      <c r="BG21" s="608"/>
      <c r="BH21" s="608"/>
      <c r="BI21" s="608"/>
      <c r="BJ21" s="608"/>
      <c r="BK21" s="608"/>
      <c r="BL21" s="608"/>
      <c r="BM21" s="608"/>
      <c r="BN21" s="608"/>
      <c r="BO21" s="613" t="b">
        <f>IF(CC72=13,2)</f>
        <v>0</v>
      </c>
      <c r="BP21" s="614"/>
      <c r="BQ21" s="614"/>
      <c r="BR21" s="614"/>
      <c r="BS21" s="614"/>
      <c r="BT21" s="614"/>
      <c r="BU21" s="614"/>
      <c r="BV21" s="614"/>
      <c r="BW21" s="614"/>
      <c r="BX21" s="614"/>
      <c r="BY21" s="606"/>
      <c r="BZ21" s="606"/>
      <c r="CA21" s="606"/>
      <c r="CB21" s="606"/>
      <c r="CC21" s="606"/>
      <c r="CD21" s="606"/>
      <c r="CE21" s="606"/>
      <c r="CF21" s="606"/>
      <c r="CG21" s="606"/>
      <c r="CH21" s="606"/>
      <c r="CI21" s="606"/>
      <c r="CJ21" s="606"/>
      <c r="CK21" s="606"/>
      <c r="CL21" s="606"/>
      <c r="CM21" s="606"/>
      <c r="CN21" s="606"/>
      <c r="CO21" s="606"/>
      <c r="CP21" s="606"/>
      <c r="CQ21" s="615" t="b">
        <f>IF(CC72=13,27)</f>
        <v>0</v>
      </c>
    </row>
    <row r="22" spans="2:95" ht="33" hidden="1" thickBot="1" x14ac:dyDescent="0.35">
      <c r="B22" s="270" t="s">
        <v>94</v>
      </c>
      <c r="C22" s="271" t="s">
        <v>16</v>
      </c>
      <c r="D22" s="272">
        <f>+B93*20+6+1.5+10</f>
        <v>37.5</v>
      </c>
      <c r="E22" s="4"/>
      <c r="AX22" s="12"/>
      <c r="AY22" s="12"/>
      <c r="AZ22" s="434">
        <v>12</v>
      </c>
      <c r="BA22" s="608"/>
      <c r="BB22" s="608"/>
      <c r="BC22" s="608"/>
      <c r="BD22" s="608"/>
      <c r="BE22" s="608"/>
      <c r="BF22" s="608"/>
      <c r="BG22" s="608"/>
      <c r="BH22" s="608"/>
      <c r="BI22" s="608"/>
      <c r="BJ22" s="608"/>
      <c r="BK22" s="608"/>
      <c r="BL22" s="608"/>
      <c r="BM22" s="608"/>
      <c r="BN22" s="613" t="b">
        <f>IF(CB72=12,1)</f>
        <v>0</v>
      </c>
      <c r="BO22" s="614"/>
      <c r="BP22" s="614"/>
      <c r="BQ22" s="614"/>
      <c r="BR22" s="614"/>
      <c r="BS22" s="614"/>
      <c r="BT22" s="614"/>
      <c r="BU22" s="614"/>
      <c r="BV22" s="614"/>
      <c r="BW22" s="614"/>
      <c r="BX22" s="614"/>
      <c r="BY22" s="606"/>
      <c r="BZ22" s="606"/>
      <c r="CA22" s="606"/>
      <c r="CB22" s="606"/>
      <c r="CC22" s="606"/>
      <c r="CD22" s="606"/>
      <c r="CE22" s="606"/>
      <c r="CF22" s="606"/>
      <c r="CG22" s="606"/>
      <c r="CH22" s="606"/>
      <c r="CI22" s="606"/>
      <c r="CJ22" s="606"/>
      <c r="CK22" s="606"/>
      <c r="CL22" s="606"/>
      <c r="CM22" s="606"/>
      <c r="CN22" s="606"/>
      <c r="CO22" s="606"/>
      <c r="CP22" s="615" t="b">
        <f>IF(CB72=12,26)</f>
        <v>0</v>
      </c>
      <c r="CQ22" s="434"/>
    </row>
    <row r="23" spans="2:95" ht="21" hidden="1" thickBot="1" x14ac:dyDescent="0.35">
      <c r="B23" s="273"/>
      <c r="C23" s="271" t="s">
        <v>15</v>
      </c>
      <c r="D23" s="272">
        <v>456</v>
      </c>
      <c r="E23" s="4"/>
      <c r="AX23" s="12"/>
      <c r="AY23" s="12"/>
      <c r="AZ23" s="608"/>
      <c r="BA23" s="608"/>
      <c r="BB23" s="608"/>
      <c r="BC23" s="608"/>
      <c r="BD23" s="608"/>
      <c r="BE23" s="608"/>
      <c r="BF23" s="608"/>
      <c r="BG23" s="608"/>
      <c r="BH23" s="608"/>
      <c r="BI23" s="608"/>
      <c r="BJ23" s="608"/>
      <c r="BK23" s="608"/>
      <c r="BL23" s="608"/>
      <c r="BM23" s="608"/>
      <c r="BN23" s="608"/>
      <c r="BO23" s="608"/>
      <c r="BP23" s="608"/>
      <c r="BQ23" s="608"/>
      <c r="BR23" s="608"/>
      <c r="BS23" s="608"/>
      <c r="BT23" s="608"/>
      <c r="BU23" s="608"/>
      <c r="BV23" s="608"/>
      <c r="BW23" s="608"/>
      <c r="BX23" s="608"/>
      <c r="BY23" s="434"/>
      <c r="BZ23" s="434"/>
      <c r="CA23" s="434"/>
      <c r="CB23" s="434"/>
      <c r="CC23" s="434"/>
      <c r="CD23" s="434"/>
      <c r="CE23" s="434"/>
      <c r="CF23" s="434"/>
      <c r="CG23" s="434"/>
      <c r="CH23" s="434"/>
      <c r="CI23" s="434"/>
      <c r="CJ23" s="434"/>
      <c r="CK23" s="434"/>
      <c r="CL23" s="434"/>
      <c r="CM23" s="434"/>
      <c r="CN23" s="434"/>
      <c r="CO23" s="434"/>
      <c r="CP23" s="434"/>
      <c r="CQ23" s="434"/>
    </row>
    <row r="24" spans="2:95" ht="21" hidden="1" thickBot="1" x14ac:dyDescent="0.35">
      <c r="B24" s="274"/>
      <c r="C24" s="275"/>
      <c r="D24" s="275"/>
      <c r="E24" s="4"/>
      <c r="AX24" s="12"/>
      <c r="AY24" s="12"/>
      <c r="AZ24" s="608">
        <v>81</v>
      </c>
      <c r="BA24" s="608"/>
      <c r="BB24" s="608"/>
      <c r="BC24" s="608"/>
      <c r="BD24" s="608"/>
      <c r="BE24" s="608"/>
      <c r="BF24" s="608"/>
      <c r="BG24" s="608"/>
      <c r="BH24" s="608"/>
      <c r="BI24" s="608"/>
      <c r="BJ24" s="608"/>
      <c r="BK24" s="608"/>
      <c r="BL24" s="608"/>
      <c r="BM24" s="608"/>
      <c r="BN24" s="613" t="b">
        <f>IF(BV72=81,1)</f>
        <v>0</v>
      </c>
      <c r="BO24" s="614"/>
      <c r="BP24" s="614"/>
      <c r="BQ24" s="614"/>
      <c r="BR24" s="614"/>
      <c r="BS24" s="614"/>
      <c r="BT24" s="614"/>
      <c r="BU24" s="614"/>
      <c r="BV24" s="614"/>
      <c r="BW24" s="614"/>
      <c r="BX24" s="614"/>
      <c r="BY24" s="606"/>
      <c r="BZ24" s="606"/>
      <c r="CA24" s="606"/>
      <c r="CB24" s="606"/>
      <c r="CC24" s="606"/>
      <c r="CD24" s="615" t="b">
        <f>IF(BV72=81,14)</f>
        <v>0</v>
      </c>
      <c r="CE24" s="434"/>
      <c r="CF24" s="434"/>
      <c r="CG24" s="434"/>
      <c r="CH24" s="434"/>
      <c r="CI24" s="434"/>
      <c r="CJ24" s="434"/>
      <c r="CK24" s="434"/>
      <c r="CL24" s="434"/>
      <c r="CM24" s="434"/>
      <c r="CN24" s="434"/>
      <c r="CO24" s="434"/>
      <c r="CP24" s="434"/>
      <c r="CQ24" s="434"/>
    </row>
    <row r="25" spans="2:95" ht="33" hidden="1" thickBot="1" x14ac:dyDescent="0.35">
      <c r="B25" s="26" t="s">
        <v>66</v>
      </c>
      <c r="C25" s="271" t="s">
        <v>14</v>
      </c>
      <c r="D25" s="271">
        <f>+X97</f>
        <v>205.00000968766321</v>
      </c>
      <c r="E25" s="4"/>
      <c r="AX25" s="12"/>
      <c r="AY25" s="12"/>
      <c r="AZ25" s="608">
        <v>8</v>
      </c>
      <c r="BA25" s="608"/>
      <c r="BB25" s="608"/>
      <c r="BC25" s="608"/>
      <c r="BD25" s="608"/>
      <c r="BE25" s="608"/>
      <c r="BF25" s="608"/>
      <c r="BG25" s="608"/>
      <c r="BH25" s="608"/>
      <c r="BI25" s="608"/>
      <c r="BJ25" s="608"/>
      <c r="BK25" s="608"/>
      <c r="BL25" s="613">
        <f>IF(BU72=8,-2)</f>
        <v>-2</v>
      </c>
      <c r="BM25" s="614"/>
      <c r="BN25" s="614"/>
      <c r="BO25" s="614"/>
      <c r="BP25" s="614"/>
      <c r="BQ25" s="614"/>
      <c r="BR25" s="614"/>
      <c r="BS25" s="614"/>
      <c r="BT25" s="614"/>
      <c r="BU25" s="614"/>
      <c r="BV25" s="614"/>
      <c r="BW25" s="614"/>
      <c r="BX25" s="614"/>
      <c r="BY25" s="606"/>
      <c r="BZ25" s="606"/>
      <c r="CA25" s="606"/>
      <c r="CB25" s="606"/>
      <c r="CC25" s="606"/>
      <c r="CD25" s="615">
        <f>IF(BU72=8,14)</f>
        <v>14</v>
      </c>
      <c r="CE25" s="434"/>
      <c r="CF25" s="434"/>
      <c r="CG25" s="434"/>
      <c r="CH25" s="434"/>
      <c r="CI25" s="434"/>
      <c r="CJ25" s="434"/>
      <c r="CK25" s="434"/>
      <c r="CL25" s="434"/>
      <c r="CM25" s="434"/>
      <c r="CN25" s="434"/>
      <c r="CO25" s="434"/>
      <c r="CP25" s="434"/>
      <c r="CQ25" s="434"/>
    </row>
    <row r="26" spans="2:95" ht="18.75" hidden="1" thickBot="1" x14ac:dyDescent="0.3">
      <c r="B26" s="276"/>
      <c r="C26" s="3"/>
      <c r="D26" s="4"/>
      <c r="E26" s="4"/>
      <c r="AX26" s="12"/>
      <c r="AY26" s="12"/>
      <c r="AZ26" s="608">
        <v>7</v>
      </c>
      <c r="BA26" s="608"/>
      <c r="BB26" s="608"/>
      <c r="BC26" s="608"/>
      <c r="BD26" s="608"/>
      <c r="BE26" s="608"/>
      <c r="BF26" s="608"/>
      <c r="BG26" s="608"/>
      <c r="BH26" s="608"/>
      <c r="BI26" s="608"/>
      <c r="BJ26" s="613" t="b">
        <f>IF(BT72=7,-4)</f>
        <v>0</v>
      </c>
      <c r="BK26" s="614"/>
      <c r="BL26" s="614"/>
      <c r="BM26" s="614"/>
      <c r="BN26" s="614"/>
      <c r="BO26" s="614"/>
      <c r="BP26" s="614"/>
      <c r="BQ26" s="614"/>
      <c r="BR26" s="614"/>
      <c r="BS26" s="614"/>
      <c r="BT26" s="614"/>
      <c r="BU26" s="614"/>
      <c r="BV26" s="614"/>
      <c r="BW26" s="614"/>
      <c r="BX26" s="614"/>
      <c r="BY26" s="606"/>
      <c r="BZ26" s="606"/>
      <c r="CA26" s="606"/>
      <c r="CB26" s="606"/>
      <c r="CC26" s="606"/>
      <c r="CD26" s="615" t="b">
        <f>IF(BT72=7,14)</f>
        <v>0</v>
      </c>
      <c r="CE26" s="434"/>
      <c r="CF26" s="434"/>
      <c r="CG26" s="434"/>
      <c r="CH26" s="434"/>
      <c r="CI26" s="434"/>
      <c r="CJ26" s="434"/>
      <c r="CK26" s="434"/>
      <c r="CL26" s="434"/>
      <c r="CM26" s="434"/>
      <c r="CN26" s="434"/>
      <c r="CO26" s="434"/>
      <c r="CP26" s="434"/>
      <c r="CQ26" s="434"/>
    </row>
    <row r="27" spans="2:95" ht="18.75" hidden="1" thickBot="1" x14ac:dyDescent="0.3">
      <c r="C27" s="3"/>
      <c r="D27" s="277"/>
      <c r="E27" s="4"/>
      <c r="AX27" s="12"/>
      <c r="AY27" s="12"/>
      <c r="AZ27" s="608">
        <v>6</v>
      </c>
      <c r="BA27" s="608"/>
      <c r="BB27" s="608"/>
      <c r="BC27" s="608"/>
      <c r="BD27" s="608"/>
      <c r="BE27" s="434"/>
      <c r="BF27" s="434"/>
      <c r="BG27" s="434"/>
      <c r="BH27" s="613" t="b">
        <f>IF(BS72=6,-6)</f>
        <v>0</v>
      </c>
      <c r="BI27" s="606"/>
      <c r="BJ27" s="606"/>
      <c r="BK27" s="606"/>
      <c r="BL27" s="606"/>
      <c r="BM27" s="606"/>
      <c r="BN27" s="606"/>
      <c r="BO27" s="606"/>
      <c r="BP27" s="606"/>
      <c r="BQ27" s="606"/>
      <c r="BR27" s="606"/>
      <c r="BS27" s="606"/>
      <c r="BT27" s="606"/>
      <c r="BU27" s="606"/>
      <c r="BV27" s="606"/>
      <c r="BW27" s="606"/>
      <c r="BX27" s="606"/>
      <c r="BY27" s="606"/>
      <c r="BZ27" s="606"/>
      <c r="CA27" s="606"/>
      <c r="CB27" s="606"/>
      <c r="CC27" s="606"/>
      <c r="CD27" s="615" t="b">
        <f>IF(BS72=6,14)</f>
        <v>0</v>
      </c>
      <c r="CE27" s="434"/>
      <c r="CF27" s="434"/>
      <c r="CG27" s="434"/>
      <c r="CH27" s="434"/>
      <c r="CI27" s="434"/>
      <c r="CJ27" s="434"/>
      <c r="CK27" s="434"/>
      <c r="CL27" s="434"/>
      <c r="CM27" s="434"/>
      <c r="CN27" s="434"/>
      <c r="CO27" s="434"/>
      <c r="CP27" s="434"/>
      <c r="CQ27" s="434"/>
    </row>
    <row r="28" spans="2:95" ht="18.75" hidden="1" thickBot="1" x14ac:dyDescent="0.3">
      <c r="C28" s="278"/>
      <c r="D28" s="279" t="str">
        <f>IF(D83&gt;=10,"O K ","OVERLOAD")</f>
        <v xml:space="preserve">O K </v>
      </c>
      <c r="E28" s="4"/>
      <c r="AX28" s="12"/>
      <c r="AY28" s="12"/>
      <c r="AZ28" s="608">
        <v>5</v>
      </c>
      <c r="BA28" s="608"/>
      <c r="BB28" s="608"/>
      <c r="BC28" s="608"/>
      <c r="BD28" s="608"/>
      <c r="BE28" s="608"/>
      <c r="BF28" s="613" t="b">
        <f>IF(BR72=5,-8)</f>
        <v>0</v>
      </c>
      <c r="BG28" s="614"/>
      <c r="BH28" s="614"/>
      <c r="BI28" s="614"/>
      <c r="BJ28" s="614"/>
      <c r="BK28" s="614"/>
      <c r="BL28" s="614"/>
      <c r="BM28" s="614"/>
      <c r="BN28" s="614"/>
      <c r="BO28" s="606"/>
      <c r="BP28" s="614"/>
      <c r="BQ28" s="614"/>
      <c r="BR28" s="614"/>
      <c r="BS28" s="614"/>
      <c r="BT28" s="614"/>
      <c r="BU28" s="606"/>
      <c r="BV28" s="614"/>
      <c r="BW28" s="614"/>
      <c r="BX28" s="614"/>
      <c r="BY28" s="606"/>
      <c r="BZ28" s="606"/>
      <c r="CA28" s="606"/>
      <c r="CB28" s="606"/>
      <c r="CC28" s="606"/>
      <c r="CD28" s="615" t="b">
        <f>IF(BR72=5,14)</f>
        <v>0</v>
      </c>
      <c r="CE28" s="434"/>
      <c r="CF28" s="434"/>
      <c r="CG28" s="434"/>
      <c r="CH28" s="434"/>
      <c r="CI28" s="434"/>
      <c r="CJ28" s="434"/>
      <c r="CK28" s="434"/>
      <c r="CL28" s="434"/>
      <c r="CM28" s="434"/>
      <c r="CN28" s="434"/>
      <c r="CO28" s="434"/>
      <c r="CP28" s="434"/>
      <c r="CQ28" s="434"/>
    </row>
    <row r="29" spans="2:95" ht="18.75" hidden="1" thickBot="1" x14ac:dyDescent="0.3">
      <c r="C29" s="102"/>
      <c r="D29" s="102"/>
      <c r="E29" s="4"/>
      <c r="AX29" s="12"/>
      <c r="AY29" s="12"/>
      <c r="AZ29" s="608">
        <v>4</v>
      </c>
      <c r="BA29" s="608"/>
      <c r="BB29" s="608"/>
      <c r="BC29" s="608"/>
      <c r="BD29" s="613" t="b">
        <f>IF(BQ72=4,-10)</f>
        <v>0</v>
      </c>
      <c r="BE29" s="614"/>
      <c r="BF29" s="614"/>
      <c r="BG29" s="614"/>
      <c r="BH29" s="614"/>
      <c r="BI29" s="614"/>
      <c r="BJ29" s="606"/>
      <c r="BK29" s="614"/>
      <c r="BL29" s="614"/>
      <c r="BM29" s="614"/>
      <c r="BN29" s="614"/>
      <c r="BO29" s="614"/>
      <c r="BP29" s="614"/>
      <c r="BQ29" s="614"/>
      <c r="BR29" s="614"/>
      <c r="BS29" s="614"/>
      <c r="BT29" s="614"/>
      <c r="BU29" s="614"/>
      <c r="BV29" s="614"/>
      <c r="BW29" s="614"/>
      <c r="BX29" s="606"/>
      <c r="BY29" s="606"/>
      <c r="BZ29" s="606"/>
      <c r="CA29" s="606"/>
      <c r="CB29" s="606"/>
      <c r="CC29" s="606"/>
      <c r="CD29" s="615" t="b">
        <f>IF(BQ72=4,14)</f>
        <v>0</v>
      </c>
      <c r="CE29" s="434"/>
      <c r="CF29" s="434"/>
      <c r="CG29" s="434"/>
      <c r="CH29" s="434"/>
      <c r="CI29" s="434"/>
      <c r="CJ29" s="434"/>
      <c r="CK29" s="434"/>
      <c r="CL29" s="434"/>
      <c r="CM29" s="434"/>
      <c r="CN29" s="434"/>
      <c r="CO29" s="434"/>
      <c r="CP29" s="434"/>
      <c r="CQ29" s="434"/>
    </row>
    <row r="30" spans="2:95" ht="38.25" hidden="1" thickBot="1" x14ac:dyDescent="0.4">
      <c r="C30" s="35">
        <v>3000</v>
      </c>
      <c r="D30" s="35">
        <v>3000</v>
      </c>
      <c r="E30" s="280" t="s">
        <v>110</v>
      </c>
      <c r="AX30" s="12"/>
      <c r="AY30" s="12"/>
      <c r="AZ30" s="608">
        <v>3</v>
      </c>
      <c r="BA30" s="608"/>
      <c r="BB30" s="613" t="b">
        <f>IF(BP72=3,-12)</f>
        <v>0</v>
      </c>
      <c r="BC30" s="614"/>
      <c r="BD30" s="614"/>
      <c r="BE30" s="614"/>
      <c r="BF30" s="614"/>
      <c r="BG30" s="614"/>
      <c r="BH30" s="606"/>
      <c r="BI30" s="614"/>
      <c r="BJ30" s="614"/>
      <c r="BK30" s="614"/>
      <c r="BL30" s="614"/>
      <c r="BM30" s="614"/>
      <c r="BN30" s="614"/>
      <c r="BO30" s="614"/>
      <c r="BP30" s="614"/>
      <c r="BQ30" s="614"/>
      <c r="BR30" s="614"/>
      <c r="BS30" s="614"/>
      <c r="BT30" s="614"/>
      <c r="BU30" s="614"/>
      <c r="BV30" s="614"/>
      <c r="BW30" s="614"/>
      <c r="BX30" s="606"/>
      <c r="BY30" s="606"/>
      <c r="BZ30" s="606"/>
      <c r="CA30" s="606"/>
      <c r="CB30" s="606"/>
      <c r="CC30" s="606"/>
      <c r="CD30" s="615" t="b">
        <f>IF(BP72=3,14)</f>
        <v>0</v>
      </c>
      <c r="CE30" s="434"/>
      <c r="CF30" s="434"/>
      <c r="CG30" s="434"/>
      <c r="CH30" s="434"/>
      <c r="CI30" s="434"/>
      <c r="CJ30" s="434"/>
      <c r="CK30" s="434"/>
      <c r="CL30" s="434"/>
      <c r="CM30" s="434"/>
      <c r="CN30" s="434"/>
      <c r="CO30" s="434"/>
      <c r="CP30" s="434"/>
      <c r="CQ30" s="434"/>
    </row>
    <row r="31" spans="2:95" ht="37.5" hidden="1" thickBot="1" x14ac:dyDescent="0.35">
      <c r="B31" s="281" t="s">
        <v>92</v>
      </c>
      <c r="C31" s="33">
        <v>4300</v>
      </c>
      <c r="D31" s="33">
        <v>5000</v>
      </c>
      <c r="E31" s="280" t="s">
        <v>111</v>
      </c>
      <c r="AX31" s="12"/>
      <c r="AY31" s="12"/>
      <c r="AZ31" s="608">
        <v>2</v>
      </c>
      <c r="BA31" s="613" t="b">
        <f>IF(BO72=2,-13)</f>
        <v>0</v>
      </c>
      <c r="BB31" s="616"/>
      <c r="BC31" s="616"/>
      <c r="BD31" s="616"/>
      <c r="BE31" s="616"/>
      <c r="BF31" s="616"/>
      <c r="BG31" s="616"/>
      <c r="BH31" s="616"/>
      <c r="BI31" s="616"/>
      <c r="BJ31" s="616"/>
      <c r="BK31" s="617"/>
      <c r="BL31" s="616"/>
      <c r="BM31" s="616"/>
      <c r="BN31" s="616"/>
      <c r="BO31" s="616"/>
      <c r="BP31" s="616"/>
      <c r="BQ31" s="616"/>
      <c r="BR31" s="616"/>
      <c r="BS31" s="617"/>
      <c r="BT31" s="616"/>
      <c r="BU31" s="616"/>
      <c r="BV31" s="616"/>
      <c r="BW31" s="616"/>
      <c r="BX31" s="616"/>
      <c r="BY31" s="617"/>
      <c r="BZ31" s="617"/>
      <c r="CA31" s="617"/>
      <c r="CB31" s="617"/>
      <c r="CC31" s="618" t="b">
        <f>IF(BO72=2,13)</f>
        <v>0</v>
      </c>
      <c r="CD31" s="434"/>
      <c r="CE31" s="434"/>
      <c r="CF31" s="434"/>
      <c r="CG31" s="434"/>
      <c r="CH31" s="434"/>
      <c r="CI31" s="434"/>
      <c r="CJ31" s="434"/>
      <c r="CK31" s="434"/>
      <c r="CL31" s="434"/>
      <c r="CM31" s="434"/>
      <c r="CN31" s="434"/>
      <c r="CO31" s="434"/>
      <c r="CP31" s="434"/>
      <c r="CQ31" s="434"/>
    </row>
    <row r="32" spans="2:95" ht="18.75" hidden="1" thickBot="1" x14ac:dyDescent="0.3">
      <c r="C32" s="282" t="s">
        <v>21</v>
      </c>
      <c r="D32" s="282" t="s">
        <v>22</v>
      </c>
      <c r="E32" s="4"/>
      <c r="AX32" s="12"/>
      <c r="AY32" s="12"/>
      <c r="AZ32" s="608">
        <v>1</v>
      </c>
      <c r="BA32" s="619" t="b">
        <f>IF(BN72=1,-13)</f>
        <v>0</v>
      </c>
      <c r="BB32" s="616"/>
      <c r="BC32" s="616"/>
      <c r="BD32" s="616"/>
      <c r="BE32" s="616"/>
      <c r="BF32" s="616"/>
      <c r="BG32" s="616"/>
      <c r="BH32" s="616"/>
      <c r="BI32" s="617"/>
      <c r="BJ32" s="616"/>
      <c r="BK32" s="616"/>
      <c r="BL32" s="616"/>
      <c r="BM32" s="616"/>
      <c r="BN32" s="616"/>
      <c r="BO32" s="616"/>
      <c r="BP32" s="616"/>
      <c r="BQ32" s="616"/>
      <c r="BR32" s="616"/>
      <c r="BS32" s="617"/>
      <c r="BT32" s="616"/>
      <c r="BU32" s="616"/>
      <c r="BV32" s="616"/>
      <c r="BW32" s="616"/>
      <c r="BX32" s="616"/>
      <c r="BY32" s="617"/>
      <c r="BZ32" s="617"/>
      <c r="CA32" s="618" t="b">
        <f>IF(BN72=1,11)</f>
        <v>0</v>
      </c>
      <c r="CB32" s="434"/>
      <c r="CC32" s="434"/>
      <c r="CD32" s="434"/>
      <c r="CE32" s="434"/>
      <c r="CF32" s="434"/>
      <c r="CG32" s="434"/>
      <c r="CH32" s="434"/>
      <c r="CI32" s="434"/>
      <c r="CJ32" s="434"/>
      <c r="CK32" s="434"/>
      <c r="CL32" s="434"/>
      <c r="CM32" s="434"/>
      <c r="CN32" s="434"/>
      <c r="CO32" s="434"/>
      <c r="CP32" s="434"/>
      <c r="CQ32" s="434"/>
    </row>
    <row r="33" spans="3:98" ht="18.75" hidden="1" thickBot="1" x14ac:dyDescent="0.3">
      <c r="C33" s="282">
        <f>+((D23-D25)/D23)*D22</f>
        <v>20.641446571738225</v>
      </c>
      <c r="D33" s="282">
        <f>+(D25/D23)*D22</f>
        <v>16.858553428261779</v>
      </c>
      <c r="AX33" s="12"/>
      <c r="AY33" s="12"/>
      <c r="AZ33" s="608">
        <v>-1</v>
      </c>
      <c r="BA33" s="619" t="b">
        <f>IF(BM72=-1,-13)</f>
        <v>0</v>
      </c>
      <c r="BB33" s="616"/>
      <c r="BC33" s="616"/>
      <c r="BD33" s="616"/>
      <c r="BE33" s="616"/>
      <c r="BF33" s="616"/>
      <c r="BG33" s="617"/>
      <c r="BH33" s="616"/>
      <c r="BI33" s="616"/>
      <c r="BJ33" s="616"/>
      <c r="BK33" s="616"/>
      <c r="BL33" s="616"/>
      <c r="BM33" s="616"/>
      <c r="BN33" s="616"/>
      <c r="BO33" s="616"/>
      <c r="BP33" s="616"/>
      <c r="BQ33" s="616"/>
      <c r="BR33" s="616"/>
      <c r="BS33" s="617"/>
      <c r="BT33" s="616"/>
      <c r="BU33" s="616"/>
      <c r="BV33" s="616"/>
      <c r="BW33" s="616"/>
      <c r="BX33" s="616"/>
      <c r="BY33" s="618" t="b">
        <f>IF(BM72=-1,9)</f>
        <v>0</v>
      </c>
      <c r="BZ33" s="434"/>
      <c r="CA33" s="434"/>
      <c r="CB33" s="434"/>
      <c r="CC33" s="434"/>
      <c r="CD33" s="434"/>
      <c r="CE33" s="434"/>
      <c r="CF33" s="434"/>
      <c r="CG33" s="434"/>
      <c r="CH33" s="434"/>
      <c r="CI33" s="434"/>
      <c r="CJ33" s="434"/>
      <c r="CK33" s="434"/>
      <c r="CL33" s="434"/>
      <c r="CM33" s="434"/>
      <c r="CN33" s="434"/>
      <c r="CO33" s="434"/>
      <c r="CP33" s="434"/>
      <c r="CQ33" s="434"/>
    </row>
    <row r="34" spans="3:98" ht="18.75" hidden="1" thickBot="1" x14ac:dyDescent="0.3">
      <c r="AX34" s="12"/>
      <c r="AY34" s="12"/>
      <c r="AZ34" s="608">
        <v>-2</v>
      </c>
      <c r="BA34" s="608"/>
      <c r="BB34" s="434"/>
      <c r="BC34" s="619" t="b">
        <f>IF(BL72=-2,-11)</f>
        <v>0</v>
      </c>
      <c r="BD34" s="616"/>
      <c r="BE34" s="617"/>
      <c r="BF34" s="616"/>
      <c r="BG34" s="616"/>
      <c r="BH34" s="616"/>
      <c r="BI34" s="616"/>
      <c r="BJ34" s="616"/>
      <c r="BK34" s="616"/>
      <c r="BL34" s="616"/>
      <c r="BM34" s="616"/>
      <c r="BN34" s="616"/>
      <c r="BO34" s="616"/>
      <c r="BP34" s="616"/>
      <c r="BQ34" s="616"/>
      <c r="BR34" s="616"/>
      <c r="BS34" s="617"/>
      <c r="BT34" s="616"/>
      <c r="BU34" s="618" t="b">
        <f>IF(BL72=-2,8)</f>
        <v>0</v>
      </c>
      <c r="BV34" s="608"/>
      <c r="BW34" s="608"/>
      <c r="BX34" s="608"/>
      <c r="BY34" s="434"/>
      <c r="BZ34" s="434"/>
      <c r="CA34" s="434"/>
      <c r="CB34" s="434"/>
      <c r="CC34" s="434"/>
      <c r="CD34" s="434"/>
      <c r="CE34" s="434"/>
      <c r="CF34" s="434"/>
      <c r="CG34" s="434"/>
      <c r="CH34" s="434"/>
      <c r="CI34" s="434"/>
      <c r="CJ34" s="434"/>
      <c r="CK34" s="434"/>
      <c r="CL34" s="434"/>
      <c r="CM34" s="434"/>
      <c r="CN34" s="434"/>
      <c r="CO34" s="434"/>
      <c r="CP34" s="434"/>
      <c r="CQ34" s="434"/>
    </row>
    <row r="35" spans="3:98" ht="18.75" hidden="1" thickBot="1" x14ac:dyDescent="0.3">
      <c r="AX35" s="12"/>
      <c r="AY35" s="12"/>
      <c r="AZ35" s="608">
        <v>-3</v>
      </c>
      <c r="BA35" s="613" t="b">
        <f>IF(BK72=-3,-13)</f>
        <v>0</v>
      </c>
      <c r="BB35" s="614"/>
      <c r="BC35" s="606"/>
      <c r="BD35" s="614"/>
      <c r="BE35" s="614"/>
      <c r="BF35" s="614"/>
      <c r="BG35" s="614"/>
      <c r="BH35" s="614"/>
      <c r="BI35" s="614"/>
      <c r="BJ35" s="614"/>
      <c r="BK35" s="614"/>
      <c r="BL35" s="614"/>
      <c r="BM35" s="614"/>
      <c r="BN35" s="614"/>
      <c r="BO35" s="614"/>
      <c r="BP35" s="614"/>
      <c r="BQ35" s="614"/>
      <c r="BR35" s="614"/>
      <c r="BS35" s="606"/>
      <c r="BT35" s="606"/>
      <c r="BU35" s="615" t="b">
        <f>IF(BK72=-3,8)</f>
        <v>0</v>
      </c>
      <c r="BV35" s="608"/>
      <c r="BW35" s="608"/>
      <c r="BX35" s="608"/>
      <c r="BY35" s="434"/>
      <c r="BZ35" s="434"/>
      <c r="CA35" s="434"/>
      <c r="CB35" s="434"/>
      <c r="CC35" s="434"/>
      <c r="CD35" s="434"/>
      <c r="CE35" s="434"/>
      <c r="CF35" s="434"/>
      <c r="CG35" s="434"/>
      <c r="CH35" s="434"/>
      <c r="CI35" s="434"/>
      <c r="CJ35" s="434"/>
      <c r="CK35" s="434"/>
      <c r="CL35" s="434"/>
      <c r="CM35" s="434"/>
      <c r="CN35" s="434"/>
      <c r="CO35" s="434"/>
      <c r="CP35" s="434"/>
      <c r="CQ35" s="434"/>
    </row>
    <row r="36" spans="3:98" ht="18.75" hidden="1" thickBot="1" x14ac:dyDescent="0.3">
      <c r="AX36" s="12"/>
      <c r="AY36" s="12"/>
      <c r="AZ36" s="608">
        <v>-4</v>
      </c>
      <c r="BA36" s="619" t="b">
        <f>IF(BJ72=-4,-13)</f>
        <v>0</v>
      </c>
      <c r="BB36" s="616"/>
      <c r="BC36" s="616"/>
      <c r="BD36" s="616"/>
      <c r="BE36" s="616"/>
      <c r="BF36" s="616"/>
      <c r="BG36" s="616"/>
      <c r="BH36" s="616"/>
      <c r="BI36" s="616"/>
      <c r="BJ36" s="616"/>
      <c r="BK36" s="616"/>
      <c r="BL36" s="616"/>
      <c r="BM36" s="616"/>
      <c r="BN36" s="616"/>
      <c r="BO36" s="616"/>
      <c r="BP36" s="616"/>
      <c r="BQ36" s="616"/>
      <c r="BR36" s="616"/>
      <c r="BS36" s="618" t="b">
        <f>IF(BJ72=-4,6)</f>
        <v>0</v>
      </c>
      <c r="BT36" s="608"/>
      <c r="BU36" s="608"/>
      <c r="BV36" s="608"/>
      <c r="BW36" s="608"/>
      <c r="BX36" s="608"/>
      <c r="BY36" s="434"/>
      <c r="BZ36" s="434"/>
      <c r="CA36" s="434"/>
      <c r="CB36" s="434"/>
      <c r="CC36" s="434"/>
      <c r="CD36" s="434"/>
      <c r="CE36" s="434"/>
      <c r="CF36" s="434"/>
      <c r="CG36" s="434"/>
      <c r="CH36" s="434"/>
      <c r="CI36" s="434"/>
      <c r="CJ36" s="434"/>
      <c r="CK36" s="434"/>
      <c r="CL36" s="434"/>
      <c r="CM36" s="434"/>
      <c r="CN36" s="434"/>
      <c r="CO36" s="434"/>
      <c r="CP36" s="434"/>
      <c r="CQ36" s="434"/>
    </row>
    <row r="37" spans="3:98" ht="18.75" hidden="1" thickBot="1" x14ac:dyDescent="0.3">
      <c r="AX37" s="12"/>
      <c r="AY37" s="12"/>
      <c r="AZ37" s="608">
        <v>-5</v>
      </c>
      <c r="BA37" s="619" t="b">
        <f>IF(BI72=-5,-13)</f>
        <v>0</v>
      </c>
      <c r="BB37" s="616"/>
      <c r="BC37" s="616"/>
      <c r="BD37" s="616"/>
      <c r="BE37" s="616"/>
      <c r="BF37" s="616"/>
      <c r="BG37" s="616"/>
      <c r="BH37" s="616"/>
      <c r="BI37" s="616"/>
      <c r="BJ37" s="616"/>
      <c r="BK37" s="616"/>
      <c r="BL37" s="616"/>
      <c r="BM37" s="616"/>
      <c r="BN37" s="616"/>
      <c r="BO37" s="616"/>
      <c r="BP37" s="616"/>
      <c r="BQ37" s="618" t="b">
        <f>IF(BI72=-5,4)</f>
        <v>0</v>
      </c>
      <c r="BR37" s="608"/>
      <c r="BS37" s="608"/>
      <c r="BT37" s="608"/>
      <c r="BU37" s="608"/>
      <c r="BV37" s="608"/>
      <c r="BW37" s="608"/>
      <c r="BX37" s="608"/>
      <c r="BY37" s="434"/>
      <c r="BZ37" s="434"/>
      <c r="CA37" s="434"/>
      <c r="CB37" s="434"/>
      <c r="CC37" s="434"/>
      <c r="CD37" s="434"/>
      <c r="CE37" s="434"/>
      <c r="CF37" s="434"/>
      <c r="CG37" s="434"/>
      <c r="CH37" s="434"/>
      <c r="CI37" s="434"/>
      <c r="CJ37" s="434"/>
      <c r="CK37" s="434"/>
      <c r="CL37" s="434"/>
      <c r="CM37" s="434"/>
      <c r="CN37" s="434"/>
      <c r="CO37" s="434"/>
      <c r="CP37" s="434"/>
      <c r="CQ37" s="434"/>
    </row>
    <row r="38" spans="3:98" s="283" customFormat="1" ht="18.75" hidden="1" thickBot="1" x14ac:dyDescent="0.3">
      <c r="L38" s="673"/>
      <c r="M38" s="778"/>
      <c r="N38" s="778"/>
      <c r="O38" s="778"/>
      <c r="P38" s="90"/>
      <c r="Q38" s="90"/>
      <c r="R38" s="90"/>
      <c r="S38" s="90"/>
      <c r="T38" s="90"/>
      <c r="U38" s="90"/>
      <c r="V38" s="284"/>
      <c r="W38" s="284"/>
      <c r="X38" s="284"/>
      <c r="AX38" s="12"/>
      <c r="AY38" s="12"/>
      <c r="AZ38" s="608">
        <v>-6</v>
      </c>
      <c r="BA38" s="619" t="b">
        <f>IF(BH72=-6,-13)</f>
        <v>0</v>
      </c>
      <c r="BB38" s="616"/>
      <c r="BC38" s="616"/>
      <c r="BD38" s="616"/>
      <c r="BE38" s="616"/>
      <c r="BF38" s="616"/>
      <c r="BG38" s="616"/>
      <c r="BH38" s="616"/>
      <c r="BI38" s="616"/>
      <c r="BJ38" s="616"/>
      <c r="BK38" s="616"/>
      <c r="BL38" s="616"/>
      <c r="BM38" s="616"/>
      <c r="BN38" s="616"/>
      <c r="BO38" s="618" t="b">
        <f>IF(BH72=-6,2)</f>
        <v>0</v>
      </c>
      <c r="BP38" s="608"/>
      <c r="BQ38" s="608"/>
      <c r="BR38" s="608"/>
      <c r="BS38" s="608"/>
      <c r="BT38" s="608"/>
      <c r="BU38" s="608"/>
      <c r="BV38" s="608"/>
      <c r="BW38" s="608"/>
      <c r="BX38" s="608"/>
      <c r="BY38" s="434"/>
      <c r="BZ38" s="434"/>
      <c r="CA38" s="434"/>
      <c r="CB38" s="434"/>
      <c r="CC38" s="434"/>
      <c r="CD38" s="434"/>
      <c r="CE38" s="434"/>
      <c r="CF38" s="434"/>
      <c r="CG38" s="434"/>
      <c r="CH38" s="434"/>
      <c r="CI38" s="434"/>
      <c r="CJ38" s="434"/>
      <c r="CK38" s="434"/>
      <c r="CL38" s="434"/>
      <c r="CM38" s="434"/>
      <c r="CN38" s="434"/>
      <c r="CO38" s="434"/>
      <c r="CP38" s="434"/>
      <c r="CQ38" s="434"/>
      <c r="CR38" s="13"/>
      <c r="CS38" s="13"/>
      <c r="CT38" s="13"/>
    </row>
    <row r="39" spans="3:98" ht="18.75" hidden="1" thickBot="1" x14ac:dyDescent="0.3">
      <c r="L39" s="255"/>
      <c r="M39" s="285"/>
      <c r="N39" s="285"/>
      <c r="O39" s="285"/>
      <c r="P39" s="91"/>
      <c r="Q39" s="91"/>
      <c r="R39" s="91"/>
      <c r="S39" s="91"/>
      <c r="T39" s="91"/>
      <c r="U39" s="91"/>
      <c r="V39" s="14"/>
      <c r="W39" s="14"/>
      <c r="X39" s="14"/>
      <c r="AX39" s="12"/>
      <c r="AY39" s="12"/>
      <c r="AZ39" s="608">
        <v>-7</v>
      </c>
      <c r="BA39" s="619" t="b">
        <f>IF(BG72=-7,-13)</f>
        <v>0</v>
      </c>
      <c r="BB39" s="617"/>
      <c r="BC39" s="616"/>
      <c r="BD39" s="616"/>
      <c r="BE39" s="616"/>
      <c r="BF39" s="616"/>
      <c r="BG39" s="616"/>
      <c r="BH39" s="616"/>
      <c r="BI39" s="616"/>
      <c r="BJ39" s="616"/>
      <c r="BK39" s="617"/>
      <c r="BL39" s="616"/>
      <c r="BM39" s="618" t="b">
        <f>IF(BG72=-7,-1)</f>
        <v>0</v>
      </c>
      <c r="BN39" s="608"/>
      <c r="BO39" s="608"/>
      <c r="BP39" s="608"/>
      <c r="BQ39" s="608"/>
      <c r="BR39" s="608"/>
      <c r="BS39" s="608"/>
      <c r="BT39" s="608"/>
      <c r="BU39" s="608"/>
      <c r="BV39" s="608"/>
      <c r="BW39" s="608"/>
      <c r="BX39" s="608"/>
      <c r="BY39" s="434"/>
      <c r="BZ39" s="434"/>
      <c r="CA39" s="434"/>
      <c r="CB39" s="434"/>
      <c r="CC39" s="434"/>
      <c r="CD39" s="434"/>
      <c r="CE39" s="434"/>
      <c r="CF39" s="434"/>
      <c r="CG39" s="434"/>
      <c r="CH39" s="434"/>
      <c r="CI39" s="434"/>
      <c r="CJ39" s="434"/>
      <c r="CK39" s="434"/>
      <c r="CL39" s="434"/>
      <c r="CM39" s="434"/>
      <c r="CN39" s="434"/>
      <c r="CO39" s="434"/>
      <c r="CP39" s="434"/>
      <c r="CQ39" s="434"/>
    </row>
    <row r="40" spans="3:98" ht="18.75" hidden="1" thickBot="1" x14ac:dyDescent="0.3">
      <c r="L40" s="255"/>
      <c r="M40" s="285"/>
      <c r="N40" s="285"/>
      <c r="O40" s="285"/>
      <c r="P40" s="91"/>
      <c r="Q40" s="91"/>
      <c r="R40" s="91"/>
      <c r="S40" s="91"/>
      <c r="T40" s="91"/>
      <c r="U40" s="91"/>
      <c r="V40" s="14"/>
      <c r="W40" s="14"/>
      <c r="X40" s="14"/>
      <c r="AX40" s="12"/>
      <c r="AY40" s="12"/>
      <c r="AZ40" s="608">
        <v>-8</v>
      </c>
      <c r="BA40" s="619" t="b">
        <f>IF(BF72=-8,-13)</f>
        <v>0</v>
      </c>
      <c r="BB40" s="616"/>
      <c r="BC40" s="616"/>
      <c r="BD40" s="616"/>
      <c r="BE40" s="616"/>
      <c r="BF40" s="616"/>
      <c r="BG40" s="616"/>
      <c r="BH40" s="616"/>
      <c r="BI40" s="616"/>
      <c r="BJ40" s="616"/>
      <c r="BK40" s="618" t="b">
        <f>IF(BF72=-8,-3)</f>
        <v>0</v>
      </c>
      <c r="BL40" s="434"/>
      <c r="BM40" s="608"/>
      <c r="BN40" s="613" t="b">
        <f>IF(CA72=11,1)</f>
        <v>0</v>
      </c>
      <c r="BO40" s="614"/>
      <c r="BP40" s="614"/>
      <c r="BQ40" s="614"/>
      <c r="BR40" s="614"/>
      <c r="BS40" s="614"/>
      <c r="BT40" s="614"/>
      <c r="BU40" s="614"/>
      <c r="BV40" s="614"/>
      <c r="BW40" s="614"/>
      <c r="BX40" s="614"/>
      <c r="BY40" s="606"/>
      <c r="BZ40" s="606"/>
      <c r="CA40" s="606"/>
      <c r="CB40" s="606"/>
      <c r="CC40" s="606"/>
      <c r="CD40" s="606"/>
      <c r="CE40" s="606"/>
      <c r="CF40" s="606"/>
      <c r="CG40" s="606"/>
      <c r="CH40" s="606"/>
      <c r="CI40" s="606"/>
      <c r="CJ40" s="606"/>
      <c r="CK40" s="606"/>
      <c r="CL40" s="606"/>
      <c r="CM40" s="606"/>
      <c r="CN40" s="615" t="b">
        <f>IF(CA72=11,24)</f>
        <v>0</v>
      </c>
      <c r="CO40" s="434"/>
      <c r="CP40" s="434"/>
      <c r="CQ40" s="434"/>
      <c r="CS40" s="13">
        <v>11</v>
      </c>
    </row>
    <row r="41" spans="3:98" ht="18.75" hidden="1" thickBot="1" x14ac:dyDescent="0.3">
      <c r="L41" s="255"/>
      <c r="M41" s="285"/>
      <c r="N41" s="285"/>
      <c r="O41" s="285"/>
      <c r="P41" s="91"/>
      <c r="Q41" s="91"/>
      <c r="R41" s="91"/>
      <c r="S41" s="91"/>
      <c r="T41" s="91"/>
      <c r="U41" s="91"/>
      <c r="V41" s="14"/>
      <c r="W41" s="14"/>
      <c r="X41" s="14"/>
      <c r="AX41" s="12"/>
      <c r="AY41" s="12"/>
      <c r="AZ41" s="608">
        <v>-9</v>
      </c>
      <c r="BA41" s="619" t="b">
        <f>IF(BE72=-9,-13)</f>
        <v>0</v>
      </c>
      <c r="BB41" s="617"/>
      <c r="BC41" s="616"/>
      <c r="BD41" s="616"/>
      <c r="BE41" s="616"/>
      <c r="BF41" s="616"/>
      <c r="BG41" s="616"/>
      <c r="BH41" s="617"/>
      <c r="BI41" s="618" t="b">
        <f>IF(BE72=-9,-5)</f>
        <v>0</v>
      </c>
      <c r="BJ41" s="608"/>
      <c r="BK41" s="608"/>
      <c r="BL41" s="608"/>
      <c r="BM41" s="608"/>
      <c r="BN41" s="619" t="b">
        <f>IF(BZ72=10,1)</f>
        <v>0</v>
      </c>
      <c r="BO41" s="616"/>
      <c r="BP41" s="616"/>
      <c r="BQ41" s="616"/>
      <c r="BR41" s="616"/>
      <c r="BS41" s="616"/>
      <c r="BT41" s="616"/>
      <c r="BU41" s="616"/>
      <c r="BV41" s="616"/>
      <c r="BW41" s="616"/>
      <c r="BX41" s="616"/>
      <c r="BY41" s="617"/>
      <c r="BZ41" s="617"/>
      <c r="CA41" s="617"/>
      <c r="CB41" s="617"/>
      <c r="CC41" s="617"/>
      <c r="CD41" s="617"/>
      <c r="CE41" s="617"/>
      <c r="CF41" s="617"/>
      <c r="CG41" s="617"/>
      <c r="CH41" s="617"/>
      <c r="CI41" s="617"/>
      <c r="CJ41" s="617"/>
      <c r="CK41" s="617"/>
      <c r="CL41" s="618" t="b">
        <f>IF(BZ72=10,22)</f>
        <v>0</v>
      </c>
      <c r="CM41" s="434"/>
      <c r="CN41" s="434"/>
      <c r="CO41" s="434"/>
      <c r="CP41" s="434"/>
      <c r="CQ41" s="434"/>
      <c r="CS41" s="13">
        <v>10</v>
      </c>
    </row>
    <row r="42" spans="3:98" ht="18.75" hidden="1" thickBot="1" x14ac:dyDescent="0.3">
      <c r="C42" s="3"/>
      <c r="L42" s="255"/>
      <c r="M42" s="285"/>
      <c r="N42" s="285"/>
      <c r="O42" s="285"/>
      <c r="P42" s="91"/>
      <c r="Q42" s="91"/>
      <c r="R42" s="91"/>
      <c r="S42" s="91"/>
      <c r="T42" s="91"/>
      <c r="U42" s="91"/>
      <c r="V42" s="14"/>
      <c r="W42" s="14"/>
      <c r="X42" s="14"/>
      <c r="AX42" s="12"/>
      <c r="AY42" s="12"/>
      <c r="AZ42" s="608">
        <v>-10</v>
      </c>
      <c r="BA42" s="619" t="b">
        <f>IF(BD72=-10,-13)</f>
        <v>0</v>
      </c>
      <c r="BB42" s="616"/>
      <c r="BC42" s="616"/>
      <c r="BD42" s="616"/>
      <c r="BE42" s="616"/>
      <c r="BF42" s="616"/>
      <c r="BG42" s="618" t="b">
        <f>IF(BD72=-10,-7)</f>
        <v>0</v>
      </c>
      <c r="BH42" s="608"/>
      <c r="BI42" s="620"/>
      <c r="BJ42" s="620"/>
      <c r="BK42" s="608"/>
      <c r="BL42" s="620"/>
      <c r="BM42" s="608"/>
      <c r="BN42" s="619" t="b">
        <f>IF(BY72=9,1)</f>
        <v>0</v>
      </c>
      <c r="BO42" s="616"/>
      <c r="BP42" s="616"/>
      <c r="BQ42" s="616"/>
      <c r="BR42" s="616"/>
      <c r="BS42" s="616"/>
      <c r="BT42" s="616"/>
      <c r="BU42" s="616"/>
      <c r="BV42" s="616"/>
      <c r="BW42" s="616"/>
      <c r="BX42" s="616"/>
      <c r="BY42" s="617"/>
      <c r="BZ42" s="617"/>
      <c r="CA42" s="617"/>
      <c r="CB42" s="617"/>
      <c r="CC42" s="617"/>
      <c r="CD42" s="617"/>
      <c r="CE42" s="617"/>
      <c r="CF42" s="617"/>
      <c r="CG42" s="617"/>
      <c r="CH42" s="617"/>
      <c r="CI42" s="617"/>
      <c r="CJ42" s="618" t="b">
        <f>IF(BY72=9,20)</f>
        <v>0</v>
      </c>
      <c r="CK42" s="434"/>
      <c r="CL42" s="434"/>
      <c r="CM42" s="434"/>
      <c r="CN42" s="434"/>
      <c r="CO42" s="434"/>
      <c r="CP42" s="434"/>
      <c r="CQ42" s="434"/>
      <c r="CS42" s="13">
        <v>9</v>
      </c>
    </row>
    <row r="43" spans="3:98" ht="18.75" hidden="1" thickBot="1" x14ac:dyDescent="0.3">
      <c r="L43" s="255"/>
      <c r="M43" s="285"/>
      <c r="N43" s="285"/>
      <c r="O43" s="285"/>
      <c r="P43" s="91"/>
      <c r="Q43" s="91"/>
      <c r="R43" s="91"/>
      <c r="S43" s="91"/>
      <c r="T43" s="91"/>
      <c r="U43" s="91"/>
      <c r="V43" s="14"/>
      <c r="W43" s="14"/>
      <c r="X43" s="14"/>
      <c r="AX43" s="12"/>
      <c r="AY43" s="12"/>
      <c r="AZ43" s="608">
        <v>-11</v>
      </c>
      <c r="BA43" s="619" t="b">
        <f>IF(BC72=-11,-13)</f>
        <v>0</v>
      </c>
      <c r="BB43" s="616"/>
      <c r="BC43" s="616"/>
      <c r="BD43" s="616"/>
      <c r="BE43" s="618" t="b">
        <f>IF(BC72=-11,-9)</f>
        <v>0</v>
      </c>
      <c r="BF43" s="608"/>
      <c r="BG43" s="608"/>
      <c r="BH43" s="608"/>
      <c r="BI43" s="608"/>
      <c r="BJ43" s="608"/>
      <c r="BK43" s="608"/>
      <c r="BL43" s="608"/>
      <c r="BM43" s="608"/>
      <c r="BN43" s="619" t="b">
        <f>IF(BX72=83,1)</f>
        <v>0</v>
      </c>
      <c r="BO43" s="616"/>
      <c r="BP43" s="617"/>
      <c r="BQ43" s="616"/>
      <c r="BR43" s="616"/>
      <c r="BS43" s="616"/>
      <c r="BT43" s="616"/>
      <c r="BU43" s="616"/>
      <c r="BV43" s="616"/>
      <c r="BW43" s="616"/>
      <c r="BX43" s="617"/>
      <c r="BY43" s="617"/>
      <c r="BZ43" s="617"/>
      <c r="CA43" s="617"/>
      <c r="CB43" s="617"/>
      <c r="CC43" s="617"/>
      <c r="CD43" s="617"/>
      <c r="CE43" s="617"/>
      <c r="CF43" s="617"/>
      <c r="CG43" s="617"/>
      <c r="CH43" s="618" t="b">
        <f>IF(BX72=83,18)</f>
        <v>0</v>
      </c>
      <c r="CI43" s="434"/>
      <c r="CJ43" s="434"/>
      <c r="CK43" s="434"/>
      <c r="CL43" s="434"/>
      <c r="CM43" s="434"/>
      <c r="CN43" s="434"/>
      <c r="CO43" s="434"/>
      <c r="CP43" s="434"/>
      <c r="CQ43" s="434"/>
      <c r="CS43" s="18">
        <v>83</v>
      </c>
    </row>
    <row r="44" spans="3:98" ht="18.75" hidden="1" thickBot="1" x14ac:dyDescent="0.3">
      <c r="L44" s="255"/>
      <c r="M44" s="285"/>
      <c r="N44" s="285"/>
      <c r="O44" s="285"/>
      <c r="P44" s="91"/>
      <c r="Q44" s="91"/>
      <c r="R44" s="91"/>
      <c r="S44" s="91"/>
      <c r="T44" s="91"/>
      <c r="U44" s="91"/>
      <c r="V44" s="14"/>
      <c r="W44" s="14"/>
      <c r="X44" s="14"/>
      <c r="AX44" s="12"/>
      <c r="AY44" s="12"/>
      <c r="AZ44" s="608">
        <v>-12</v>
      </c>
      <c r="BA44" s="619" t="b">
        <f>IF(BB72=-12,-13)</f>
        <v>0</v>
      </c>
      <c r="BB44" s="616"/>
      <c r="BC44" s="618" t="b">
        <f>IF(BB72=-12,-11)</f>
        <v>0</v>
      </c>
      <c r="BD44" s="608"/>
      <c r="BE44" s="608"/>
      <c r="BF44" s="608"/>
      <c r="BG44" s="608"/>
      <c r="BH44" s="608"/>
      <c r="BI44" s="608"/>
      <c r="BJ44" s="608"/>
      <c r="BK44" s="608"/>
      <c r="BL44" s="608"/>
      <c r="BM44" s="608"/>
      <c r="BN44" s="619" t="b">
        <f>IF(BW72=82,1)</f>
        <v>0</v>
      </c>
      <c r="BO44" s="617"/>
      <c r="BP44" s="616"/>
      <c r="BQ44" s="616"/>
      <c r="BR44" s="616"/>
      <c r="BS44" s="616"/>
      <c r="BT44" s="616"/>
      <c r="BU44" s="616"/>
      <c r="BV44" s="616"/>
      <c r="BW44" s="617"/>
      <c r="BX44" s="616"/>
      <c r="BY44" s="617"/>
      <c r="BZ44" s="617"/>
      <c r="CA44" s="617"/>
      <c r="CB44" s="617"/>
      <c r="CC44" s="617"/>
      <c r="CD44" s="617"/>
      <c r="CE44" s="617"/>
      <c r="CF44" s="618" t="b">
        <f>IF(BW72=82,16)</f>
        <v>0</v>
      </c>
      <c r="CG44" s="434"/>
      <c r="CH44" s="434"/>
      <c r="CI44" s="434"/>
      <c r="CJ44" s="434"/>
      <c r="CK44" s="434"/>
      <c r="CL44" s="434"/>
      <c r="CM44" s="434"/>
      <c r="CN44" s="434"/>
      <c r="CO44" s="434"/>
      <c r="CP44" s="434"/>
      <c r="CQ44" s="434"/>
      <c r="CS44" s="18">
        <v>82</v>
      </c>
    </row>
    <row r="45" spans="3:98" ht="18" hidden="1" x14ac:dyDescent="0.25">
      <c r="L45" s="255"/>
      <c r="M45" s="285"/>
      <c r="N45" s="285"/>
      <c r="O45" s="285"/>
      <c r="P45" s="91"/>
      <c r="Q45" s="91"/>
      <c r="R45" s="91"/>
      <c r="S45" s="91"/>
      <c r="T45" s="91"/>
      <c r="U45" s="91"/>
      <c r="V45" s="14"/>
      <c r="W45" s="14"/>
      <c r="X45" s="14"/>
      <c r="AX45" s="12"/>
      <c r="AY45" s="12"/>
      <c r="AZ45" s="608"/>
      <c r="BA45" s="608"/>
      <c r="BB45" s="608"/>
      <c r="BC45" s="608"/>
      <c r="BD45" s="608"/>
      <c r="BE45" s="608"/>
      <c r="BF45" s="608"/>
      <c r="BG45" s="608"/>
      <c r="BH45" s="608"/>
      <c r="BI45" s="608"/>
      <c r="BJ45" s="608"/>
      <c r="BK45" s="608"/>
      <c r="BL45" s="608"/>
      <c r="BM45" s="608"/>
      <c r="BN45" s="608"/>
      <c r="BO45" s="608"/>
      <c r="BP45" s="608"/>
      <c r="BQ45" s="608"/>
      <c r="BR45" s="608"/>
      <c r="BS45" s="608"/>
      <c r="BT45" s="608"/>
      <c r="BU45" s="608"/>
      <c r="BV45" s="608"/>
      <c r="BW45" s="608"/>
      <c r="BX45" s="608"/>
      <c r="BY45" s="434"/>
      <c r="BZ45" s="434"/>
      <c r="CA45" s="434"/>
      <c r="CB45" s="434"/>
      <c r="CC45" s="434"/>
      <c r="CD45" s="434"/>
      <c r="CE45" s="434"/>
      <c r="CF45" s="434"/>
      <c r="CG45" s="434"/>
      <c r="CH45" s="434"/>
      <c r="CI45" s="434"/>
      <c r="CJ45" s="434"/>
      <c r="CK45" s="434"/>
      <c r="CL45" s="434"/>
      <c r="CM45" s="434"/>
      <c r="CN45" s="434"/>
      <c r="CO45" s="434"/>
      <c r="CP45" s="434"/>
      <c r="CQ45" s="434"/>
    </row>
    <row r="46" spans="3:98" ht="36.75" hidden="1" thickBot="1" x14ac:dyDescent="0.3">
      <c r="L46" s="255"/>
      <c r="M46" s="285"/>
      <c r="N46" s="285"/>
      <c r="O46" s="285"/>
      <c r="P46" s="91"/>
      <c r="Q46" s="91"/>
      <c r="R46" s="91"/>
      <c r="S46" s="91"/>
      <c r="T46" s="91"/>
      <c r="U46" s="91"/>
      <c r="V46" s="14"/>
      <c r="W46" s="14"/>
      <c r="X46" s="14"/>
      <c r="AX46" s="12"/>
      <c r="AY46" s="12"/>
      <c r="AZ46" s="621" t="s">
        <v>102</v>
      </c>
      <c r="BA46" s="622">
        <f t="shared" ref="BA46:CQ46" si="0">SUM(BA7:BA44)</f>
        <v>0</v>
      </c>
      <c r="BB46" s="622">
        <f t="shared" si="0"/>
        <v>0</v>
      </c>
      <c r="BC46" s="622">
        <f t="shared" si="0"/>
        <v>0</v>
      </c>
      <c r="BD46" s="622">
        <f t="shared" si="0"/>
        <v>0</v>
      </c>
      <c r="BE46" s="622">
        <f t="shared" si="0"/>
        <v>0</v>
      </c>
      <c r="BF46" s="622">
        <f t="shared" si="0"/>
        <v>0</v>
      </c>
      <c r="BG46" s="622">
        <f t="shared" si="0"/>
        <v>0</v>
      </c>
      <c r="BH46" s="622">
        <f t="shared" si="0"/>
        <v>0</v>
      </c>
      <c r="BI46" s="622">
        <f t="shared" si="0"/>
        <v>0</v>
      </c>
      <c r="BJ46" s="622">
        <f t="shared" si="0"/>
        <v>0</v>
      </c>
      <c r="BK46" s="622">
        <f t="shared" si="0"/>
        <v>0</v>
      </c>
      <c r="BL46" s="622">
        <f t="shared" si="0"/>
        <v>-2</v>
      </c>
      <c r="BM46" s="622">
        <f t="shared" si="0"/>
        <v>0</v>
      </c>
      <c r="BN46" s="622">
        <f t="shared" si="0"/>
        <v>0</v>
      </c>
      <c r="BO46" s="622">
        <f t="shared" si="0"/>
        <v>0</v>
      </c>
      <c r="BP46" s="622">
        <f t="shared" si="0"/>
        <v>0</v>
      </c>
      <c r="BQ46" s="622">
        <f t="shared" si="0"/>
        <v>0</v>
      </c>
      <c r="BR46" s="622">
        <f t="shared" si="0"/>
        <v>0</v>
      </c>
      <c r="BS46" s="622">
        <f t="shared" si="0"/>
        <v>0</v>
      </c>
      <c r="BT46" s="622">
        <f t="shared" si="0"/>
        <v>0</v>
      </c>
      <c r="BU46" s="622">
        <f t="shared" si="0"/>
        <v>0</v>
      </c>
      <c r="BV46" s="622">
        <f t="shared" si="0"/>
        <v>0</v>
      </c>
      <c r="BW46" s="622">
        <f t="shared" si="0"/>
        <v>0</v>
      </c>
      <c r="BX46" s="622">
        <f t="shared" si="0"/>
        <v>0</v>
      </c>
      <c r="BY46" s="622">
        <f t="shared" si="0"/>
        <v>0</v>
      </c>
      <c r="BZ46" s="622">
        <f t="shared" si="0"/>
        <v>0</v>
      </c>
      <c r="CA46" s="622">
        <f t="shared" si="0"/>
        <v>0</v>
      </c>
      <c r="CB46" s="622">
        <f t="shared" si="0"/>
        <v>0</v>
      </c>
      <c r="CC46" s="622">
        <f t="shared" si="0"/>
        <v>0</v>
      </c>
      <c r="CD46" s="622">
        <f t="shared" si="0"/>
        <v>14</v>
      </c>
      <c r="CE46" s="622">
        <f t="shared" si="0"/>
        <v>0</v>
      </c>
      <c r="CF46" s="622">
        <f t="shared" si="0"/>
        <v>0</v>
      </c>
      <c r="CG46" s="622">
        <f t="shared" si="0"/>
        <v>0</v>
      </c>
      <c r="CH46" s="622">
        <f t="shared" si="0"/>
        <v>0</v>
      </c>
      <c r="CI46" s="622">
        <f t="shared" si="0"/>
        <v>0</v>
      </c>
      <c r="CJ46" s="622">
        <f t="shared" si="0"/>
        <v>0</v>
      </c>
      <c r="CK46" s="622">
        <f t="shared" si="0"/>
        <v>0</v>
      </c>
      <c r="CL46" s="622">
        <f t="shared" si="0"/>
        <v>0</v>
      </c>
      <c r="CM46" s="622">
        <f t="shared" si="0"/>
        <v>0</v>
      </c>
      <c r="CN46" s="622">
        <f t="shared" si="0"/>
        <v>0</v>
      </c>
      <c r="CO46" s="622">
        <f t="shared" si="0"/>
        <v>0</v>
      </c>
      <c r="CP46" s="622">
        <f t="shared" si="0"/>
        <v>0</v>
      </c>
      <c r="CQ46" s="622">
        <f t="shared" si="0"/>
        <v>0</v>
      </c>
    </row>
    <row r="47" spans="3:98" ht="38.25" thickBot="1" x14ac:dyDescent="0.4">
      <c r="L47" s="255"/>
      <c r="M47" s="285"/>
      <c r="N47" s="285"/>
      <c r="O47" s="285"/>
      <c r="P47" s="91"/>
      <c r="Q47" s="91"/>
      <c r="R47" s="91"/>
      <c r="S47" s="91"/>
      <c r="T47" s="91"/>
      <c r="U47" s="91"/>
      <c r="V47" s="14"/>
      <c r="W47" s="14"/>
      <c r="X47" s="14"/>
      <c r="AX47" s="12"/>
      <c r="AY47" s="12"/>
      <c r="AZ47" s="623" t="s">
        <v>102</v>
      </c>
      <c r="BA47" s="674" t="str">
        <f>IF(BA46=-13,"A ","")</f>
        <v/>
      </c>
      <c r="BB47" s="675" t="str">
        <f>IF(BB46=-12,"B ","")</f>
        <v/>
      </c>
      <c r="BC47" s="675" t="str">
        <f>IF(BC46=-11,"C ","")</f>
        <v/>
      </c>
      <c r="BD47" s="675" t="str">
        <f>IF(BD46=-10,"D ","")</f>
        <v/>
      </c>
      <c r="BE47" s="675" t="str">
        <f>IF(BE46=-9,"E ","")</f>
        <v/>
      </c>
      <c r="BF47" s="675" t="str">
        <f>IF(BF46=-8,"F ","")</f>
        <v/>
      </c>
      <c r="BG47" s="675" t="str">
        <f>IF(BG46=-7,"G ","")</f>
        <v/>
      </c>
      <c r="BH47" s="675" t="str">
        <f>IF(BH46=-6,"H ","")</f>
        <v/>
      </c>
      <c r="BI47" s="675" t="str">
        <f>IF(BI46=-5,"I ","")</f>
        <v/>
      </c>
      <c r="BJ47" s="675" t="str">
        <f>IF(BJ46=-4,"J ","")</f>
        <v/>
      </c>
      <c r="BK47" s="675" t="str">
        <f>IF(BK46=-3,"K ","")</f>
        <v/>
      </c>
      <c r="BL47" s="675" t="str">
        <f>IF(BL46=-2,"L ","")</f>
        <v xml:space="preserve">L </v>
      </c>
      <c r="BM47" s="675" t="str">
        <f>IF(BM46=-1,"M ","")</f>
        <v/>
      </c>
      <c r="BN47" s="675">
        <f t="shared" ref="BN47:BU47" si="1">+BN46</f>
        <v>0</v>
      </c>
      <c r="BO47" s="675">
        <f t="shared" si="1"/>
        <v>0</v>
      </c>
      <c r="BP47" s="675">
        <f t="shared" si="1"/>
        <v>0</v>
      </c>
      <c r="BQ47" s="675">
        <f t="shared" si="1"/>
        <v>0</v>
      </c>
      <c r="BR47" s="675">
        <f t="shared" si="1"/>
        <v>0</v>
      </c>
      <c r="BS47" s="675">
        <f t="shared" si="1"/>
        <v>0</v>
      </c>
      <c r="BT47" s="675">
        <f t="shared" si="1"/>
        <v>0</v>
      </c>
      <c r="BU47" s="675">
        <f t="shared" si="1"/>
        <v>0</v>
      </c>
      <c r="BV47" s="675" t="str">
        <f>IF(BV46=81,"L ","")</f>
        <v/>
      </c>
      <c r="BW47" s="675" t="str">
        <f>IF(BW46=82,"K ","")</f>
        <v/>
      </c>
      <c r="BX47" s="675" t="str">
        <f>IF(BX46=83,"J ","")</f>
        <v/>
      </c>
      <c r="BY47" s="675">
        <f t="shared" ref="BY47:CD47" si="2">+BY46</f>
        <v>0</v>
      </c>
      <c r="BZ47" s="675">
        <f t="shared" si="2"/>
        <v>0</v>
      </c>
      <c r="CA47" s="675">
        <f t="shared" si="2"/>
        <v>0</v>
      </c>
      <c r="CB47" s="675">
        <f t="shared" si="2"/>
        <v>0</v>
      </c>
      <c r="CC47" s="675">
        <f t="shared" si="2"/>
        <v>0</v>
      </c>
      <c r="CD47" s="675">
        <f t="shared" si="2"/>
        <v>14</v>
      </c>
      <c r="CE47" s="675" t="str">
        <f>IF(CE46=15,"M ","")</f>
        <v/>
      </c>
      <c r="CF47" s="675" t="str">
        <f>IF(CF46=16,"L ","")</f>
        <v/>
      </c>
      <c r="CG47" s="675" t="str">
        <f>IF(CG46=17,"K ","")</f>
        <v/>
      </c>
      <c r="CH47" s="675" t="str">
        <f>IF(CH46=18,"J ","")</f>
        <v/>
      </c>
      <c r="CI47" s="675" t="str">
        <f>IF(CI46=19,"I ","")</f>
        <v/>
      </c>
      <c r="CJ47" s="675" t="str">
        <f>IF(CJ46=20,"H ","")</f>
        <v/>
      </c>
      <c r="CK47" s="675" t="str">
        <f>IF(CK46=21,"G ","")</f>
        <v/>
      </c>
      <c r="CL47" s="675" t="str">
        <f>IF(CL46=22,"F ","")</f>
        <v/>
      </c>
      <c r="CM47" s="675" t="str">
        <f>IF(CM46=23,"E ","")</f>
        <v/>
      </c>
      <c r="CN47" s="675" t="str">
        <f>IF(CN46=24,"D ","")</f>
        <v/>
      </c>
      <c r="CO47" s="675" t="str">
        <f>IF(CO46=25,"C ","")</f>
        <v/>
      </c>
      <c r="CP47" s="675" t="str">
        <f>IF(CP46=26,"B ","")</f>
        <v/>
      </c>
      <c r="CQ47" s="676" t="str">
        <f>IF(CQ46=27,"A ","")</f>
        <v/>
      </c>
    </row>
    <row r="48" spans="3:98" ht="18.75" thickBot="1" x14ac:dyDescent="0.3">
      <c r="L48" s="255"/>
      <c r="M48" s="285"/>
      <c r="N48" s="285"/>
      <c r="O48" s="285"/>
      <c r="P48" s="91"/>
      <c r="Q48" s="91"/>
      <c r="R48" s="91"/>
      <c r="S48" s="91"/>
      <c r="T48" s="91"/>
      <c r="U48" s="91"/>
      <c r="V48" s="14"/>
      <c r="W48" s="14"/>
      <c r="X48" s="14"/>
      <c r="AX48" s="12"/>
      <c r="AY48" s="12"/>
      <c r="AZ48" s="434"/>
      <c r="BA48" s="434"/>
      <c r="BB48" s="434"/>
      <c r="BC48" s="434"/>
      <c r="BD48" s="434"/>
      <c r="BE48" s="434"/>
      <c r="BF48" s="434"/>
      <c r="BG48" s="434"/>
      <c r="BH48" s="434"/>
      <c r="BI48" s="434"/>
      <c r="BJ48" s="434"/>
      <c r="BK48" s="434"/>
      <c r="BL48" s="434"/>
      <c r="BM48" s="434"/>
      <c r="BN48" s="434"/>
      <c r="BO48" s="434"/>
      <c r="BP48" s="434"/>
      <c r="BQ48" s="434"/>
      <c r="BR48" s="434"/>
      <c r="BS48" s="434"/>
      <c r="BT48" s="624"/>
      <c r="BU48" s="624"/>
      <c r="BV48" s="624"/>
      <c r="BW48" s="624"/>
      <c r="BX48" s="625"/>
      <c r="BY48" s="434"/>
      <c r="BZ48" s="434"/>
      <c r="CA48" s="434"/>
      <c r="CB48" s="434"/>
      <c r="CC48" s="434"/>
      <c r="CD48" s="434"/>
      <c r="CE48" s="434"/>
      <c r="CF48" s="434"/>
      <c r="CG48" s="434"/>
      <c r="CH48" s="434"/>
      <c r="CI48" s="434"/>
      <c r="CJ48" s="434"/>
      <c r="CK48" s="434"/>
      <c r="CL48" s="434"/>
      <c r="CM48" s="434"/>
      <c r="CN48" s="434"/>
      <c r="CO48" s="434"/>
      <c r="CP48" s="434"/>
      <c r="CQ48" s="434"/>
    </row>
    <row r="49" spans="12:98" ht="18" x14ac:dyDescent="0.25">
      <c r="L49" s="255"/>
      <c r="M49" s="285"/>
      <c r="N49" s="285"/>
      <c r="O49" s="285"/>
      <c r="P49" s="91"/>
      <c r="Q49" s="91"/>
      <c r="R49" s="91"/>
      <c r="S49" s="91"/>
      <c r="T49" s="91"/>
      <c r="U49" s="91"/>
      <c r="V49" s="14"/>
      <c r="W49" s="14"/>
      <c r="X49" s="14"/>
      <c r="AX49" s="12"/>
      <c r="AY49" s="12"/>
      <c r="AZ49" s="626" t="s">
        <v>29</v>
      </c>
      <c r="BA49" s="587"/>
      <c r="BB49" s="588"/>
      <c r="BC49" s="588"/>
      <c r="BD49" s="588"/>
      <c r="BE49" s="588"/>
      <c r="BF49" s="588"/>
      <c r="BG49" s="588"/>
      <c r="BH49" s="588"/>
      <c r="BI49" s="588"/>
      <c r="BJ49" s="588"/>
      <c r="BK49" s="588"/>
      <c r="BL49" s="588"/>
      <c r="BM49" s="589"/>
      <c r="BN49" s="627" t="s">
        <v>30</v>
      </c>
      <c r="BO49" s="628"/>
      <c r="BP49" s="628"/>
      <c r="BQ49" s="628"/>
      <c r="BR49" s="628"/>
      <c r="BS49" s="584"/>
      <c r="BT49" s="600"/>
      <c r="BU49" s="600"/>
      <c r="BV49" s="600"/>
      <c r="BW49" s="600"/>
      <c r="BX49" s="584"/>
      <c r="BY49" s="584"/>
      <c r="BZ49" s="584"/>
      <c r="CA49" s="584"/>
      <c r="CB49" s="584"/>
      <c r="CC49" s="584"/>
      <c r="CD49" s="629" t="s">
        <v>31</v>
      </c>
      <c r="CE49" s="587"/>
      <c r="CF49" s="588"/>
      <c r="CG49" s="588"/>
      <c r="CH49" s="588"/>
      <c r="CI49" s="588"/>
      <c r="CJ49" s="588"/>
      <c r="CK49" s="588"/>
      <c r="CL49" s="588"/>
      <c r="CM49" s="588"/>
      <c r="CN49" s="588"/>
      <c r="CO49" s="588"/>
      <c r="CP49" s="588"/>
      <c r="CQ49" s="589"/>
    </row>
    <row r="50" spans="12:98" ht="32.25" customHeight="1" thickBot="1" x14ac:dyDescent="0.4">
      <c r="L50" s="255"/>
      <c r="M50" s="285"/>
      <c r="N50" s="285"/>
      <c r="O50" s="285"/>
      <c r="P50" s="91"/>
      <c r="Q50" s="91"/>
      <c r="R50" s="91"/>
      <c r="S50" s="91"/>
      <c r="T50" s="91"/>
      <c r="U50" s="91"/>
      <c r="V50" s="14"/>
      <c r="W50" s="14"/>
      <c r="X50" s="14"/>
      <c r="AW50" s="683" t="s">
        <v>163</v>
      </c>
      <c r="AX50" s="683">
        <f>+MAX(AY3,AY5,AY50)</f>
        <v>28.321500520948323</v>
      </c>
      <c r="AY50" s="684">
        <f>+IF(AND(CC50&gt;0,BN50&gt;0),BN50)</f>
        <v>20.863969694218838</v>
      </c>
      <c r="AZ50" s="630" t="s">
        <v>101</v>
      </c>
      <c r="BA50" s="595"/>
      <c r="BB50" s="596"/>
      <c r="BC50" s="596"/>
      <c r="BD50" s="596"/>
      <c r="BE50" s="596"/>
      <c r="BF50" s="596"/>
      <c r="BG50" s="596"/>
      <c r="BH50" s="596"/>
      <c r="BI50" s="596"/>
      <c r="BJ50" s="596"/>
      <c r="BK50" s="596"/>
      <c r="BL50" s="596"/>
      <c r="BM50" s="597"/>
      <c r="BN50" s="737">
        <f>+((E16-E17)/E16)*D22</f>
        <v>20.863969694218838</v>
      </c>
      <c r="BO50" s="738"/>
      <c r="BP50" s="631"/>
      <c r="BQ50" s="631"/>
      <c r="BR50" s="631"/>
      <c r="BS50" s="592"/>
      <c r="BT50" s="604"/>
      <c r="BU50" s="604"/>
      <c r="BV50" s="604"/>
      <c r="BW50" s="604"/>
      <c r="BX50" s="592"/>
      <c r="BY50" s="592"/>
      <c r="BZ50" s="592"/>
      <c r="CA50" s="592"/>
      <c r="CB50" s="592"/>
      <c r="CC50" s="739">
        <f>+(E17/E16)*D22</f>
        <v>16.636030305781162</v>
      </c>
      <c r="CD50" s="740"/>
      <c r="CE50" s="595"/>
      <c r="CF50" s="596"/>
      <c r="CG50" s="596"/>
      <c r="CH50" s="596"/>
      <c r="CI50" s="596"/>
      <c r="CJ50" s="596"/>
      <c r="CK50" s="596"/>
      <c r="CL50" s="596"/>
      <c r="CM50" s="596"/>
      <c r="CN50" s="596"/>
      <c r="CO50" s="596"/>
      <c r="CP50" s="596"/>
      <c r="CQ50" s="597"/>
      <c r="CR50" s="684">
        <f>+IF(AND(BN50&gt;0,CC50&gt;0),CC50)</f>
        <v>16.636030305781162</v>
      </c>
      <c r="CS50" s="683">
        <f>+MAX(CR3,CR5,CR50)</f>
        <v>25.988844306637883</v>
      </c>
      <c r="CT50" s="683" t="s">
        <v>164</v>
      </c>
    </row>
    <row r="51" spans="12:98" ht="21" hidden="1" customHeight="1" thickBot="1" x14ac:dyDescent="0.3">
      <c r="L51" s="255"/>
      <c r="M51" s="285"/>
      <c r="N51" s="285"/>
      <c r="O51" s="285"/>
      <c r="P51" s="91"/>
      <c r="Q51" s="91"/>
      <c r="R51" s="91"/>
      <c r="S51" s="91"/>
      <c r="T51" s="91"/>
      <c r="U51" s="91"/>
      <c r="V51" s="14"/>
      <c r="W51" s="14"/>
      <c r="X51" s="14"/>
      <c r="AX51" s="12"/>
      <c r="AY51" s="12"/>
      <c r="AZ51" s="632"/>
      <c r="BA51" s="632"/>
      <c r="BB51" s="633"/>
      <c r="BC51" s="632"/>
      <c r="BD51" s="632"/>
      <c r="BE51" s="632"/>
      <c r="BF51" s="633"/>
      <c r="BG51" s="632"/>
      <c r="BH51" s="632"/>
      <c r="BI51" s="632"/>
      <c r="BJ51" s="632"/>
      <c r="BK51" s="632"/>
      <c r="BL51" s="632"/>
      <c r="BM51" s="632"/>
      <c r="BN51" s="632"/>
      <c r="BO51" s="632"/>
      <c r="BP51" s="632"/>
      <c r="BQ51" s="632"/>
      <c r="BR51" s="632"/>
      <c r="BS51" s="633"/>
      <c r="BT51" s="624"/>
      <c r="BU51" s="624"/>
      <c r="BV51" s="624"/>
      <c r="BW51" s="624"/>
      <c r="BX51" s="601"/>
      <c r="BY51" s="434"/>
      <c r="BZ51" s="434"/>
      <c r="CA51" s="434"/>
      <c r="CB51" s="434"/>
      <c r="CC51" s="434"/>
      <c r="CD51" s="434"/>
      <c r="CE51" s="434"/>
      <c r="CF51" s="434"/>
      <c r="CG51" s="434"/>
      <c r="CH51" s="434"/>
      <c r="CI51" s="434"/>
      <c r="CJ51" s="434"/>
      <c r="CK51" s="434"/>
      <c r="CL51" s="434"/>
      <c r="CM51" s="434"/>
      <c r="CN51" s="434"/>
      <c r="CO51" s="434"/>
      <c r="CP51" s="434"/>
      <c r="CQ51" s="434"/>
    </row>
    <row r="52" spans="12:98" ht="21" hidden="1" customHeight="1" thickBot="1" x14ac:dyDescent="0.3">
      <c r="L52" s="255"/>
      <c r="M52" s="285"/>
      <c r="N52" s="285"/>
      <c r="O52" s="285"/>
      <c r="P52" s="91"/>
      <c r="Q52" s="91"/>
      <c r="R52" s="91"/>
      <c r="S52" s="91"/>
      <c r="T52" s="91"/>
      <c r="U52" s="91"/>
      <c r="V52" s="14"/>
      <c r="W52" s="14"/>
      <c r="X52" s="14"/>
      <c r="AX52" s="12"/>
      <c r="AY52" s="12"/>
      <c r="AZ52" s="632"/>
      <c r="BA52" s="632"/>
      <c r="BB52" s="633"/>
      <c r="BC52" s="632"/>
      <c r="BD52" s="632"/>
      <c r="BE52" s="632"/>
      <c r="BF52" s="633"/>
      <c r="BG52" s="632"/>
      <c r="BH52" s="632"/>
      <c r="BI52" s="632"/>
      <c r="BJ52" s="632"/>
      <c r="BK52" s="632"/>
      <c r="BL52" s="632"/>
      <c r="BM52" s="632"/>
      <c r="BN52" s="632"/>
      <c r="BO52" s="632"/>
      <c r="BP52" s="632"/>
      <c r="BQ52" s="632"/>
      <c r="BR52" s="632"/>
      <c r="BS52" s="633"/>
      <c r="BT52" s="624"/>
      <c r="BU52" s="624"/>
      <c r="BV52" s="624"/>
      <c r="BW52" s="624"/>
      <c r="BX52" s="601"/>
      <c r="BY52" s="434"/>
      <c r="BZ52" s="434"/>
      <c r="CA52" s="434"/>
      <c r="CB52" s="613" t="b">
        <f>IF(CC72=13,12)</f>
        <v>0</v>
      </c>
      <c r="CC52" s="606"/>
      <c r="CD52" s="615" t="b">
        <f>IF(CC72=13,14)</f>
        <v>0</v>
      </c>
      <c r="CE52" s="434"/>
      <c r="CF52" s="434"/>
      <c r="CG52" s="434"/>
      <c r="CH52" s="434"/>
      <c r="CI52" s="434"/>
      <c r="CJ52" s="434"/>
      <c r="CK52" s="434"/>
      <c r="CL52" s="434"/>
      <c r="CM52" s="434"/>
      <c r="CN52" s="434"/>
      <c r="CO52" s="434"/>
      <c r="CP52" s="434"/>
      <c r="CQ52" s="434"/>
    </row>
    <row r="53" spans="12:98" ht="21" hidden="1" customHeight="1" thickBot="1" x14ac:dyDescent="0.3">
      <c r="L53" s="255"/>
      <c r="M53" s="285"/>
      <c r="N53" s="285"/>
      <c r="O53" s="285"/>
      <c r="P53" s="91"/>
      <c r="Q53" s="91"/>
      <c r="R53" s="91"/>
      <c r="S53" s="91"/>
      <c r="T53" s="91"/>
      <c r="U53" s="91"/>
      <c r="V53" s="14"/>
      <c r="W53" s="14"/>
      <c r="X53" s="14"/>
      <c r="AX53" s="12"/>
      <c r="AY53" s="12"/>
      <c r="AZ53" s="632"/>
      <c r="BA53" s="632"/>
      <c r="BB53" s="633"/>
      <c r="BC53" s="632"/>
      <c r="BD53" s="632"/>
      <c r="BE53" s="632"/>
      <c r="BF53" s="633"/>
      <c r="BG53" s="632"/>
      <c r="BH53" s="632"/>
      <c r="BI53" s="632"/>
      <c r="BJ53" s="632"/>
      <c r="BK53" s="632"/>
      <c r="BL53" s="632"/>
      <c r="BM53" s="632"/>
      <c r="BN53" s="632"/>
      <c r="BO53" s="632"/>
      <c r="BP53" s="632"/>
      <c r="BQ53" s="632"/>
      <c r="BR53" s="632"/>
      <c r="BS53" s="633"/>
      <c r="BT53" s="624"/>
      <c r="BU53" s="624"/>
      <c r="BV53" s="624"/>
      <c r="BW53" s="624"/>
      <c r="BX53" s="601"/>
      <c r="BY53" s="613" t="b">
        <f>IF(CB72=12,10)</f>
        <v>0</v>
      </c>
      <c r="BZ53" s="606"/>
      <c r="CA53" s="606"/>
      <c r="CB53" s="617"/>
      <c r="CC53" s="617"/>
      <c r="CD53" s="618" t="b">
        <f>IF(CB72=12,14)</f>
        <v>0</v>
      </c>
      <c r="CE53" s="434"/>
      <c r="CF53" s="434"/>
      <c r="CG53" s="434"/>
      <c r="CH53" s="434"/>
      <c r="CI53" s="434"/>
      <c r="CJ53" s="434"/>
      <c r="CK53" s="434"/>
      <c r="CL53" s="434"/>
      <c r="CM53" s="434"/>
      <c r="CN53" s="434"/>
      <c r="CO53" s="434"/>
      <c r="CP53" s="434"/>
      <c r="CQ53" s="434"/>
    </row>
    <row r="54" spans="12:98" ht="21" hidden="1" customHeight="1" thickBot="1" x14ac:dyDescent="0.3">
      <c r="L54" s="255"/>
      <c r="M54" s="285"/>
      <c r="N54" s="285"/>
      <c r="O54" s="285"/>
      <c r="P54" s="91"/>
      <c r="Q54" s="91"/>
      <c r="R54" s="91"/>
      <c r="S54" s="91"/>
      <c r="T54" s="91"/>
      <c r="U54" s="91"/>
      <c r="V54" s="14"/>
      <c r="W54" s="14"/>
      <c r="X54" s="14"/>
      <c r="AX54" s="12"/>
      <c r="AY54" s="12"/>
      <c r="AZ54" s="632"/>
      <c r="BA54" s="632"/>
      <c r="BB54" s="633"/>
      <c r="BC54" s="632"/>
      <c r="BD54" s="632"/>
      <c r="BE54" s="632"/>
      <c r="BF54" s="633"/>
      <c r="BG54" s="632"/>
      <c r="BH54" s="632"/>
      <c r="BI54" s="632"/>
      <c r="BJ54" s="632"/>
      <c r="BK54" s="632"/>
      <c r="BL54" s="632"/>
      <c r="BM54" s="632"/>
      <c r="BN54" s="632"/>
      <c r="BO54" s="632"/>
      <c r="BP54" s="632"/>
      <c r="BQ54" s="632"/>
      <c r="BR54" s="632"/>
      <c r="BS54" s="633"/>
      <c r="BT54" s="624"/>
      <c r="BU54" s="624"/>
      <c r="BV54" s="624"/>
      <c r="BW54" s="624"/>
      <c r="BX54" s="613" t="b">
        <f>IF(CA72=11,9)</f>
        <v>0</v>
      </c>
      <c r="BY54" s="617"/>
      <c r="BZ54" s="617"/>
      <c r="CA54" s="617"/>
      <c r="CB54" s="617"/>
      <c r="CC54" s="618" t="b">
        <f>IF(CA72=11,14)</f>
        <v>0</v>
      </c>
      <c r="CD54" s="434"/>
      <c r="CE54" s="434"/>
      <c r="CF54" s="434"/>
      <c r="CG54" s="434"/>
      <c r="CH54" s="434"/>
      <c r="CI54" s="434"/>
      <c r="CJ54" s="434"/>
      <c r="CK54" s="434"/>
      <c r="CL54" s="434"/>
      <c r="CM54" s="434"/>
      <c r="CN54" s="434"/>
      <c r="CO54" s="434"/>
      <c r="CP54" s="434"/>
      <c r="CQ54" s="434"/>
    </row>
    <row r="55" spans="12:98" ht="21" hidden="1" customHeight="1" thickBot="1" x14ac:dyDescent="0.3">
      <c r="L55" s="255"/>
      <c r="M55" s="285"/>
      <c r="N55" s="285"/>
      <c r="O55" s="285"/>
      <c r="P55" s="91"/>
      <c r="Q55" s="91"/>
      <c r="R55" s="91"/>
      <c r="S55" s="91"/>
      <c r="T55" s="91"/>
      <c r="U55" s="91"/>
      <c r="V55" s="14"/>
      <c r="W55" s="14"/>
      <c r="X55" s="14"/>
      <c r="AX55" s="12"/>
      <c r="AY55" s="12"/>
      <c r="AZ55" s="632"/>
      <c r="BA55" s="632"/>
      <c r="BB55" s="633"/>
      <c r="BC55" s="632"/>
      <c r="BD55" s="632"/>
      <c r="BE55" s="632"/>
      <c r="BF55" s="633"/>
      <c r="BG55" s="632"/>
      <c r="BH55" s="632"/>
      <c r="BI55" s="632"/>
      <c r="BJ55" s="632"/>
      <c r="BK55" s="632"/>
      <c r="BL55" s="632"/>
      <c r="BM55" s="632"/>
      <c r="BN55" s="632"/>
      <c r="BO55" s="632"/>
      <c r="BP55" s="632"/>
      <c r="BQ55" s="608"/>
      <c r="BR55" s="632"/>
      <c r="BS55" s="608"/>
      <c r="BT55" s="624"/>
      <c r="BU55" s="624"/>
      <c r="BV55" s="624"/>
      <c r="BW55" s="624"/>
      <c r="BX55" s="434"/>
      <c r="BY55" s="634" t="b">
        <f>IF(BZ72=10,9)</f>
        <v>0</v>
      </c>
      <c r="BZ55" s="635"/>
      <c r="CA55" s="636" t="b">
        <f>IF(BZ72=10,11)</f>
        <v>0</v>
      </c>
      <c r="CB55" s="434"/>
      <c r="CC55" s="434"/>
      <c r="CD55" s="434"/>
      <c r="CE55" s="434"/>
      <c r="CF55" s="434"/>
      <c r="CG55" s="434"/>
      <c r="CH55" s="434"/>
      <c r="CI55" s="434"/>
      <c r="CJ55" s="434"/>
      <c r="CK55" s="434"/>
      <c r="CL55" s="434"/>
      <c r="CM55" s="434"/>
      <c r="CN55" s="434"/>
      <c r="CO55" s="434"/>
      <c r="CP55" s="434"/>
      <c r="CQ55" s="434"/>
    </row>
    <row r="56" spans="12:98" ht="21" hidden="1" customHeight="1" thickBot="1" x14ac:dyDescent="0.3">
      <c r="L56" s="255"/>
      <c r="M56" s="285"/>
      <c r="N56" s="285"/>
      <c r="O56" s="285"/>
      <c r="P56" s="91"/>
      <c r="Q56" s="91"/>
      <c r="R56" s="91"/>
      <c r="S56" s="91"/>
      <c r="T56" s="91"/>
      <c r="U56" s="91"/>
      <c r="V56" s="14"/>
      <c r="W56" s="14"/>
      <c r="X56" s="14"/>
      <c r="AX56" s="12"/>
      <c r="AY56" s="12"/>
      <c r="AZ56" s="632"/>
      <c r="BA56" s="632"/>
      <c r="BB56" s="633"/>
      <c r="BC56" s="632"/>
      <c r="BD56" s="632"/>
      <c r="BE56" s="632"/>
      <c r="BF56" s="633"/>
      <c r="BG56" s="632"/>
      <c r="BH56" s="632"/>
      <c r="BI56" s="632"/>
      <c r="BJ56" s="632"/>
      <c r="BK56" s="632"/>
      <c r="BL56" s="632"/>
      <c r="BM56" s="632"/>
      <c r="BN56" s="632"/>
      <c r="BO56" s="608"/>
      <c r="BP56" s="632"/>
      <c r="BQ56" s="632"/>
      <c r="BR56" s="632"/>
      <c r="BS56" s="608"/>
      <c r="BT56" s="613" t="b">
        <f>IF(BY72=9,7)</f>
        <v>0</v>
      </c>
      <c r="BU56" s="637"/>
      <c r="BV56" s="637"/>
      <c r="BW56" s="637"/>
      <c r="BX56" s="606"/>
      <c r="BY56" s="606"/>
      <c r="BZ56" s="606"/>
      <c r="CA56" s="606"/>
      <c r="CB56" s="606"/>
      <c r="CC56" s="606"/>
      <c r="CD56" s="615" t="b">
        <f>IF(BY72=9,14)</f>
        <v>0</v>
      </c>
      <c r="CE56" s="434"/>
      <c r="CF56" s="638"/>
      <c r="CG56" s="638"/>
      <c r="CH56" s="638"/>
      <c r="CI56" s="434"/>
      <c r="CJ56" s="434"/>
      <c r="CK56" s="434"/>
      <c r="CL56" s="434"/>
      <c r="CM56" s="434"/>
      <c r="CN56" s="434"/>
      <c r="CO56" s="434"/>
      <c r="CP56" s="434"/>
      <c r="CQ56" s="434"/>
    </row>
    <row r="57" spans="12:98" ht="21" hidden="1" customHeight="1" thickBot="1" x14ac:dyDescent="0.3">
      <c r="L57" s="255"/>
      <c r="M57" s="285"/>
      <c r="N57" s="285"/>
      <c r="O57" s="285"/>
      <c r="P57" s="91"/>
      <c r="Q57" s="91"/>
      <c r="R57" s="91"/>
      <c r="S57" s="91"/>
      <c r="T57" s="91"/>
      <c r="U57" s="91"/>
      <c r="V57" s="14"/>
      <c r="W57" s="14"/>
      <c r="X57" s="14"/>
      <c r="AX57" s="12"/>
      <c r="AY57" s="12"/>
      <c r="AZ57" s="632"/>
      <c r="BA57" s="632"/>
      <c r="BB57" s="633"/>
      <c r="BC57" s="632"/>
      <c r="BD57" s="632"/>
      <c r="BE57" s="632"/>
      <c r="BF57" s="633"/>
      <c r="BG57" s="632"/>
      <c r="BH57" s="632"/>
      <c r="BI57" s="632"/>
      <c r="BJ57" s="632"/>
      <c r="BK57" s="632"/>
      <c r="BL57" s="632"/>
      <c r="BM57" s="632"/>
      <c r="BN57" s="632"/>
      <c r="BO57" s="608"/>
      <c r="BP57" s="632"/>
      <c r="BQ57" s="434"/>
      <c r="BR57" s="613" t="b">
        <f>IF(BX72=83,5)</f>
        <v>0</v>
      </c>
      <c r="BS57" s="614"/>
      <c r="BT57" s="637"/>
      <c r="BU57" s="637"/>
      <c r="BV57" s="637"/>
      <c r="BW57" s="637"/>
      <c r="BX57" s="606"/>
      <c r="BY57" s="606"/>
      <c r="BZ57" s="606"/>
      <c r="CA57" s="606"/>
      <c r="CB57" s="606"/>
      <c r="CC57" s="606"/>
      <c r="CD57" s="615" t="b">
        <f>IF(BX72=83,14)</f>
        <v>0</v>
      </c>
      <c r="CE57" s="434"/>
      <c r="CF57" s="434"/>
      <c r="CG57" s="434"/>
      <c r="CH57" s="434"/>
      <c r="CI57" s="434"/>
      <c r="CJ57" s="434"/>
      <c r="CK57" s="434"/>
      <c r="CL57" s="434"/>
      <c r="CM57" s="434"/>
      <c r="CN57" s="434"/>
      <c r="CO57" s="434"/>
      <c r="CP57" s="434"/>
      <c r="CQ57" s="434"/>
    </row>
    <row r="58" spans="12:98" ht="21" hidden="1" customHeight="1" thickBot="1" x14ac:dyDescent="0.3">
      <c r="L58" s="255"/>
      <c r="M58" s="285"/>
      <c r="N58" s="285"/>
      <c r="O58" s="285"/>
      <c r="P58" s="91"/>
      <c r="Q58" s="91"/>
      <c r="R58" s="91"/>
      <c r="S58" s="91"/>
      <c r="T58" s="91"/>
      <c r="U58" s="91"/>
      <c r="V58" s="14"/>
      <c r="W58" s="14"/>
      <c r="X58" s="14"/>
      <c r="AX58" s="12"/>
      <c r="AY58" s="12"/>
      <c r="AZ58" s="632"/>
      <c r="BA58" s="632"/>
      <c r="BB58" s="633"/>
      <c r="BC58" s="632"/>
      <c r="BD58" s="632"/>
      <c r="BE58" s="632"/>
      <c r="BF58" s="633"/>
      <c r="BG58" s="632"/>
      <c r="BH58" s="632"/>
      <c r="BI58" s="632"/>
      <c r="BJ58" s="632"/>
      <c r="BK58" s="608"/>
      <c r="BL58" s="632"/>
      <c r="BM58" s="632"/>
      <c r="BN58" s="434"/>
      <c r="BO58" s="639"/>
      <c r="BP58" s="613" t="b">
        <f>IF(BW72=82,3)</f>
        <v>0</v>
      </c>
      <c r="BQ58" s="640"/>
      <c r="BR58" s="640"/>
      <c r="BS58" s="614"/>
      <c r="BT58" s="637"/>
      <c r="BU58" s="637"/>
      <c r="BV58" s="637"/>
      <c r="BW58" s="637"/>
      <c r="BX58" s="606"/>
      <c r="BY58" s="606"/>
      <c r="BZ58" s="606"/>
      <c r="CA58" s="606"/>
      <c r="CB58" s="606"/>
      <c r="CC58" s="606"/>
      <c r="CD58" s="615" t="b">
        <f>IF(BW72=82,14)</f>
        <v>0</v>
      </c>
      <c r="CE58" s="434"/>
      <c r="CF58" s="434"/>
      <c r="CG58" s="434"/>
      <c r="CH58" s="434"/>
      <c r="CI58" s="434"/>
      <c r="CJ58" s="434"/>
      <c r="CK58" s="434"/>
      <c r="CL58" s="434"/>
      <c r="CM58" s="434"/>
      <c r="CN58" s="434"/>
      <c r="CO58" s="434"/>
      <c r="CP58" s="434"/>
      <c r="CQ58" s="434"/>
    </row>
    <row r="59" spans="12:98" ht="21" hidden="1" customHeight="1" thickBot="1" x14ac:dyDescent="0.3">
      <c r="L59" s="255"/>
      <c r="M59" s="285"/>
      <c r="N59" s="285"/>
      <c r="O59" s="285"/>
      <c r="P59" s="91"/>
      <c r="Q59" s="91"/>
      <c r="R59" s="91"/>
      <c r="S59" s="91"/>
      <c r="T59" s="91"/>
      <c r="U59" s="91"/>
      <c r="V59" s="14"/>
      <c r="W59" s="14"/>
      <c r="X59" s="14"/>
      <c r="AX59" s="12"/>
      <c r="AY59" s="12"/>
      <c r="AZ59" s="632"/>
      <c r="BA59" s="632"/>
      <c r="BB59" s="633"/>
      <c r="BC59" s="632"/>
      <c r="BD59" s="632"/>
      <c r="BE59" s="632"/>
      <c r="BF59" s="633"/>
      <c r="BG59" s="632"/>
      <c r="BH59" s="632"/>
      <c r="BI59" s="608"/>
      <c r="BJ59" s="632"/>
      <c r="BK59" s="632"/>
      <c r="BL59" s="632"/>
      <c r="BM59" s="632"/>
      <c r="BN59" s="613" t="b">
        <f>IF(BV72=81,1)</f>
        <v>0</v>
      </c>
      <c r="BO59" s="640"/>
      <c r="BP59" s="640"/>
      <c r="BQ59" s="640"/>
      <c r="BR59" s="640"/>
      <c r="BS59" s="614"/>
      <c r="BT59" s="637"/>
      <c r="BU59" s="637"/>
      <c r="BV59" s="637"/>
      <c r="BW59" s="637"/>
      <c r="BX59" s="606"/>
      <c r="BY59" s="606"/>
      <c r="BZ59" s="606"/>
      <c r="CA59" s="606"/>
      <c r="CB59" s="606"/>
      <c r="CC59" s="606"/>
      <c r="CD59" s="615" t="b">
        <f>IF(BV72=81,14)</f>
        <v>0</v>
      </c>
      <c r="CE59" s="434"/>
      <c r="CF59" s="434"/>
      <c r="CG59" s="434"/>
      <c r="CH59" s="434"/>
      <c r="CI59" s="434"/>
      <c r="CJ59" s="434"/>
      <c r="CK59" s="434"/>
      <c r="CL59" s="434"/>
      <c r="CM59" s="434"/>
      <c r="CN59" s="434"/>
      <c r="CO59" s="434"/>
      <c r="CP59" s="434"/>
      <c r="CQ59" s="434"/>
    </row>
    <row r="60" spans="12:98" ht="21" hidden="1" customHeight="1" thickBot="1" x14ac:dyDescent="0.3">
      <c r="L60" s="255"/>
      <c r="M60" s="285"/>
      <c r="N60" s="285"/>
      <c r="O60" s="285"/>
      <c r="P60" s="91"/>
      <c r="Q60" s="91"/>
      <c r="R60" s="91"/>
      <c r="S60" s="91"/>
      <c r="T60" s="91"/>
      <c r="U60" s="91"/>
      <c r="V60" s="14"/>
      <c r="W60" s="14"/>
      <c r="X60" s="14"/>
      <c r="AX60" s="12"/>
      <c r="AY60" s="12"/>
      <c r="AZ60" s="632"/>
      <c r="BA60" s="632"/>
      <c r="BB60" s="633"/>
      <c r="BC60" s="632"/>
      <c r="BD60" s="632"/>
      <c r="BE60" s="632"/>
      <c r="BF60" s="633"/>
      <c r="BG60" s="608"/>
      <c r="BH60" s="632"/>
      <c r="BI60" s="632"/>
      <c r="BJ60" s="632"/>
      <c r="BK60" s="632"/>
      <c r="BL60" s="632"/>
      <c r="BM60" s="632"/>
      <c r="BN60" s="619">
        <f>IF(BU72=8,1)</f>
        <v>1</v>
      </c>
      <c r="BO60" s="641"/>
      <c r="BP60" s="641"/>
      <c r="BQ60" s="641"/>
      <c r="BR60" s="641"/>
      <c r="BS60" s="616"/>
      <c r="BT60" s="642"/>
      <c r="BU60" s="642"/>
      <c r="BV60" s="642"/>
      <c r="BW60" s="642"/>
      <c r="BX60" s="617"/>
      <c r="BY60" s="617"/>
      <c r="BZ60" s="617"/>
      <c r="CA60" s="617"/>
      <c r="CB60" s="618">
        <f>IF(BU72=8,12)</f>
        <v>12</v>
      </c>
      <c r="CC60" s="434"/>
      <c r="CD60" s="434"/>
      <c r="CE60" s="434"/>
      <c r="CF60" s="434"/>
      <c r="CG60" s="434"/>
      <c r="CH60" s="434"/>
      <c r="CI60" s="434"/>
      <c r="CJ60" s="434"/>
      <c r="CK60" s="434"/>
      <c r="CL60" s="434"/>
      <c r="CM60" s="434"/>
      <c r="CN60" s="434"/>
      <c r="CO60" s="434"/>
      <c r="CP60" s="434"/>
      <c r="CQ60" s="434"/>
    </row>
    <row r="61" spans="12:98" ht="21" hidden="1" customHeight="1" thickBot="1" x14ac:dyDescent="0.3">
      <c r="L61" s="255"/>
      <c r="M61" s="285"/>
      <c r="N61" s="285"/>
      <c r="O61" s="285"/>
      <c r="P61" s="91"/>
      <c r="Q61" s="91"/>
      <c r="R61" s="91"/>
      <c r="S61" s="91"/>
      <c r="T61" s="91"/>
      <c r="U61" s="91"/>
      <c r="V61" s="14"/>
      <c r="W61" s="14"/>
      <c r="X61" s="14"/>
      <c r="AX61" s="12"/>
      <c r="AY61" s="12"/>
      <c r="AZ61" s="632"/>
      <c r="BA61" s="632"/>
      <c r="BB61" s="633"/>
      <c r="BC61" s="632"/>
      <c r="BD61" s="632"/>
      <c r="BE61" s="632"/>
      <c r="BF61" s="608"/>
      <c r="BG61" s="632"/>
      <c r="BH61" s="632"/>
      <c r="BI61" s="632"/>
      <c r="BJ61" s="632"/>
      <c r="BK61" s="632"/>
      <c r="BL61" s="632"/>
      <c r="BM61" s="632"/>
      <c r="BN61" s="619" t="b">
        <f>IF(BT72=7,1)</f>
        <v>0</v>
      </c>
      <c r="BO61" s="641"/>
      <c r="BP61" s="641"/>
      <c r="BQ61" s="617"/>
      <c r="BR61" s="617"/>
      <c r="BS61" s="643"/>
      <c r="BT61" s="617"/>
      <c r="BU61" s="617"/>
      <c r="BV61" s="642"/>
      <c r="BW61" s="642"/>
      <c r="BX61" s="617"/>
      <c r="BY61" s="617"/>
      <c r="BZ61" s="618" t="b">
        <f>IF(BT72=7,10)</f>
        <v>0</v>
      </c>
      <c r="CA61" s="434"/>
      <c r="CB61" s="434"/>
      <c r="CC61" s="434"/>
      <c r="CD61" s="434"/>
      <c r="CE61" s="434"/>
      <c r="CF61" s="434"/>
      <c r="CG61" s="434"/>
      <c r="CH61" s="434"/>
      <c r="CI61" s="434"/>
      <c r="CJ61" s="434"/>
      <c r="CK61" s="434"/>
      <c r="CL61" s="434"/>
      <c r="CM61" s="434"/>
      <c r="CN61" s="434"/>
      <c r="CO61" s="434"/>
      <c r="CP61" s="434"/>
      <c r="CQ61" s="434"/>
    </row>
    <row r="62" spans="12:98" ht="21" hidden="1" customHeight="1" thickBot="1" x14ac:dyDescent="0.3">
      <c r="L62" s="255"/>
      <c r="M62" s="285"/>
      <c r="N62" s="285"/>
      <c r="O62" s="285"/>
      <c r="P62" s="91"/>
      <c r="Q62" s="91"/>
      <c r="R62" s="91"/>
      <c r="S62" s="91"/>
      <c r="T62" s="91"/>
      <c r="U62" s="91"/>
      <c r="V62" s="14"/>
      <c r="W62" s="14"/>
      <c r="X62" s="14"/>
      <c r="AX62" s="12"/>
      <c r="AY62" s="12"/>
      <c r="AZ62" s="632"/>
      <c r="BA62" s="632"/>
      <c r="BB62" s="633"/>
      <c r="BC62" s="632"/>
      <c r="BD62" s="632"/>
      <c r="BE62" s="632"/>
      <c r="BF62" s="608"/>
      <c r="BG62" s="632"/>
      <c r="BH62" s="632"/>
      <c r="BI62" s="632"/>
      <c r="BJ62" s="632"/>
      <c r="BK62" s="632"/>
      <c r="BL62" s="632"/>
      <c r="BM62" s="632"/>
      <c r="BN62" s="632"/>
      <c r="BO62" s="434"/>
      <c r="BP62" s="632"/>
      <c r="BQ62" s="619" t="b">
        <f>IF(BS72=6,4)</f>
        <v>0</v>
      </c>
      <c r="BR62" s="617"/>
      <c r="BS62" s="643"/>
      <c r="BT62" s="617"/>
      <c r="BU62" s="618" t="b">
        <f>IF(BS72=6,8)</f>
        <v>0</v>
      </c>
      <c r="BV62" s="624"/>
      <c r="BW62" s="624"/>
      <c r="BX62" s="601"/>
      <c r="BY62" s="434"/>
      <c r="BZ62" s="434"/>
      <c r="CA62" s="434"/>
      <c r="CB62" s="434"/>
      <c r="CC62" s="434"/>
      <c r="CD62" s="434"/>
      <c r="CE62" s="434"/>
      <c r="CF62" s="434"/>
      <c r="CG62" s="434"/>
      <c r="CH62" s="434"/>
      <c r="CI62" s="434"/>
      <c r="CJ62" s="434"/>
      <c r="CK62" s="434"/>
      <c r="CL62" s="434"/>
      <c r="CM62" s="434"/>
      <c r="CN62" s="434"/>
      <c r="CO62" s="434"/>
      <c r="CP62" s="434"/>
      <c r="CQ62" s="434"/>
    </row>
    <row r="63" spans="12:98" ht="18.75" hidden="1" thickBot="1" x14ac:dyDescent="0.3">
      <c r="L63" s="255"/>
      <c r="M63" s="285"/>
      <c r="N63" s="285"/>
      <c r="O63" s="285"/>
      <c r="P63" s="91"/>
      <c r="Q63" s="91"/>
      <c r="R63" s="91"/>
      <c r="S63" s="91"/>
      <c r="T63" s="91"/>
      <c r="U63" s="91"/>
      <c r="V63" s="14"/>
      <c r="W63" s="14"/>
      <c r="X63" s="14"/>
      <c r="AX63" s="12"/>
      <c r="AY63" s="12"/>
      <c r="AZ63" s="632"/>
      <c r="BA63" s="632"/>
      <c r="BB63" s="633"/>
      <c r="BC63" s="632"/>
      <c r="BD63" s="632"/>
      <c r="BE63" s="632"/>
      <c r="BF63" s="633"/>
      <c r="BG63" s="632"/>
      <c r="BH63" s="632"/>
      <c r="BI63" s="608"/>
      <c r="BJ63" s="632"/>
      <c r="BK63" s="608"/>
      <c r="BL63" s="632"/>
      <c r="BM63" s="632"/>
      <c r="BN63" s="434"/>
      <c r="BO63" s="613" t="b">
        <f>IF(BR72=5,2)</f>
        <v>0</v>
      </c>
      <c r="BP63" s="606"/>
      <c r="BQ63" s="641"/>
      <c r="BR63" s="617"/>
      <c r="BS63" s="643"/>
      <c r="BT63" s="644"/>
      <c r="BU63" s="618" t="b">
        <f>IF(BR72=5,8)</f>
        <v>0</v>
      </c>
      <c r="BV63" s="624"/>
      <c r="BW63" s="624"/>
      <c r="BX63" s="601"/>
      <c r="BY63" s="434"/>
      <c r="BZ63" s="434"/>
      <c r="CA63" s="434"/>
      <c r="CB63" s="434"/>
      <c r="CC63" s="434"/>
      <c r="CD63" s="434"/>
      <c r="CE63" s="434"/>
      <c r="CF63" s="434"/>
      <c r="CG63" s="434"/>
      <c r="CH63" s="434"/>
      <c r="CI63" s="434"/>
      <c r="CJ63" s="434"/>
      <c r="CK63" s="434"/>
      <c r="CL63" s="434"/>
      <c r="CM63" s="434"/>
      <c r="CN63" s="434"/>
      <c r="CO63" s="434"/>
      <c r="CP63" s="434"/>
      <c r="CQ63" s="434"/>
    </row>
    <row r="64" spans="12:98" ht="18.75" hidden="1" thickBot="1" x14ac:dyDescent="0.3">
      <c r="L64" s="255"/>
      <c r="M64" s="285"/>
      <c r="N64" s="285"/>
      <c r="O64" s="285"/>
      <c r="P64" s="91"/>
      <c r="Q64" s="91"/>
      <c r="R64" s="91"/>
      <c r="S64" s="91"/>
      <c r="T64" s="91"/>
      <c r="U64" s="91"/>
      <c r="V64" s="14"/>
      <c r="W64" s="14"/>
      <c r="X64" s="14"/>
      <c r="Y64" s="14"/>
      <c r="Z64" s="14"/>
      <c r="AA64" s="14"/>
      <c r="AB64" s="14"/>
      <c r="AX64" s="12"/>
      <c r="AY64" s="12"/>
      <c r="AZ64" s="632"/>
      <c r="BA64" s="632"/>
      <c r="BB64" s="633"/>
      <c r="BC64" s="632"/>
      <c r="BD64" s="632"/>
      <c r="BE64" s="632"/>
      <c r="BF64" s="633"/>
      <c r="BG64" s="608"/>
      <c r="BH64" s="632"/>
      <c r="BI64" s="632"/>
      <c r="BJ64" s="632"/>
      <c r="BK64" s="608"/>
      <c r="BL64" s="632"/>
      <c r="BM64" s="632"/>
      <c r="BN64" s="613" t="b">
        <f>IF(BQ72=4,1)</f>
        <v>0</v>
      </c>
      <c r="BO64" s="640"/>
      <c r="BP64" s="606"/>
      <c r="BQ64" s="640"/>
      <c r="BR64" s="606"/>
      <c r="BS64" s="645"/>
      <c r="BT64" s="615" t="b">
        <f>IF(BQ72=4,7)</f>
        <v>0</v>
      </c>
      <c r="BU64" s="624"/>
      <c r="BV64" s="624"/>
      <c r="BW64" s="624"/>
      <c r="BX64" s="601"/>
      <c r="BY64" s="434"/>
      <c r="BZ64" s="434"/>
      <c r="CA64" s="434"/>
      <c r="CB64" s="434"/>
      <c r="CC64" s="434"/>
      <c r="CD64" s="434"/>
      <c r="CE64" s="434"/>
      <c r="CF64" s="434"/>
      <c r="CG64" s="434"/>
      <c r="CH64" s="434"/>
      <c r="CI64" s="434"/>
      <c r="CJ64" s="434"/>
      <c r="CK64" s="434"/>
      <c r="CL64" s="434"/>
      <c r="CM64" s="434"/>
      <c r="CN64" s="434"/>
      <c r="CO64" s="434"/>
      <c r="CP64" s="434"/>
      <c r="CQ64" s="434"/>
    </row>
    <row r="65" spans="2:99" ht="18.75" hidden="1" thickBot="1" x14ac:dyDescent="0.3">
      <c r="L65" s="255"/>
      <c r="M65" s="285"/>
      <c r="N65" s="285"/>
      <c r="O65" s="285"/>
      <c r="P65" s="91"/>
      <c r="Q65" s="91"/>
      <c r="R65" s="91"/>
      <c r="S65" s="91"/>
      <c r="T65" s="91"/>
      <c r="U65" s="91"/>
      <c r="V65" s="14"/>
      <c r="W65" s="14"/>
      <c r="X65" s="14"/>
      <c r="Y65" s="14"/>
      <c r="Z65" s="14"/>
      <c r="AA65" s="14"/>
      <c r="AB65" s="14"/>
      <c r="AX65" s="12"/>
      <c r="AY65" s="12"/>
      <c r="AZ65" s="632"/>
      <c r="BA65" s="632"/>
      <c r="BB65" s="633"/>
      <c r="BC65" s="632"/>
      <c r="BD65" s="632"/>
      <c r="BE65" s="632"/>
      <c r="BF65" s="608"/>
      <c r="BG65" s="632"/>
      <c r="BH65" s="632"/>
      <c r="BI65" s="632"/>
      <c r="BJ65" s="608"/>
      <c r="BK65" s="632"/>
      <c r="BL65" s="632"/>
      <c r="BM65" s="632"/>
      <c r="BN65" s="619" t="b">
        <f>IF(BP72=3,1)</f>
        <v>0</v>
      </c>
      <c r="BO65" s="641"/>
      <c r="BP65" s="617"/>
      <c r="BQ65" s="641"/>
      <c r="BR65" s="618" t="b">
        <f>IF(BP72=3,5)</f>
        <v>0</v>
      </c>
      <c r="BS65" s="633"/>
      <c r="BT65" s="624"/>
      <c r="BU65" s="624"/>
      <c r="BV65" s="624"/>
      <c r="BW65" s="624"/>
      <c r="BX65" s="601"/>
      <c r="BY65" s="434"/>
      <c r="BZ65" s="434"/>
      <c r="CA65" s="434"/>
      <c r="CB65" s="434"/>
      <c r="CC65" s="434"/>
      <c r="CD65" s="434"/>
      <c r="CE65" s="434"/>
      <c r="CF65" s="434"/>
      <c r="CG65" s="434"/>
      <c r="CH65" s="434"/>
      <c r="CI65" s="434"/>
      <c r="CJ65" s="434"/>
      <c r="CK65" s="434"/>
      <c r="CL65" s="434"/>
      <c r="CM65" s="434"/>
      <c r="CN65" s="434"/>
      <c r="CO65" s="434"/>
      <c r="CP65" s="434"/>
      <c r="CQ65" s="434"/>
    </row>
    <row r="66" spans="2:99" ht="18.75" hidden="1" thickBot="1" x14ac:dyDescent="0.3">
      <c r="L66" s="14"/>
      <c r="M66" s="286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286"/>
      <c r="AB66" s="14"/>
      <c r="AX66" s="12"/>
      <c r="AY66" s="12"/>
      <c r="AZ66" s="632"/>
      <c r="BA66" s="434"/>
      <c r="BB66" s="434"/>
      <c r="BC66" s="434"/>
      <c r="BD66" s="632"/>
      <c r="BE66" s="632"/>
      <c r="BF66" s="601"/>
      <c r="BG66" s="601"/>
      <c r="BH66" s="601"/>
      <c r="BI66" s="632"/>
      <c r="BJ66" s="632"/>
      <c r="BK66" s="632"/>
      <c r="BL66" s="632"/>
      <c r="BM66" s="632"/>
      <c r="BN66" s="619" t="b">
        <f>IF(BO72=2,1)</f>
        <v>0</v>
      </c>
      <c r="BO66" s="641"/>
      <c r="BP66" s="618" t="b">
        <f>IF(BO72=2,3)</f>
        <v>0</v>
      </c>
      <c r="BQ66" s="632"/>
      <c r="BR66" s="632"/>
      <c r="BS66" s="633"/>
      <c r="BT66" s="624"/>
      <c r="BU66" s="624"/>
      <c r="BV66" s="624"/>
      <c r="BW66" s="624"/>
      <c r="BX66" s="601"/>
      <c r="BY66" s="434"/>
      <c r="BZ66" s="434"/>
      <c r="CA66" s="434"/>
      <c r="CB66" s="434"/>
      <c r="CC66" s="434"/>
      <c r="CD66" s="434"/>
      <c r="CE66" s="434"/>
      <c r="CF66" s="434"/>
      <c r="CG66" s="434"/>
      <c r="CH66" s="434"/>
      <c r="CI66" s="434"/>
      <c r="CJ66" s="434"/>
      <c r="CK66" s="434"/>
      <c r="CL66" s="434"/>
      <c r="CM66" s="434"/>
      <c r="CN66" s="434"/>
      <c r="CO66" s="434"/>
      <c r="CP66" s="434"/>
      <c r="CQ66" s="434"/>
    </row>
    <row r="67" spans="2:99" ht="18" hidden="1" x14ac:dyDescent="0.25">
      <c r="L67" s="256"/>
      <c r="M67" s="779"/>
      <c r="N67" s="779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777"/>
      <c r="AA67" s="777"/>
      <c r="AB67" s="14"/>
      <c r="AX67" s="12"/>
      <c r="AY67" s="12"/>
      <c r="AZ67" s="632"/>
      <c r="BA67" s="632"/>
      <c r="BB67" s="633"/>
      <c r="BC67" s="632"/>
      <c r="BD67" s="632"/>
      <c r="BE67" s="632"/>
      <c r="BF67" s="608"/>
      <c r="BG67" s="632"/>
      <c r="BH67" s="632"/>
      <c r="BI67" s="632"/>
      <c r="BJ67" s="632"/>
      <c r="BK67" s="632"/>
      <c r="BL67" s="632"/>
      <c r="BM67" s="632"/>
      <c r="BN67" s="632"/>
      <c r="BO67" s="632"/>
      <c r="BP67" s="632"/>
      <c r="BQ67" s="632"/>
      <c r="BR67" s="632"/>
      <c r="BS67" s="633"/>
      <c r="BT67" s="624"/>
      <c r="BU67" s="624"/>
      <c r="BV67" s="624"/>
      <c r="BW67" s="624"/>
      <c r="BX67" s="601"/>
      <c r="BY67" s="434"/>
      <c r="BZ67" s="434"/>
      <c r="CA67" s="434"/>
      <c r="CB67" s="434"/>
      <c r="CC67" s="434"/>
      <c r="CD67" s="434"/>
      <c r="CE67" s="434"/>
      <c r="CF67" s="434"/>
      <c r="CG67" s="434"/>
      <c r="CH67" s="434"/>
      <c r="CI67" s="434"/>
      <c r="CJ67" s="434"/>
      <c r="CK67" s="434"/>
      <c r="CL67" s="434"/>
      <c r="CM67" s="434"/>
      <c r="CN67" s="434"/>
      <c r="CO67" s="434"/>
      <c r="CP67" s="434"/>
      <c r="CQ67" s="434"/>
    </row>
    <row r="68" spans="2:99" ht="26.25" thickBot="1" x14ac:dyDescent="0.4">
      <c r="H68" s="287"/>
      <c r="L68" s="91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14"/>
      <c r="AX68" s="12"/>
      <c r="AY68" s="12"/>
      <c r="AZ68" s="632"/>
      <c r="BA68" s="632"/>
      <c r="BB68" s="633"/>
      <c r="BC68" s="632"/>
      <c r="BD68" s="632"/>
      <c r="BE68" s="632"/>
      <c r="BF68" s="608"/>
      <c r="BG68" s="632"/>
      <c r="BH68" s="632"/>
      <c r="BI68" s="632"/>
      <c r="BJ68" s="632"/>
      <c r="BK68" s="632"/>
      <c r="BL68" s="632"/>
      <c r="BM68" s="632"/>
      <c r="BN68" s="632"/>
      <c r="BO68" s="632"/>
      <c r="BP68" s="632"/>
      <c r="BQ68" s="632"/>
      <c r="BR68" s="632"/>
      <c r="BS68" s="633"/>
      <c r="BT68" s="624"/>
      <c r="BU68" s="624"/>
      <c r="BV68" s="624"/>
      <c r="BW68" s="624"/>
      <c r="BX68" s="601"/>
      <c r="BY68" s="434"/>
      <c r="BZ68" s="434"/>
      <c r="CA68" s="434"/>
      <c r="CB68" s="434"/>
      <c r="CC68" s="434"/>
      <c r="CD68" s="434"/>
      <c r="CE68" s="434"/>
      <c r="CF68" s="434"/>
      <c r="CG68" s="434"/>
      <c r="CH68" s="434"/>
      <c r="CI68" s="434"/>
      <c r="CJ68" s="434"/>
      <c r="CK68" s="434"/>
      <c r="CL68" s="434"/>
      <c r="CM68" s="434"/>
      <c r="CN68" s="434"/>
      <c r="CO68" s="434"/>
      <c r="CP68" s="434"/>
      <c r="CQ68" s="434"/>
    </row>
    <row r="69" spans="2:99" ht="39" thickTop="1" thickBot="1" x14ac:dyDescent="0.4">
      <c r="B69" s="61" t="s">
        <v>87</v>
      </c>
      <c r="C69" s="62"/>
      <c r="D69" s="62"/>
      <c r="E69" s="61" t="s">
        <v>86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X69" s="12"/>
      <c r="AY69" s="12"/>
      <c r="AZ69" s="646" t="s">
        <v>100</v>
      </c>
      <c r="BA69" s="647"/>
      <c r="BB69" s="648"/>
      <c r="BC69" s="648"/>
      <c r="BD69" s="648"/>
      <c r="BE69" s="648"/>
      <c r="BF69" s="648"/>
      <c r="BG69" s="648"/>
      <c r="BH69" s="648"/>
      <c r="BI69" s="648"/>
      <c r="BJ69" s="648"/>
      <c r="BK69" s="648"/>
      <c r="BL69" s="648"/>
      <c r="BM69" s="648"/>
      <c r="BN69" s="674">
        <f>SUM(BN52:BN67)</f>
        <v>1</v>
      </c>
      <c r="BO69" s="675">
        <f t="shared" ref="BO69:CD69" si="3">SUM(BO52:BO67)</f>
        <v>0</v>
      </c>
      <c r="BP69" s="675">
        <f t="shared" si="3"/>
        <v>0</v>
      </c>
      <c r="BQ69" s="675">
        <f t="shared" si="3"/>
        <v>0</v>
      </c>
      <c r="BR69" s="675">
        <f t="shared" si="3"/>
        <v>0</v>
      </c>
      <c r="BS69" s="675">
        <f t="shared" si="3"/>
        <v>0</v>
      </c>
      <c r="BT69" s="675">
        <f t="shared" si="3"/>
        <v>0</v>
      </c>
      <c r="BU69" s="675">
        <f t="shared" si="3"/>
        <v>0</v>
      </c>
      <c r="BV69" s="675">
        <f t="shared" si="3"/>
        <v>0</v>
      </c>
      <c r="BW69" s="675">
        <f t="shared" si="3"/>
        <v>0</v>
      </c>
      <c r="BX69" s="675">
        <f t="shared" si="3"/>
        <v>0</v>
      </c>
      <c r="BY69" s="675">
        <f t="shared" si="3"/>
        <v>0</v>
      </c>
      <c r="BZ69" s="675">
        <f t="shared" si="3"/>
        <v>0</v>
      </c>
      <c r="CA69" s="675">
        <f t="shared" si="3"/>
        <v>0</v>
      </c>
      <c r="CB69" s="675">
        <f t="shared" si="3"/>
        <v>12</v>
      </c>
      <c r="CC69" s="675">
        <f t="shared" si="3"/>
        <v>0</v>
      </c>
      <c r="CD69" s="675">
        <f t="shared" si="3"/>
        <v>0</v>
      </c>
      <c r="CE69" s="647"/>
      <c r="CF69" s="648"/>
      <c r="CG69" s="648"/>
      <c r="CH69" s="648"/>
      <c r="CI69" s="648"/>
      <c r="CJ69" s="648"/>
      <c r="CK69" s="648"/>
      <c r="CL69" s="648"/>
      <c r="CM69" s="648"/>
      <c r="CN69" s="648"/>
      <c r="CO69" s="648"/>
      <c r="CP69" s="648"/>
      <c r="CQ69" s="649"/>
    </row>
    <row r="70" spans="2:99" ht="18.75" hidden="1" thickTop="1" x14ac:dyDescent="0.25">
      <c r="B70" s="697"/>
      <c r="C70" s="14"/>
      <c r="D70" s="14"/>
      <c r="E70" s="698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X70" s="12"/>
      <c r="AY70" s="12"/>
      <c r="AZ70" s="650"/>
      <c r="BA70" s="651"/>
      <c r="BB70" s="651"/>
      <c r="BC70" s="651"/>
      <c r="BD70" s="651"/>
      <c r="BE70" s="651"/>
      <c r="BF70" s="651"/>
      <c r="BG70" s="651"/>
      <c r="BH70" s="651"/>
      <c r="BI70" s="651"/>
      <c r="BJ70" s="651"/>
      <c r="BK70" s="651"/>
      <c r="BL70" s="651"/>
      <c r="BM70" s="651"/>
      <c r="BN70" s="651"/>
      <c r="BO70" s="651"/>
      <c r="BP70" s="651"/>
      <c r="BQ70" s="651"/>
      <c r="BR70" s="651"/>
      <c r="BS70" s="651"/>
      <c r="BT70" s="624"/>
      <c r="BU70" s="624"/>
      <c r="BV70" s="624"/>
      <c r="BW70" s="624"/>
      <c r="BX70" s="601"/>
      <c r="BY70" s="434"/>
      <c r="BZ70" s="434"/>
      <c r="CA70" s="434"/>
      <c r="CB70" s="434"/>
      <c r="CC70" s="434"/>
      <c r="CD70" s="434"/>
      <c r="CE70" s="434"/>
      <c r="CF70" s="434"/>
      <c r="CG70" s="434"/>
      <c r="CH70" s="434"/>
      <c r="CI70" s="434"/>
      <c r="CJ70" s="434"/>
      <c r="CK70" s="434"/>
      <c r="CL70" s="434"/>
      <c r="CM70" s="434"/>
      <c r="CN70" s="434"/>
      <c r="CO70" s="434"/>
      <c r="CP70" s="434"/>
      <c r="CQ70" s="434"/>
    </row>
    <row r="71" spans="2:99" ht="18" hidden="1" x14ac:dyDescent="0.25">
      <c r="B71" s="697"/>
      <c r="C71" s="14"/>
      <c r="D71" s="14"/>
      <c r="E71" s="69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X71" s="12"/>
      <c r="AY71" s="12"/>
      <c r="AZ71" s="650"/>
      <c r="BA71" s="624"/>
      <c r="BB71" s="625"/>
      <c r="BC71" s="624"/>
      <c r="BD71" s="624"/>
      <c r="BE71" s="624"/>
      <c r="BF71" s="625"/>
      <c r="BG71" s="624"/>
      <c r="BH71" s="624"/>
      <c r="BI71" s="624"/>
      <c r="BJ71" s="624"/>
      <c r="BK71" s="624"/>
      <c r="BL71" s="624"/>
      <c r="BM71" s="624"/>
      <c r="BN71" s="624"/>
      <c r="BO71" s="624"/>
      <c r="BP71" s="624"/>
      <c r="BQ71" s="624"/>
      <c r="BR71" s="624"/>
      <c r="BS71" s="624"/>
      <c r="BT71" s="624"/>
      <c r="BU71" s="624"/>
      <c r="BV71" s="624"/>
      <c r="BW71" s="624"/>
      <c r="BX71" s="601"/>
      <c r="BY71" s="434"/>
      <c r="BZ71" s="434"/>
      <c r="CA71" s="434"/>
      <c r="CB71" s="434"/>
      <c r="CC71" s="434"/>
      <c r="CD71" s="434"/>
      <c r="CE71" s="434"/>
      <c r="CF71" s="434"/>
      <c r="CG71" s="434"/>
      <c r="CH71" s="434"/>
      <c r="CI71" s="434"/>
      <c r="CJ71" s="434"/>
      <c r="CK71" s="434"/>
      <c r="CL71" s="434"/>
      <c r="CM71" s="434"/>
      <c r="CN71" s="434"/>
      <c r="CO71" s="434"/>
      <c r="CP71" s="434"/>
      <c r="CQ71" s="434"/>
    </row>
    <row r="72" spans="2:99" ht="18" hidden="1" x14ac:dyDescent="0.25">
      <c r="B72" s="697"/>
      <c r="C72" s="14"/>
      <c r="D72" s="14"/>
      <c r="E72" s="69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X72" s="12"/>
      <c r="AY72" s="12"/>
      <c r="AZ72" s="608"/>
      <c r="BA72" s="652" t="b">
        <f>+AX93</f>
        <v>0</v>
      </c>
      <c r="BB72" s="652" t="b">
        <f>+AX94</f>
        <v>0</v>
      </c>
      <c r="BC72" s="652" t="b">
        <f>+AX95</f>
        <v>0</v>
      </c>
      <c r="BD72" s="652" t="b">
        <f>+AX96</f>
        <v>0</v>
      </c>
      <c r="BE72" s="652" t="b">
        <f>+AX97</f>
        <v>0</v>
      </c>
      <c r="BF72" s="652" t="b">
        <f>+AX98</f>
        <v>0</v>
      </c>
      <c r="BG72" s="652" t="b">
        <f>+AX99</f>
        <v>0</v>
      </c>
      <c r="BH72" s="652" t="b">
        <f>+AX100</f>
        <v>0</v>
      </c>
      <c r="BI72" s="652" t="b">
        <f>+AX101</f>
        <v>0</v>
      </c>
      <c r="BJ72" s="652" t="b">
        <f>+AX102</f>
        <v>0</v>
      </c>
      <c r="BK72" s="652" t="b">
        <f>+AX103</f>
        <v>0</v>
      </c>
      <c r="BL72" s="652" t="b">
        <f>+AX104</f>
        <v>0</v>
      </c>
      <c r="BM72" s="652" t="b">
        <f>+AX105</f>
        <v>0</v>
      </c>
      <c r="BN72" s="652" t="b">
        <f>+AX106</f>
        <v>0</v>
      </c>
      <c r="BO72" s="652" t="b">
        <f>+AX107</f>
        <v>0</v>
      </c>
      <c r="BP72" s="652" t="b">
        <f>+AX108</f>
        <v>0</v>
      </c>
      <c r="BQ72" s="652" t="b">
        <f>+AX109</f>
        <v>0</v>
      </c>
      <c r="BR72" s="652" t="b">
        <f>+AX110</f>
        <v>0</v>
      </c>
      <c r="BS72" s="652" t="b">
        <f>+AX111</f>
        <v>0</v>
      </c>
      <c r="BT72" s="652" t="b">
        <f>+AX112</f>
        <v>0</v>
      </c>
      <c r="BU72" s="652">
        <f>+AX113</f>
        <v>8</v>
      </c>
      <c r="BV72" s="652" t="b">
        <f>+AX114</f>
        <v>0</v>
      </c>
      <c r="BW72" s="652" t="b">
        <f>+AX115</f>
        <v>0</v>
      </c>
      <c r="BX72" s="652" t="b">
        <f>+AX116</f>
        <v>0</v>
      </c>
      <c r="BY72" s="652" t="b">
        <f>+AX117</f>
        <v>0</v>
      </c>
      <c r="BZ72" s="652" t="b">
        <f>+AX118</f>
        <v>0</v>
      </c>
      <c r="CA72" s="652" t="b">
        <f>+AX119</f>
        <v>0</v>
      </c>
      <c r="CB72" s="652" t="b">
        <f>+AX120</f>
        <v>0</v>
      </c>
      <c r="CC72" s="652" t="b">
        <f>+AX121</f>
        <v>0</v>
      </c>
      <c r="CD72" s="652" t="b">
        <f>+AX122</f>
        <v>0</v>
      </c>
      <c r="CE72" s="652" t="b">
        <f>+AX123</f>
        <v>0</v>
      </c>
      <c r="CF72" s="652" t="b">
        <f>+AX124</f>
        <v>0</v>
      </c>
      <c r="CG72" s="652" t="b">
        <f>+AX125</f>
        <v>0</v>
      </c>
      <c r="CH72" s="652" t="b">
        <f>+AX126</f>
        <v>0</v>
      </c>
      <c r="CI72" s="652" t="b">
        <f>+AX127</f>
        <v>0</v>
      </c>
      <c r="CJ72" s="652" t="b">
        <f>+AX128</f>
        <v>0</v>
      </c>
      <c r="CK72" s="652" t="b">
        <f>+AX129</f>
        <v>0</v>
      </c>
      <c r="CL72" s="652" t="b">
        <f>+AX130</f>
        <v>0</v>
      </c>
      <c r="CM72" s="652" t="b">
        <f>+AX131</f>
        <v>0</v>
      </c>
      <c r="CN72" s="652" t="b">
        <f>+AX132</f>
        <v>0</v>
      </c>
      <c r="CO72" s="652" t="b">
        <f>+AX133</f>
        <v>0</v>
      </c>
      <c r="CP72" s="652" t="b">
        <f>+AX134</f>
        <v>0</v>
      </c>
      <c r="CQ72" s="652" t="b">
        <f>+AX135</f>
        <v>0</v>
      </c>
    </row>
    <row r="73" spans="2:99" ht="18" hidden="1" x14ac:dyDescent="0.25">
      <c r="B73" s="700"/>
      <c r="C73" s="14"/>
      <c r="D73" s="14"/>
      <c r="E73" s="701"/>
      <c r="L73" s="91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Q73" s="53"/>
      <c r="AR73" s="53"/>
      <c r="AS73" s="53"/>
      <c r="AT73" s="53"/>
      <c r="AU73" s="53"/>
      <c r="AV73" s="53"/>
      <c r="AW73" s="53"/>
      <c r="AX73" s="12"/>
      <c r="AY73" s="12"/>
      <c r="AZ73" s="601" t="s">
        <v>26</v>
      </c>
      <c r="BA73" s="652" t="b">
        <f>+BA72</f>
        <v>0</v>
      </c>
      <c r="BB73" s="652" t="b">
        <f t="shared" ref="BB73:BS73" si="4">+BB72</f>
        <v>0</v>
      </c>
      <c r="BC73" s="652" t="b">
        <f t="shared" si="4"/>
        <v>0</v>
      </c>
      <c r="BD73" s="652" t="b">
        <f t="shared" si="4"/>
        <v>0</v>
      </c>
      <c r="BE73" s="652" t="b">
        <f t="shared" si="4"/>
        <v>0</v>
      </c>
      <c r="BF73" s="652" t="b">
        <f t="shared" si="4"/>
        <v>0</v>
      </c>
      <c r="BG73" s="652" t="b">
        <f t="shared" si="4"/>
        <v>0</v>
      </c>
      <c r="BH73" s="652" t="b">
        <f t="shared" si="4"/>
        <v>0</v>
      </c>
      <c r="BI73" s="652" t="b">
        <f t="shared" si="4"/>
        <v>0</v>
      </c>
      <c r="BJ73" s="652" t="b">
        <f t="shared" si="4"/>
        <v>0</v>
      </c>
      <c r="BK73" s="652" t="b">
        <f t="shared" si="4"/>
        <v>0</v>
      </c>
      <c r="BL73" s="652" t="b">
        <f>+BL72</f>
        <v>0</v>
      </c>
      <c r="BM73" s="652" t="b">
        <f>+BM72</f>
        <v>0</v>
      </c>
      <c r="BN73" s="652" t="b">
        <f>+BN72</f>
        <v>0</v>
      </c>
      <c r="BO73" s="652" t="b">
        <f>+BO72</f>
        <v>0</v>
      </c>
      <c r="BP73" s="652" t="b">
        <f>+BP72</f>
        <v>0</v>
      </c>
      <c r="BQ73" s="652" t="b">
        <f t="shared" si="4"/>
        <v>0</v>
      </c>
      <c r="BR73" s="652" t="b">
        <f>+BR72</f>
        <v>0</v>
      </c>
      <c r="BS73" s="652" t="b">
        <f t="shared" si="4"/>
        <v>0</v>
      </c>
      <c r="BT73" s="652" t="b">
        <f>+BT72</f>
        <v>0</v>
      </c>
      <c r="BU73" s="652">
        <f>+BU72</f>
        <v>8</v>
      </c>
      <c r="BV73" s="652" t="b">
        <f>+BV72</f>
        <v>0</v>
      </c>
      <c r="BW73" s="652" t="b">
        <f>+BW72</f>
        <v>0</v>
      </c>
      <c r="BX73" s="652" t="b">
        <f>+BX72</f>
        <v>0</v>
      </c>
      <c r="BY73" s="652" t="b">
        <f t="shared" ref="BY73:CQ73" si="5">+BY72</f>
        <v>0</v>
      </c>
      <c r="BZ73" s="652" t="b">
        <f t="shared" si="5"/>
        <v>0</v>
      </c>
      <c r="CA73" s="652" t="b">
        <f t="shared" si="5"/>
        <v>0</v>
      </c>
      <c r="CB73" s="652" t="b">
        <f t="shared" si="5"/>
        <v>0</v>
      </c>
      <c r="CC73" s="652" t="b">
        <f t="shared" si="5"/>
        <v>0</v>
      </c>
      <c r="CD73" s="652" t="b">
        <f t="shared" si="5"/>
        <v>0</v>
      </c>
      <c r="CE73" s="652" t="b">
        <f t="shared" si="5"/>
        <v>0</v>
      </c>
      <c r="CF73" s="652" t="b">
        <f t="shared" si="5"/>
        <v>0</v>
      </c>
      <c r="CG73" s="652" t="b">
        <f t="shared" si="5"/>
        <v>0</v>
      </c>
      <c r="CH73" s="652" t="b">
        <f t="shared" si="5"/>
        <v>0</v>
      </c>
      <c r="CI73" s="652" t="b">
        <f t="shared" si="5"/>
        <v>0</v>
      </c>
      <c r="CJ73" s="652" t="b">
        <f t="shared" si="5"/>
        <v>0</v>
      </c>
      <c r="CK73" s="652" t="b">
        <f t="shared" si="5"/>
        <v>0</v>
      </c>
      <c r="CL73" s="652" t="b">
        <f t="shared" si="5"/>
        <v>0</v>
      </c>
      <c r="CM73" s="652" t="b">
        <f t="shared" si="5"/>
        <v>0</v>
      </c>
      <c r="CN73" s="652" t="b">
        <f t="shared" si="5"/>
        <v>0</v>
      </c>
      <c r="CO73" s="652" t="b">
        <f t="shared" si="5"/>
        <v>0</v>
      </c>
      <c r="CP73" s="652" t="b">
        <f t="shared" si="5"/>
        <v>0</v>
      </c>
      <c r="CQ73" s="652" t="b">
        <f t="shared" si="5"/>
        <v>0</v>
      </c>
      <c r="CU73" s="53"/>
    </row>
    <row r="74" spans="2:99" ht="18" hidden="1" x14ac:dyDescent="0.25">
      <c r="B74" s="697"/>
      <c r="C74" s="14"/>
      <c r="D74" s="14"/>
      <c r="E74" s="701"/>
      <c r="G74" s="53"/>
      <c r="H74" s="53"/>
      <c r="L74" s="91"/>
      <c r="M74" s="258"/>
      <c r="N74" s="258"/>
      <c r="O74" s="258"/>
      <c r="P74" s="258"/>
      <c r="Q74" s="258"/>
      <c r="R74" s="258"/>
      <c r="S74" s="258"/>
      <c r="T74" s="258"/>
      <c r="U74" s="289"/>
      <c r="V74" s="258"/>
      <c r="W74" s="258"/>
      <c r="X74" s="258"/>
      <c r="Y74" s="258"/>
      <c r="Z74" s="258"/>
      <c r="AA74" s="258"/>
      <c r="AB74" s="14"/>
      <c r="AQ74" s="53"/>
      <c r="AR74" s="53"/>
      <c r="AS74" s="53"/>
      <c r="AT74" s="53"/>
      <c r="AU74" s="53"/>
      <c r="AV74" s="53"/>
      <c r="AW74" s="53"/>
      <c r="AX74" s="12"/>
      <c r="AY74" s="12"/>
      <c r="AZ74" s="601"/>
      <c r="BA74" s="653"/>
      <c r="BB74" s="653"/>
      <c r="BC74" s="653"/>
      <c r="BD74" s="653"/>
      <c r="BE74" s="653"/>
      <c r="BF74" s="653"/>
      <c r="BG74" s="653"/>
      <c r="BH74" s="653"/>
      <c r="BI74" s="653"/>
      <c r="BJ74" s="653"/>
      <c r="BK74" s="653"/>
      <c r="BL74" s="653"/>
      <c r="BM74" s="653"/>
      <c r="BN74" s="653"/>
      <c r="BO74" s="653"/>
      <c r="BP74" s="653"/>
      <c r="BQ74" s="653"/>
      <c r="BR74" s="653"/>
      <c r="BS74" s="653"/>
      <c r="BT74" s="653"/>
      <c r="BU74" s="653"/>
      <c r="BV74" s="653"/>
      <c r="BW74" s="653"/>
      <c r="BX74" s="653"/>
      <c r="BY74" s="654"/>
      <c r="BZ74" s="654"/>
      <c r="CA74" s="654"/>
      <c r="CB74" s="654"/>
      <c r="CC74" s="654"/>
      <c r="CD74" s="654"/>
      <c r="CE74" s="654"/>
      <c r="CF74" s="654"/>
      <c r="CG74" s="654"/>
      <c r="CH74" s="654"/>
      <c r="CI74" s="654"/>
      <c r="CJ74" s="654"/>
      <c r="CK74" s="654"/>
      <c r="CL74" s="654"/>
      <c r="CM74" s="654"/>
      <c r="CN74" s="654"/>
      <c r="CO74" s="654"/>
      <c r="CP74" s="654"/>
      <c r="CQ74" s="654"/>
      <c r="CU74" s="53"/>
    </row>
    <row r="75" spans="2:99" ht="22.5" customHeight="1" thickTop="1" thickBot="1" x14ac:dyDescent="0.3">
      <c r="B75" s="697"/>
      <c r="C75" s="14"/>
      <c r="D75" s="14"/>
      <c r="E75" s="698"/>
      <c r="X75" s="14"/>
      <c r="Y75" s="14"/>
      <c r="Z75" s="14"/>
      <c r="AA75" s="14"/>
      <c r="AB75" s="14"/>
      <c r="AQ75" s="53"/>
      <c r="AR75" s="53"/>
      <c r="AS75" s="53"/>
      <c r="AT75" s="53"/>
      <c r="AU75" s="53"/>
      <c r="AV75" s="53"/>
      <c r="AW75" s="53"/>
      <c r="AX75" s="12"/>
      <c r="AY75" s="12"/>
      <c r="AZ75" s="601"/>
      <c r="BA75" s="653"/>
      <c r="BB75" s="653"/>
      <c r="BC75" s="653"/>
      <c r="BD75" s="653"/>
      <c r="BE75" s="653"/>
      <c r="BF75" s="653"/>
      <c r="BG75" s="653"/>
      <c r="BH75" s="653"/>
      <c r="BI75" s="653"/>
      <c r="BJ75" s="653"/>
      <c r="BK75" s="653"/>
      <c r="BL75" s="653"/>
      <c r="BM75" s="653"/>
      <c r="BN75" s="653"/>
      <c r="BO75" s="653"/>
      <c r="BP75" s="653"/>
      <c r="BQ75" s="653"/>
      <c r="BR75" s="653"/>
      <c r="BS75" s="653"/>
      <c r="BT75" s="653"/>
      <c r="BU75" s="653"/>
      <c r="BV75" s="653"/>
      <c r="BW75" s="653"/>
      <c r="BX75" s="653"/>
      <c r="BY75" s="654"/>
      <c r="BZ75" s="654"/>
      <c r="CA75" s="654"/>
      <c r="CB75" s="654"/>
      <c r="CC75" s="654"/>
      <c r="CD75" s="654"/>
      <c r="CE75" s="654"/>
      <c r="CF75" s="654"/>
      <c r="CG75" s="654"/>
      <c r="CH75" s="654"/>
      <c r="CI75" s="654"/>
      <c r="CJ75" s="654"/>
      <c r="CK75" s="654"/>
      <c r="CL75" s="654"/>
      <c r="CM75" s="654"/>
      <c r="CN75" s="654"/>
      <c r="CO75" s="654"/>
      <c r="CP75" s="654"/>
      <c r="CQ75" s="654"/>
      <c r="CU75" s="53"/>
    </row>
    <row r="76" spans="2:99" ht="31.5" thickTop="1" thickBot="1" x14ac:dyDescent="0.45">
      <c r="B76" s="571" t="str">
        <f>IF(B77=TRUE,"O K","OVERLOAD")</f>
        <v>O K</v>
      </c>
      <c r="C76" s="290"/>
      <c r="D76" s="290"/>
      <c r="E76" s="573" t="str">
        <f>IF(E77=TRUE,"O K ","OVERLOAD")</f>
        <v xml:space="preserve">O K </v>
      </c>
      <c r="X76" s="14"/>
      <c r="Y76" s="14"/>
      <c r="Z76" s="14"/>
      <c r="AA76" s="14"/>
      <c r="AB76" s="14"/>
      <c r="AQ76" s="53"/>
      <c r="AR76" s="53"/>
      <c r="AS76" s="53"/>
      <c r="AT76" s="53"/>
      <c r="AU76" s="53"/>
      <c r="AV76" s="53"/>
      <c r="AW76" s="53"/>
      <c r="AX76" s="12"/>
      <c r="AY76" s="12"/>
      <c r="AZ76" s="655" t="s">
        <v>26</v>
      </c>
      <c r="BA76" s="677" t="str">
        <f>IF(BA73=-13,"A ","")</f>
        <v/>
      </c>
      <c r="BB76" s="678" t="str">
        <f>IF(BB73=-12,"B ","")</f>
        <v/>
      </c>
      <c r="BC76" s="678" t="str">
        <f>IF(BC73=-11,"C ","")</f>
        <v/>
      </c>
      <c r="BD76" s="678" t="str">
        <f>IF(BD73=-10,"D ","")</f>
        <v/>
      </c>
      <c r="BE76" s="678" t="str">
        <f>IF(BE73=-9,"E ","")</f>
        <v/>
      </c>
      <c r="BF76" s="678" t="str">
        <f>IF(BF73=-8,"F ","")</f>
        <v/>
      </c>
      <c r="BG76" s="678" t="str">
        <f>IF(BG73=-7,"G ","")</f>
        <v/>
      </c>
      <c r="BH76" s="678" t="str">
        <f>IF(BH73=-6,"H ","")</f>
        <v/>
      </c>
      <c r="BI76" s="678" t="str">
        <f>IF(BI73=-5,"I ","")</f>
        <v/>
      </c>
      <c r="BJ76" s="678" t="str">
        <f>IF(BJ73=-4,"J ","")</f>
        <v/>
      </c>
      <c r="BK76" s="678" t="str">
        <f>IF(BK73=-3,"K ","")</f>
        <v/>
      </c>
      <c r="BL76" s="678" t="str">
        <f>IF(BL73=-2,"L ","")</f>
        <v/>
      </c>
      <c r="BM76" s="678" t="str">
        <f>IF(BM73=-1,"M ","")</f>
        <v/>
      </c>
      <c r="BN76" s="679" t="b">
        <f>+BN73</f>
        <v>0</v>
      </c>
      <c r="BO76" s="679" t="b">
        <f t="shared" ref="BO76:BP76" si="6">+BO73</f>
        <v>0</v>
      </c>
      <c r="BP76" s="679" t="b">
        <f t="shared" si="6"/>
        <v>0</v>
      </c>
      <c r="BQ76" s="679" t="b">
        <f>+BQ73</f>
        <v>0</v>
      </c>
      <c r="BR76" s="679" t="b">
        <f t="shared" ref="BR76:BU76" si="7">+BR73</f>
        <v>0</v>
      </c>
      <c r="BS76" s="679" t="b">
        <f t="shared" si="7"/>
        <v>0</v>
      </c>
      <c r="BT76" s="679" t="b">
        <f t="shared" si="7"/>
        <v>0</v>
      </c>
      <c r="BU76" s="679">
        <f t="shared" si="7"/>
        <v>8</v>
      </c>
      <c r="BV76" s="678" t="str">
        <f>IF(BV73=81,"L ","")</f>
        <v/>
      </c>
      <c r="BW76" s="678" t="str">
        <f>IF(BW73=82,"K ","")</f>
        <v/>
      </c>
      <c r="BX76" s="678" t="str">
        <f>IF(BX73=83,"J ","")</f>
        <v/>
      </c>
      <c r="BY76" s="679" t="b">
        <f t="shared" ref="BY76:CD76" si="8">+BY73</f>
        <v>0</v>
      </c>
      <c r="BZ76" s="679" t="b">
        <f t="shared" si="8"/>
        <v>0</v>
      </c>
      <c r="CA76" s="679" t="b">
        <f t="shared" si="8"/>
        <v>0</v>
      </c>
      <c r="CB76" s="679" t="b">
        <f t="shared" si="8"/>
        <v>0</v>
      </c>
      <c r="CC76" s="679" t="b">
        <f t="shared" si="8"/>
        <v>0</v>
      </c>
      <c r="CD76" s="679" t="b">
        <f t="shared" si="8"/>
        <v>0</v>
      </c>
      <c r="CE76" s="678" t="str">
        <f>IF(CE73=15,"M ","")</f>
        <v/>
      </c>
      <c r="CF76" s="678" t="str">
        <f>IF(CF73=16,"L ","")</f>
        <v/>
      </c>
      <c r="CG76" s="678" t="str">
        <f>IF(CG73=17,"K ","")</f>
        <v/>
      </c>
      <c r="CH76" s="678" t="str">
        <f>IF(CH73=18,"J ","")</f>
        <v/>
      </c>
      <c r="CI76" s="678" t="str">
        <f>IF(CI73=19,"I ","")</f>
        <v/>
      </c>
      <c r="CJ76" s="678" t="str">
        <f>IF(CJ73=20,"H ","")</f>
        <v/>
      </c>
      <c r="CK76" s="678" t="str">
        <f>IF(CK73=21,"G ","")</f>
        <v/>
      </c>
      <c r="CL76" s="678" t="str">
        <f>IF(CL73=22,"F ","")</f>
        <v/>
      </c>
      <c r="CM76" s="678" t="str">
        <f>IF(CM73=23,"E ","")</f>
        <v/>
      </c>
      <c r="CN76" s="678" t="str">
        <f>IF(CN73=24,"D ","")</f>
        <v/>
      </c>
      <c r="CO76" s="678" t="str">
        <f>IF(CO73=25,"C ","")</f>
        <v/>
      </c>
      <c r="CP76" s="678" t="str">
        <f>IF(CP73=26,"B ","")</f>
        <v/>
      </c>
      <c r="CQ76" s="680" t="str">
        <f>IF(CQ73=27,"A ","")</f>
        <v/>
      </c>
      <c r="CU76" s="53"/>
    </row>
    <row r="77" spans="2:99" ht="21.75" hidden="1" thickTop="1" thickBot="1" x14ac:dyDescent="0.35">
      <c r="B77" s="702" t="b">
        <f>AND(B84&gt;=10,D84&gt;=10,AN97&gt;=10,AO97&gt;=10)</f>
        <v>1</v>
      </c>
      <c r="C77" s="570"/>
      <c r="D77" s="572"/>
      <c r="E77" s="703" t="b">
        <f>AND(B84&gt;=10,D84&gt;=10,E84&gt;=10,AN97&gt;=10,AO97&gt;=10)</f>
        <v>1</v>
      </c>
      <c r="X77" s="14"/>
      <c r="Y77" s="14"/>
      <c r="Z77" s="14"/>
      <c r="AA77" s="14"/>
      <c r="AB77" s="14"/>
      <c r="AQ77" s="53"/>
      <c r="AR77" s="53"/>
      <c r="AS77" s="53"/>
      <c r="AT77" s="53"/>
      <c r="AU77" s="53"/>
      <c r="AV77" s="53"/>
      <c r="AW77" s="53"/>
      <c r="AX77" s="12"/>
      <c r="AY77" s="12"/>
      <c r="BA77" s="57">
        <v>-13</v>
      </c>
      <c r="BB77" s="57">
        <v>-12</v>
      </c>
      <c r="BC77" s="57">
        <v>-11</v>
      </c>
      <c r="BD77" s="57">
        <v>-10</v>
      </c>
      <c r="BE77" s="57">
        <v>-9</v>
      </c>
      <c r="BF77" s="57">
        <v>-8</v>
      </c>
      <c r="BG77" s="57">
        <v>-7</v>
      </c>
      <c r="BH77" s="57">
        <v>-6</v>
      </c>
      <c r="BI77" s="57">
        <v>-5</v>
      </c>
      <c r="BJ77" s="57">
        <v>-4</v>
      </c>
      <c r="BK77" s="57">
        <v>-3</v>
      </c>
      <c r="BL77" s="57">
        <v>-2</v>
      </c>
      <c r="BM77" s="57">
        <v>-1</v>
      </c>
      <c r="BN77" s="57">
        <v>1</v>
      </c>
      <c r="BO77" s="22">
        <v>2</v>
      </c>
      <c r="BP77" s="22">
        <v>3</v>
      </c>
      <c r="BQ77" s="22">
        <v>4</v>
      </c>
      <c r="BR77" s="22">
        <v>5</v>
      </c>
      <c r="BS77" s="22">
        <v>6</v>
      </c>
      <c r="BT77" s="22">
        <v>7</v>
      </c>
      <c r="BU77" s="22">
        <v>8</v>
      </c>
      <c r="BV77" s="58">
        <v>81</v>
      </c>
      <c r="BW77" s="58">
        <v>82</v>
      </c>
      <c r="BX77" s="58">
        <v>83</v>
      </c>
      <c r="BY77" s="13">
        <v>9</v>
      </c>
      <c r="BZ77" s="13">
        <v>10</v>
      </c>
      <c r="CA77" s="13">
        <v>11</v>
      </c>
      <c r="CB77" s="13">
        <v>12</v>
      </c>
      <c r="CC77" s="13">
        <v>13</v>
      </c>
      <c r="CD77" s="13">
        <v>14</v>
      </c>
      <c r="CE77" s="13">
        <v>15</v>
      </c>
      <c r="CF77" s="13">
        <v>16</v>
      </c>
      <c r="CG77" s="13">
        <v>17</v>
      </c>
      <c r="CH77" s="13">
        <v>18</v>
      </c>
      <c r="CI77" s="13">
        <v>19</v>
      </c>
      <c r="CJ77" s="13">
        <v>20</v>
      </c>
      <c r="CK77" s="13">
        <v>21</v>
      </c>
      <c r="CL77" s="13">
        <v>22</v>
      </c>
      <c r="CM77" s="13">
        <v>23</v>
      </c>
      <c r="CN77" s="13">
        <v>24</v>
      </c>
      <c r="CO77" s="13">
        <v>25</v>
      </c>
      <c r="CP77" s="13">
        <v>26</v>
      </c>
      <c r="CQ77" s="13">
        <v>27</v>
      </c>
      <c r="CU77" s="53"/>
    </row>
    <row r="78" spans="2:99" ht="25.5" hidden="1" customHeight="1" thickBot="1" x14ac:dyDescent="0.25">
      <c r="B78" s="700"/>
      <c r="C78" s="14"/>
      <c r="D78" s="14"/>
      <c r="E78" s="698"/>
      <c r="AQ78" s="53"/>
      <c r="AR78" s="53"/>
      <c r="AS78" s="53"/>
      <c r="AT78" s="53"/>
      <c r="AU78" s="53"/>
      <c r="AV78" s="53"/>
      <c r="AW78" s="53"/>
      <c r="AX78" s="12"/>
      <c r="AY78" s="12"/>
      <c r="BA78" s="57"/>
      <c r="BB78" s="57"/>
      <c r="BC78" s="57"/>
      <c r="BD78" s="57"/>
      <c r="BE78" s="57"/>
      <c r="BF78" s="57"/>
      <c r="BG78" s="22"/>
      <c r="BH78" s="22"/>
      <c r="BI78" s="22"/>
      <c r="BJ78" s="22"/>
      <c r="BK78" s="22"/>
      <c r="BL78" s="57"/>
      <c r="BM78" s="57"/>
      <c r="BN78" s="57"/>
      <c r="BO78" s="22"/>
      <c r="BP78" s="22"/>
      <c r="BQ78" s="22"/>
      <c r="BR78" s="22"/>
      <c r="BS78" s="22"/>
      <c r="BT78" s="22"/>
      <c r="BU78" s="22"/>
      <c r="BV78" s="58"/>
      <c r="BW78" s="58"/>
      <c r="BX78" s="58"/>
      <c r="CU78" s="53"/>
    </row>
    <row r="79" spans="2:99" ht="25.5" hidden="1" customHeight="1" thickBot="1" x14ac:dyDescent="0.3">
      <c r="B79" s="700"/>
      <c r="C79" s="14"/>
      <c r="D79" s="14"/>
      <c r="E79" s="698"/>
      <c r="AQ79" s="53"/>
      <c r="AR79" s="53"/>
      <c r="AS79" s="53"/>
      <c r="AT79" s="53"/>
      <c r="AU79" s="53"/>
      <c r="AV79" s="53"/>
      <c r="AW79" s="53"/>
      <c r="AX79" s="67" t="s">
        <v>64</v>
      </c>
      <c r="AY79" s="68">
        <f>-+AU93</f>
        <v>512.50000972689907</v>
      </c>
      <c r="BA79" s="57"/>
      <c r="BB79" s="57"/>
      <c r="BC79" s="57"/>
      <c r="BD79" s="57"/>
      <c r="BE79" s="57"/>
      <c r="BF79" s="57"/>
      <c r="BG79" s="22"/>
      <c r="BH79" s="22"/>
      <c r="BI79" s="22"/>
      <c r="BJ79" s="22"/>
      <c r="BK79" s="22"/>
      <c r="BL79" s="57"/>
      <c r="BM79" s="57"/>
      <c r="BN79" s="57"/>
      <c r="BO79" s="22"/>
      <c r="BP79" s="22"/>
      <c r="BQ79" s="22"/>
      <c r="BR79" s="22"/>
      <c r="BS79" s="22"/>
      <c r="BT79" s="22"/>
      <c r="BU79" s="22"/>
      <c r="BV79" s="58"/>
      <c r="BW79" s="58"/>
      <c r="BX79" s="58"/>
      <c r="CR79" s="69" t="s">
        <v>64</v>
      </c>
      <c r="CS79" s="70">
        <f>+-AU135</f>
        <v>-558.49999027310093</v>
      </c>
      <c r="CT79" s="71" t="s">
        <v>85</v>
      </c>
      <c r="CU79" s="53"/>
    </row>
    <row r="80" spans="2:99" ht="13.5" hidden="1" thickBot="1" x14ac:dyDescent="0.25">
      <c r="B80" s="700"/>
      <c r="C80" s="14"/>
      <c r="D80" s="14"/>
      <c r="E80" s="698"/>
      <c r="AQ80" s="53"/>
      <c r="AR80" s="53"/>
      <c r="AS80" s="53"/>
      <c r="AT80" s="53"/>
      <c r="AU80" s="53"/>
      <c r="AV80" s="53"/>
      <c r="AW80" s="53"/>
      <c r="AX80" s="12"/>
      <c r="AY80" s="12"/>
      <c r="BA80" s="57" t="s">
        <v>32</v>
      </c>
      <c r="BB80" s="57" t="s">
        <v>33</v>
      </c>
      <c r="BC80" s="57" t="s">
        <v>34</v>
      </c>
      <c r="BD80" s="57" t="s">
        <v>35</v>
      </c>
      <c r="BE80" s="57" t="s">
        <v>36</v>
      </c>
      <c r="BF80" s="57" t="s">
        <v>55</v>
      </c>
      <c r="BG80" s="57" t="s">
        <v>16</v>
      </c>
      <c r="BH80" s="57" t="s">
        <v>56</v>
      </c>
      <c r="BI80" s="57" t="s">
        <v>57</v>
      </c>
      <c r="BJ80" s="57" t="s">
        <v>58</v>
      </c>
      <c r="BK80" s="57" t="s">
        <v>59</v>
      </c>
      <c r="BL80" s="57" t="s">
        <v>15</v>
      </c>
      <c r="BM80" s="57" t="s">
        <v>60</v>
      </c>
      <c r="BN80" s="57">
        <v>1</v>
      </c>
      <c r="BO80" s="57">
        <v>2</v>
      </c>
      <c r="BP80" s="57">
        <v>3</v>
      </c>
      <c r="BQ80" s="57">
        <v>4</v>
      </c>
      <c r="BR80" s="57">
        <v>5</v>
      </c>
      <c r="BS80" s="57">
        <v>6</v>
      </c>
      <c r="BT80" s="57">
        <v>7</v>
      </c>
      <c r="BU80" s="57">
        <v>8</v>
      </c>
      <c r="BV80" s="59" t="s">
        <v>15</v>
      </c>
      <c r="BW80" s="59" t="s">
        <v>59</v>
      </c>
      <c r="BX80" s="59" t="s">
        <v>58</v>
      </c>
      <c r="BY80" s="13">
        <v>9</v>
      </c>
      <c r="BZ80" s="13">
        <v>10</v>
      </c>
      <c r="CA80" s="13">
        <v>11</v>
      </c>
      <c r="CB80" s="13">
        <v>12</v>
      </c>
      <c r="CC80" s="13">
        <v>13</v>
      </c>
      <c r="CD80" s="13">
        <v>14</v>
      </c>
      <c r="CE80" s="60" t="s">
        <v>60</v>
      </c>
      <c r="CF80" s="60" t="s">
        <v>15</v>
      </c>
      <c r="CG80" s="60" t="s">
        <v>59</v>
      </c>
      <c r="CH80" s="60" t="s">
        <v>58</v>
      </c>
      <c r="CI80" s="60" t="s">
        <v>57</v>
      </c>
      <c r="CJ80" s="60" t="s">
        <v>56</v>
      </c>
      <c r="CK80" s="60" t="s">
        <v>16</v>
      </c>
      <c r="CL80" s="60" t="s">
        <v>55</v>
      </c>
      <c r="CM80" s="60" t="s">
        <v>36</v>
      </c>
      <c r="CN80" s="60" t="s">
        <v>35</v>
      </c>
      <c r="CO80" s="60" t="s">
        <v>34</v>
      </c>
      <c r="CP80" s="60" t="s">
        <v>33</v>
      </c>
      <c r="CQ80" s="60" t="s">
        <v>32</v>
      </c>
      <c r="CU80" s="53"/>
    </row>
    <row r="81" spans="2:99" ht="21.75" customHeight="1" thickTop="1" thickBot="1" x14ac:dyDescent="0.25">
      <c r="B81" s="780" t="s">
        <v>123</v>
      </c>
      <c r="C81" s="780"/>
      <c r="D81" s="780"/>
      <c r="E81" s="780"/>
      <c r="AQ81" s="53"/>
      <c r="AR81" s="53"/>
      <c r="AS81" s="53"/>
      <c r="AT81" s="53"/>
      <c r="AU81" s="53"/>
      <c r="AV81" s="53"/>
      <c r="AW81" s="53"/>
      <c r="AX81" s="12"/>
      <c r="AY81" s="12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CU81" s="53"/>
    </row>
    <row r="82" spans="2:99" ht="30" customHeight="1" thickTop="1" thickBot="1" x14ac:dyDescent="0.25">
      <c r="B82" s="689" t="s">
        <v>89</v>
      </c>
      <c r="C82" s="292"/>
      <c r="D82" s="689" t="s">
        <v>91</v>
      </c>
      <c r="E82" s="689" t="s">
        <v>88</v>
      </c>
      <c r="AQ82" s="53"/>
      <c r="AR82" s="53"/>
      <c r="AS82" s="53"/>
      <c r="AT82" s="53"/>
      <c r="AU82" s="53"/>
      <c r="AV82" s="53"/>
      <c r="AW82" s="53"/>
      <c r="AX82" s="12"/>
      <c r="AY82" s="12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CU82" s="53"/>
    </row>
    <row r="83" spans="2:99" ht="28.5" hidden="1" customHeight="1" thickTop="1" thickBot="1" x14ac:dyDescent="0.3">
      <c r="B83" s="687">
        <f>+C31/AX50</f>
        <v>151.8281136558939</v>
      </c>
      <c r="C83" s="64"/>
      <c r="D83" s="687">
        <f>+C31/CS50</f>
        <v>165.45560661586345</v>
      </c>
      <c r="E83" s="687">
        <f>+D31/BA1</f>
        <v>133.33333333333334</v>
      </c>
      <c r="AQ83" s="53"/>
      <c r="AR83" s="53"/>
      <c r="AS83" s="53"/>
      <c r="AT83" s="53"/>
      <c r="AU83" s="53"/>
      <c r="AV83" s="53"/>
      <c r="AW83" s="53"/>
      <c r="AX83" s="12"/>
      <c r="AY83" s="12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CU83" s="53"/>
    </row>
    <row r="84" spans="2:99" ht="30" customHeight="1" thickTop="1" thickBot="1" x14ac:dyDescent="0.25">
      <c r="B84" s="293">
        <f>ABS(B83)</f>
        <v>151.8281136558939</v>
      </c>
      <c r="C84" s="292"/>
      <c r="D84" s="293">
        <f>ABS(D83)</f>
        <v>165.45560661586345</v>
      </c>
      <c r="E84" s="293">
        <f t="shared" ref="E84:K84" si="9">+IF(AND(D83&lt;&gt;TRUE,B83&lt;&gt;TRUE),E83)</f>
        <v>133.33333333333334</v>
      </c>
      <c r="F84" s="2">
        <f t="shared" si="9"/>
        <v>0</v>
      </c>
      <c r="G84" s="2">
        <f t="shared" si="9"/>
        <v>0</v>
      </c>
      <c r="H84" s="2">
        <f t="shared" si="9"/>
        <v>0</v>
      </c>
      <c r="I84" s="2">
        <f t="shared" si="9"/>
        <v>0</v>
      </c>
      <c r="J84" s="2">
        <f t="shared" si="9"/>
        <v>0</v>
      </c>
      <c r="K84" s="2">
        <f t="shared" si="9"/>
        <v>0</v>
      </c>
      <c r="AQ84" s="53"/>
      <c r="AR84" s="53"/>
      <c r="AS84" s="53"/>
      <c r="AT84" s="53"/>
      <c r="AU84" s="53"/>
      <c r="AV84" s="53"/>
      <c r="AW84" s="53"/>
      <c r="AX84" s="12"/>
      <c r="AY84" s="12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CU84" s="53"/>
    </row>
    <row r="85" spans="2:99" ht="21" thickTop="1" x14ac:dyDescent="0.3">
      <c r="B85" s="107"/>
      <c r="C85" s="294"/>
      <c r="D85" s="294"/>
      <c r="E85" s="288"/>
      <c r="AQ85" s="53"/>
      <c r="AR85" s="53"/>
      <c r="AS85" s="53"/>
      <c r="AT85" s="53"/>
      <c r="AU85" s="53"/>
      <c r="AV85" s="53"/>
      <c r="AW85" s="53"/>
      <c r="AX85" s="12"/>
      <c r="AY85" s="12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CU85" s="53"/>
    </row>
    <row r="86" spans="2:99" ht="45.75" customHeight="1" thickBot="1" x14ac:dyDescent="0.3">
      <c r="C86" s="3"/>
      <c r="E86" s="288"/>
      <c r="AQ86" s="53"/>
      <c r="AR86" s="53"/>
      <c r="AS86" s="53"/>
      <c r="AT86" s="53"/>
      <c r="AU86" s="53"/>
      <c r="AV86" s="53"/>
      <c r="AW86" s="53"/>
      <c r="AX86" s="12"/>
      <c r="AY86" s="12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CU86" s="53"/>
    </row>
    <row r="87" spans="2:99" ht="39" customHeight="1" thickBot="1" x14ac:dyDescent="0.35">
      <c r="C87" s="3"/>
      <c r="D87" s="93" t="str">
        <f>IF(AY79&gt;0," ","change the angle of frame")</f>
        <v xml:space="preserve"> </v>
      </c>
      <c r="E87" s="288"/>
      <c r="AQ87" s="53"/>
      <c r="AR87" s="53"/>
      <c r="AS87" s="295"/>
      <c r="AT87" s="295"/>
      <c r="AU87" s="78"/>
      <c r="AV87" s="78"/>
      <c r="AW87" s="78"/>
      <c r="AX87" s="12"/>
      <c r="AY87" s="12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CU87" s="78"/>
    </row>
    <row r="88" spans="2:99" ht="45.75" customHeight="1" thickBot="1" x14ac:dyDescent="0.35">
      <c r="B88" s="775" t="s">
        <v>117</v>
      </c>
      <c r="D88" s="93" t="str">
        <f>IF(CS79&lt;0," ","change the angle of frame")</f>
        <v xml:space="preserve"> </v>
      </c>
      <c r="E88" s="288"/>
      <c r="AQ88" s="53"/>
      <c r="AR88" s="53"/>
      <c r="AS88" s="295"/>
      <c r="AT88" s="295"/>
      <c r="AU88" s="78"/>
      <c r="AV88" s="78"/>
      <c r="AW88" s="78"/>
      <c r="AX88" s="12"/>
      <c r="AY88" s="12"/>
      <c r="AZ88" s="18"/>
      <c r="BA88" s="18"/>
      <c r="BB88" s="18"/>
      <c r="BC88" s="18"/>
      <c r="BD88" s="18"/>
      <c r="BE88" s="18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50"/>
      <c r="CU88" s="78"/>
    </row>
    <row r="89" spans="2:99" ht="45.75" customHeight="1" thickBot="1" x14ac:dyDescent="0.35">
      <c r="B89" s="776"/>
      <c r="C89" s="553"/>
      <c r="D89" s="554" t="str">
        <f>IF(AY79&gt;(+COS(($B$90*-1)*3.14159265358979/180)*318.75)," ","USE EXBAR TR AT THE FRONT")</f>
        <v xml:space="preserve"> </v>
      </c>
      <c r="E89" s="288"/>
      <c r="AQ89" s="53"/>
      <c r="AR89" s="53"/>
      <c r="AS89" s="295"/>
      <c r="AT89" s="295"/>
      <c r="AU89" s="78"/>
      <c r="AV89" s="78"/>
      <c r="AW89" s="78"/>
      <c r="AX89" s="12"/>
      <c r="AY89" s="12"/>
      <c r="AZ89" s="18"/>
      <c r="BA89" s="18"/>
      <c r="BB89" s="18"/>
      <c r="BC89" s="18"/>
      <c r="BD89" s="18"/>
      <c r="BE89" s="18"/>
      <c r="BF89" s="66"/>
      <c r="BN89" s="66"/>
      <c r="BO89" s="66"/>
      <c r="BP89" s="66"/>
      <c r="BQ89" s="66"/>
      <c r="BR89" s="66"/>
      <c r="BS89" s="66"/>
      <c r="BT89" s="50"/>
      <c r="CU89" s="78"/>
    </row>
    <row r="90" spans="2:99" ht="45.75" customHeight="1" thickBot="1" x14ac:dyDescent="0.45">
      <c r="B90" s="503">
        <v>0</v>
      </c>
      <c r="C90" s="553"/>
      <c r="D90" s="568" t="str">
        <f>IF(CS79&lt;-(+COS(($B$90*-1)*3.14159265358979/180)*318.75)," ","USE EXBAR TR AT THE BACK")</f>
        <v xml:space="preserve"> </v>
      </c>
      <c r="E90" s="288"/>
      <c r="AQ90" s="53"/>
      <c r="AR90" s="53"/>
      <c r="AS90" s="295"/>
      <c r="AT90" s="295"/>
      <c r="AU90" s="78"/>
      <c r="AV90" s="78"/>
      <c r="AW90" s="78"/>
      <c r="AZ90" s="18"/>
      <c r="BA90" s="18"/>
      <c r="BB90" s="18"/>
      <c r="BC90" s="18"/>
      <c r="BD90" s="18"/>
      <c r="BE90" s="18"/>
      <c r="BF90" s="66"/>
      <c r="BN90" s="66"/>
      <c r="BO90" s="66"/>
      <c r="BP90" s="66"/>
      <c r="BQ90" s="66"/>
      <c r="BR90" s="66"/>
      <c r="BS90" s="66"/>
      <c r="BT90" s="50"/>
      <c r="CU90" s="78"/>
    </row>
    <row r="91" spans="2:99" ht="24" thickBot="1" x14ac:dyDescent="0.4">
      <c r="B91" s="681"/>
      <c r="C91" s="294"/>
      <c r="D91" s="294"/>
      <c r="E91" s="288"/>
      <c r="AQ91" s="53"/>
      <c r="AR91" s="53"/>
      <c r="AS91" s="86"/>
      <c r="AT91" s="86"/>
      <c r="AU91" s="86"/>
      <c r="AV91" s="86"/>
      <c r="AW91" s="86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P91" s="50"/>
      <c r="BQ91" s="50"/>
      <c r="BR91" s="50"/>
      <c r="BS91" s="50"/>
      <c r="CU91" s="86"/>
    </row>
    <row r="92" spans="2:99" ht="71.25" customHeight="1" thickBot="1" x14ac:dyDescent="0.35">
      <c r="B92" s="97" t="s">
        <v>38</v>
      </c>
      <c r="C92" s="3"/>
      <c r="D92" s="4"/>
      <c r="E92" s="4"/>
      <c r="F92" s="4"/>
      <c r="S92" s="4"/>
      <c r="T92" s="4"/>
      <c r="U92" s="296"/>
      <c r="V92" s="297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4"/>
      <c r="AN92" s="14"/>
      <c r="AO92" s="14"/>
      <c r="AP92" s="14"/>
      <c r="AQ92" s="53"/>
      <c r="AR92" s="259" t="s">
        <v>92</v>
      </c>
      <c r="AS92" s="260"/>
      <c r="AT92" s="547" t="s">
        <v>162</v>
      </c>
      <c r="AU92" s="260"/>
      <c r="AV92" s="260"/>
      <c r="AW92" s="260"/>
      <c r="AX92" s="260"/>
      <c r="CU92" s="53"/>
    </row>
    <row r="93" spans="2:99" ht="27" thickBot="1" x14ac:dyDescent="0.35">
      <c r="B93" s="506">
        <v>1</v>
      </c>
      <c r="C93" s="298"/>
      <c r="D93" s="772" t="s">
        <v>118</v>
      </c>
      <c r="E93" s="773"/>
      <c r="F93" s="1"/>
      <c r="S93" s="53"/>
      <c r="T93" s="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770" t="s">
        <v>54</v>
      </c>
      <c r="AO93" s="771"/>
      <c r="AP93" s="14"/>
      <c r="AQ93" s="53"/>
      <c r="AR93" s="261">
        <v>-13</v>
      </c>
      <c r="AS93" s="546">
        <v>-331.5</v>
      </c>
      <c r="AT93" s="540">
        <f>+COS(($B$90*-1)*3.14159265358979/180)*AS93</f>
        <v>-331.5</v>
      </c>
      <c r="AU93" s="548">
        <f>+AT93-E$17</f>
        <v>-512.50000972689907</v>
      </c>
      <c r="AV93" s="262">
        <f t="shared" ref="AV93:AV135" si="10">ABS(AU93)</f>
        <v>512.50000972689907</v>
      </c>
      <c r="AW93" s="262">
        <f t="shared" ref="AW93:AW135" si="11">MIN($AV$93:$AV$135)</f>
        <v>2.5000097268990373</v>
      </c>
      <c r="AX93" s="262" t="b">
        <f t="shared" ref="AX93:AX135" si="12">IF(AW93=AV93,AR93)</f>
        <v>0</v>
      </c>
      <c r="CU93" s="53"/>
    </row>
    <row r="94" spans="2:99" ht="39" thickBot="1" x14ac:dyDescent="0.45">
      <c r="B94" s="299"/>
      <c r="C94" s="300"/>
      <c r="D94" s="301"/>
      <c r="E94" s="302"/>
      <c r="F94" s="107"/>
      <c r="G94" s="522" t="s">
        <v>147</v>
      </c>
      <c r="H94" s="522" t="s">
        <v>153</v>
      </c>
      <c r="I94" s="522" t="s">
        <v>149</v>
      </c>
      <c r="J94" s="523"/>
      <c r="K94" s="523"/>
      <c r="L94" s="523"/>
      <c r="M94" s="523"/>
      <c r="N94" s="523"/>
      <c r="O94" s="522" t="s">
        <v>150</v>
      </c>
      <c r="P94" s="522" t="s">
        <v>151</v>
      </c>
      <c r="Q94" s="523"/>
      <c r="R94" s="522" t="s">
        <v>152</v>
      </c>
      <c r="S94" s="107"/>
      <c r="T94" s="10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242"/>
      <c r="AN94" s="303" t="s">
        <v>24</v>
      </c>
      <c r="AO94" s="303" t="s">
        <v>25</v>
      </c>
      <c r="AP94" s="14"/>
      <c r="AQ94" s="53"/>
      <c r="AR94" s="261">
        <v>-12</v>
      </c>
      <c r="AS94" s="546">
        <f t="shared" ref="AS94:AS135" si="13">+AS93+25.5</f>
        <v>-306</v>
      </c>
      <c r="AT94" s="540">
        <f>+AT93+$F$16</f>
        <v>-306</v>
      </c>
      <c r="AU94" s="548">
        <f t="shared" ref="AU94:AU135" si="14">+AT94-E$17</f>
        <v>-487.00000972689907</v>
      </c>
      <c r="AV94" s="262">
        <f t="shared" si="10"/>
        <v>487.00000972689907</v>
      </c>
      <c r="AW94" s="262">
        <f t="shared" si="11"/>
        <v>2.5000097268990373</v>
      </c>
      <c r="AX94" s="262" t="b">
        <f t="shared" si="12"/>
        <v>0</v>
      </c>
      <c r="CU94" s="53"/>
    </row>
    <row r="95" spans="2:99" ht="31.5" hidden="1" thickBot="1" x14ac:dyDescent="0.3">
      <c r="B95" s="304"/>
      <c r="C95" s="304"/>
      <c r="D95" s="305"/>
      <c r="E95" s="306"/>
      <c r="F95" s="16"/>
      <c r="G95" s="307" t="s">
        <v>4</v>
      </c>
      <c r="H95" s="307" t="s">
        <v>1</v>
      </c>
      <c r="I95" s="308" t="s">
        <v>62</v>
      </c>
      <c r="J95" s="309" t="s">
        <v>2</v>
      </c>
      <c r="K95" s="309" t="s">
        <v>3</v>
      </c>
      <c r="L95" s="309" t="s">
        <v>8</v>
      </c>
      <c r="M95" s="309" t="s">
        <v>5</v>
      </c>
      <c r="N95" s="309" t="s">
        <v>6</v>
      </c>
      <c r="O95" s="309" t="s">
        <v>7</v>
      </c>
      <c r="P95" s="309" t="s">
        <v>9</v>
      </c>
      <c r="Q95" s="310" t="s">
        <v>10</v>
      </c>
      <c r="R95" s="309" t="s">
        <v>11</v>
      </c>
      <c r="S95" s="311" t="s">
        <v>12</v>
      </c>
      <c r="T95" s="312"/>
      <c r="U95" s="124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242"/>
      <c r="AM95" s="242"/>
      <c r="AN95" s="123"/>
      <c r="AO95" s="123"/>
      <c r="AP95" s="123"/>
      <c r="AQ95" s="53"/>
      <c r="AR95" s="261">
        <v>-11</v>
      </c>
      <c r="AS95" s="546">
        <f t="shared" si="13"/>
        <v>-280.5</v>
      </c>
      <c r="AT95" s="540">
        <f t="shared" ref="AT95:AT135" si="15">+AT94+$F$16</f>
        <v>-280.5</v>
      </c>
      <c r="AU95" s="548">
        <f t="shared" si="14"/>
        <v>-461.50000972689907</v>
      </c>
      <c r="AV95" s="262">
        <f t="shared" si="10"/>
        <v>461.50000972689907</v>
      </c>
      <c r="AW95" s="262">
        <f t="shared" si="11"/>
        <v>2.5000097268990373</v>
      </c>
      <c r="AX95" s="262" t="b">
        <f t="shared" si="12"/>
        <v>0</v>
      </c>
      <c r="CU95" s="53"/>
    </row>
    <row r="96" spans="2:99" ht="30.75" hidden="1" customHeight="1" thickBot="1" x14ac:dyDescent="0.35">
      <c r="B96" s="313"/>
      <c r="C96" s="314"/>
      <c r="D96" s="20"/>
      <c r="E96" s="672"/>
      <c r="F96" s="315"/>
      <c r="G96" s="307"/>
      <c r="H96" s="307"/>
      <c r="I96" s="308"/>
      <c r="J96" s="309"/>
      <c r="K96" s="309"/>
      <c r="L96" s="309"/>
      <c r="M96" s="309"/>
      <c r="N96" s="309"/>
      <c r="O96" s="309"/>
      <c r="P96" s="309"/>
      <c r="Q96" s="310"/>
      <c r="R96" s="309"/>
      <c r="S96" s="311"/>
      <c r="T96" s="312"/>
      <c r="U96" s="124"/>
      <c r="V96" s="123"/>
      <c r="W96" s="123"/>
      <c r="X96" s="312" t="s">
        <v>46</v>
      </c>
      <c r="Y96" s="316" t="s">
        <v>39</v>
      </c>
      <c r="Z96" s="218" t="s">
        <v>119</v>
      </c>
      <c r="AA96" s="317" t="s">
        <v>40</v>
      </c>
      <c r="AB96" s="218" t="s">
        <v>41</v>
      </c>
      <c r="AC96" s="318" t="s">
        <v>120</v>
      </c>
      <c r="AD96" s="319" t="s">
        <v>42</v>
      </c>
      <c r="AE96" s="320" t="s">
        <v>43</v>
      </c>
      <c r="AF96" s="321" t="s">
        <v>69</v>
      </c>
      <c r="AG96" s="322" t="s">
        <v>52</v>
      </c>
      <c r="AH96" s="323" t="s">
        <v>78</v>
      </c>
      <c r="AI96" s="322" t="s">
        <v>70</v>
      </c>
      <c r="AJ96" s="324" t="s">
        <v>49</v>
      </c>
      <c r="AK96" s="324" t="s">
        <v>50</v>
      </c>
      <c r="AL96" s="325" t="s">
        <v>24</v>
      </c>
      <c r="AM96" s="325" t="s">
        <v>25</v>
      </c>
      <c r="AN96" s="78"/>
      <c r="AO96" s="78"/>
      <c r="AP96" s="14"/>
      <c r="AQ96" s="53"/>
      <c r="AR96" s="261">
        <v>-10</v>
      </c>
      <c r="AS96" s="546">
        <f t="shared" si="13"/>
        <v>-255</v>
      </c>
      <c r="AT96" s="540">
        <f t="shared" si="15"/>
        <v>-255</v>
      </c>
      <c r="AU96" s="548">
        <f t="shared" si="14"/>
        <v>-436.00000972689907</v>
      </c>
      <c r="AV96" s="262">
        <f t="shared" si="10"/>
        <v>436.00000972689907</v>
      </c>
      <c r="AW96" s="262">
        <f t="shared" si="11"/>
        <v>2.5000097268990373</v>
      </c>
      <c r="AX96" s="262" t="b">
        <f t="shared" si="12"/>
        <v>0</v>
      </c>
      <c r="CU96" s="53"/>
    </row>
    <row r="97" spans="2:99" ht="18.75" thickBot="1" x14ac:dyDescent="0.3">
      <c r="B97" s="326">
        <v>1</v>
      </c>
      <c r="C97" s="326">
        <f>+(B90*-1)+D97</f>
        <v>0</v>
      </c>
      <c r="D97" s="327"/>
      <c r="E97" s="328"/>
      <c r="F97" s="329"/>
      <c r="G97" s="522">
        <v>267.59859999999998</v>
      </c>
      <c r="H97" s="522">
        <v>39.997472000000002</v>
      </c>
      <c r="I97" s="522">
        <f>+H97-C97</f>
        <v>39.997472000000002</v>
      </c>
      <c r="J97" s="309"/>
      <c r="K97" s="309"/>
      <c r="L97" s="309"/>
      <c r="M97" s="309"/>
      <c r="N97" s="309"/>
      <c r="O97" s="522">
        <f>COS(I97*3.14159265358979/180)</f>
        <v>0.76607280339905826</v>
      </c>
      <c r="P97" s="522">
        <f>+O97*G97</f>
        <v>205.00000968766321</v>
      </c>
      <c r="Q97" s="330">
        <v>205</v>
      </c>
      <c r="R97" s="522">
        <f>+P97</f>
        <v>205.00000968766321</v>
      </c>
      <c r="S97" s="309">
        <f t="shared" ref="S97:S108" si="16">+R97</f>
        <v>205.00000968766321</v>
      </c>
      <c r="T97" s="331"/>
      <c r="U97" s="332"/>
      <c r="V97" s="333">
        <f t="shared" ref="V97:V108" si="17">IF(B97&lt;($B$93+1),S97,0)</f>
        <v>205.00000968766321</v>
      </c>
      <c r="W97" s="334"/>
      <c r="X97" s="333">
        <f>SUM(V97:V108)/($B$93)</f>
        <v>205.00000968766321</v>
      </c>
      <c r="Y97" s="335">
        <f>+D97+C97</f>
        <v>0</v>
      </c>
      <c r="Z97" s="336">
        <f>50.0025336+Y97</f>
        <v>50.0025336</v>
      </c>
      <c r="AA97" s="337">
        <f>SIN(Z97*3.14159265358979/180)</f>
        <v>0.76607286622080695</v>
      </c>
      <c r="AB97" s="238">
        <f>+AA97*267.5986</f>
        <v>205.00002649867523</v>
      </c>
      <c r="AC97" s="336">
        <f>55.5829435-Y97</f>
        <v>55.582943499999999</v>
      </c>
      <c r="AD97" s="338">
        <f>SIN(AC97*3.14159265358979/180)</f>
        <v>0.82494527551519659</v>
      </c>
      <c r="AE97" s="238">
        <f>+AD97*304.3102</f>
        <v>251.03926178108458</v>
      </c>
      <c r="AF97" s="339">
        <f>20*B93</f>
        <v>20</v>
      </c>
      <c r="AG97" s="340">
        <f>+AE97+AB97</f>
        <v>456.03928827975983</v>
      </c>
      <c r="AH97" s="341">
        <f>+V97-AB97</f>
        <v>-1.681101201711499E-5</v>
      </c>
      <c r="AI97" s="341">
        <f t="shared" ref="AI97:AI108" si="18">+X97-AH97</f>
        <v>205.00002649867523</v>
      </c>
      <c r="AJ97" s="342">
        <f>+((AG97-AI97)/AG97)*AF97</f>
        <v>11.009545371761181</v>
      </c>
      <c r="AK97" s="342">
        <f>+(AI97/AG97)*AF97</f>
        <v>8.9904546282388207</v>
      </c>
      <c r="AL97" s="150">
        <f t="shared" ref="AL97:AL108" si="19">2*$C$30/AJ97</f>
        <v>544.9816316112051</v>
      </c>
      <c r="AM97" s="150">
        <f t="shared" ref="AM97:AM108" si="20">2*$D$30/AK97</f>
        <v>667.3744819482356</v>
      </c>
      <c r="AN97" s="343">
        <f>ABS(AL97)</f>
        <v>544.9816316112051</v>
      </c>
      <c r="AO97" s="343">
        <f>ABS(AM97)</f>
        <v>667.3744819482356</v>
      </c>
      <c r="AP97" s="344"/>
      <c r="AQ97" s="53"/>
      <c r="AR97" s="261">
        <v>-9</v>
      </c>
      <c r="AS97" s="546">
        <f t="shared" si="13"/>
        <v>-229.5</v>
      </c>
      <c r="AT97" s="540">
        <f t="shared" si="15"/>
        <v>-229.5</v>
      </c>
      <c r="AU97" s="548">
        <f t="shared" si="14"/>
        <v>-410.50000972689907</v>
      </c>
      <c r="AV97" s="262">
        <f t="shared" si="10"/>
        <v>410.50000972689907</v>
      </c>
      <c r="AW97" s="262">
        <f t="shared" si="11"/>
        <v>2.5000097268990373</v>
      </c>
      <c r="AX97" s="262" t="b">
        <f t="shared" si="12"/>
        <v>0</v>
      </c>
      <c r="CU97" s="53"/>
    </row>
    <row r="98" spans="2:99" ht="18.75" thickBot="1" x14ac:dyDescent="0.3">
      <c r="B98" s="345">
        <v>2</v>
      </c>
      <c r="C98" s="345"/>
      <c r="D98" s="327"/>
      <c r="E98" s="328"/>
      <c r="F98" s="346"/>
      <c r="G98" s="307">
        <v>304.31020000000001</v>
      </c>
      <c r="H98" s="307">
        <v>68.834131099999993</v>
      </c>
      <c r="I98" s="308">
        <f>+H98+D98</f>
        <v>68.834131099999993</v>
      </c>
      <c r="J98" s="309">
        <f t="shared" ref="J98:J108" si="21">+I98/2</f>
        <v>34.417065549999997</v>
      </c>
      <c r="K98" s="309">
        <f t="shared" ref="K98:K108" si="22">SIN(J98*3.14159265358979/180)</f>
        <v>0.56521273844618192</v>
      </c>
      <c r="L98" s="309">
        <f t="shared" ref="L98:L108" si="23">+K98*G98</f>
        <v>172.00000147910532</v>
      </c>
      <c r="M98" s="309">
        <f t="shared" ref="M98:M108" si="24">+L98*2</f>
        <v>344.00000295821064</v>
      </c>
      <c r="N98" s="309">
        <f>+C97+(D98/2)</f>
        <v>0</v>
      </c>
      <c r="O98" s="309">
        <f t="shared" ref="O98:O108" si="25">SIN(N98*3.14159265358979/180)</f>
        <v>0</v>
      </c>
      <c r="P98" s="309">
        <f t="shared" ref="P98:P108" si="26">+O98*M98</f>
        <v>0</v>
      </c>
      <c r="Q98" s="309">
        <f t="shared" ref="Q98:Q108" si="27">+S97</f>
        <v>205.00000968766321</v>
      </c>
      <c r="R98" s="309">
        <f>+Q98+P98</f>
        <v>205.00000968766321</v>
      </c>
      <c r="S98" s="309">
        <f t="shared" si="16"/>
        <v>205.00000968766321</v>
      </c>
      <c r="T98" s="331"/>
      <c r="U98" s="332"/>
      <c r="V98" s="333">
        <f t="shared" si="17"/>
        <v>0</v>
      </c>
      <c r="W98" s="334"/>
      <c r="X98" s="333" t="e">
        <f>SUM(V98:V108)/($B$93-B97)</f>
        <v>#DIV/0!</v>
      </c>
      <c r="Y98" s="347">
        <f>SUM(D98)+$C$97</f>
        <v>0</v>
      </c>
      <c r="Z98" s="336">
        <f t="shared" ref="Z98:Z108" si="28">50.0025336+Y98</f>
        <v>50.0025336</v>
      </c>
      <c r="AA98" s="337">
        <f>SIN(Z98*3.14159265358979/180)</f>
        <v>0.76607286622080695</v>
      </c>
      <c r="AB98" s="238">
        <f t="shared" ref="AB98:AB108" si="29">+AA98*267.5986</f>
        <v>205.00002649867523</v>
      </c>
      <c r="AC98" s="336">
        <f t="shared" ref="AC98:AC108" si="30">55.5829435-Y98</f>
        <v>55.582943499999999</v>
      </c>
      <c r="AD98" s="338">
        <f t="shared" ref="AD98:AD108" si="31">SIN(AC98*3.14159265358979/180)</f>
        <v>0.82494527551519659</v>
      </c>
      <c r="AE98" s="238">
        <f t="shared" ref="AE98:AE108" si="32">+AD98*304.3102</f>
        <v>251.03926178108458</v>
      </c>
      <c r="AF98" s="339">
        <f t="shared" ref="AF98:AF108" si="33">20*($B$93-B97)</f>
        <v>0</v>
      </c>
      <c r="AG98" s="340">
        <f t="shared" ref="AG98:AG108" si="34">+AE98+AB98</f>
        <v>456.03928827975983</v>
      </c>
      <c r="AH98" s="341">
        <f t="shared" ref="AH98:AH108" si="35">+V98-AB98</f>
        <v>-205.00002649867523</v>
      </c>
      <c r="AI98" s="341" t="e">
        <f t="shared" si="18"/>
        <v>#DIV/0!</v>
      </c>
      <c r="AJ98" s="342" t="e">
        <f t="shared" ref="AJ98:AJ108" si="36">+((AG98-AI98)/AG98)*AF98</f>
        <v>#DIV/0!</v>
      </c>
      <c r="AK98" s="342" t="e">
        <f t="shared" ref="AK98:AK108" si="37">+(AI98/AG98)*AF98</f>
        <v>#DIV/0!</v>
      </c>
      <c r="AL98" s="150" t="e">
        <f t="shared" si="19"/>
        <v>#DIV/0!</v>
      </c>
      <c r="AM98" s="150" t="e">
        <f t="shared" si="20"/>
        <v>#DIV/0!</v>
      </c>
      <c r="AN98" s="343" t="e">
        <f t="shared" ref="AN98:AO108" si="38">ABS(AL98)</f>
        <v>#DIV/0!</v>
      </c>
      <c r="AO98" s="343" t="e">
        <f t="shared" si="38"/>
        <v>#DIV/0!</v>
      </c>
      <c r="AP98" s="344"/>
      <c r="AQ98" s="53"/>
      <c r="AR98" s="261">
        <v>-8</v>
      </c>
      <c r="AS98" s="546">
        <f t="shared" si="13"/>
        <v>-204</v>
      </c>
      <c r="AT98" s="540">
        <f t="shared" si="15"/>
        <v>-204</v>
      </c>
      <c r="AU98" s="548">
        <f t="shared" si="14"/>
        <v>-385.00000972689907</v>
      </c>
      <c r="AV98" s="262">
        <f t="shared" si="10"/>
        <v>385.00000972689907</v>
      </c>
      <c r="AW98" s="262">
        <f t="shared" si="11"/>
        <v>2.5000097268990373</v>
      </c>
      <c r="AX98" s="262" t="b">
        <f t="shared" si="12"/>
        <v>0</v>
      </c>
      <c r="CU98" s="53"/>
    </row>
    <row r="99" spans="2:99" ht="18.75" thickBot="1" x14ac:dyDescent="0.3">
      <c r="B99" s="345">
        <v>3</v>
      </c>
      <c r="C99" s="345"/>
      <c r="D99" s="327"/>
      <c r="E99" s="328"/>
      <c r="F99" s="346"/>
      <c r="G99" s="307">
        <v>304.31020000000001</v>
      </c>
      <c r="H99" s="307">
        <v>68.834131099999993</v>
      </c>
      <c r="I99" s="308">
        <f t="shared" ref="I99:I108" si="39">+H99+D99</f>
        <v>68.834131099999993</v>
      </c>
      <c r="J99" s="309">
        <f t="shared" si="21"/>
        <v>34.417065549999997</v>
      </c>
      <c r="K99" s="309">
        <f t="shared" si="22"/>
        <v>0.56521273844618192</v>
      </c>
      <c r="L99" s="309">
        <f t="shared" si="23"/>
        <v>172.00000147910532</v>
      </c>
      <c r="M99" s="309">
        <f t="shared" si="24"/>
        <v>344.00000295821064</v>
      </c>
      <c r="N99" s="309">
        <f>+C97+D98+(D99/2)</f>
        <v>0</v>
      </c>
      <c r="O99" s="309">
        <f t="shared" si="25"/>
        <v>0</v>
      </c>
      <c r="P99" s="309">
        <f t="shared" si="26"/>
        <v>0</v>
      </c>
      <c r="Q99" s="309">
        <f t="shared" si="27"/>
        <v>205.00000968766321</v>
      </c>
      <c r="R99" s="309">
        <f t="shared" ref="R99:R108" si="40">+R98+P99</f>
        <v>205.00000968766321</v>
      </c>
      <c r="S99" s="309">
        <f t="shared" si="16"/>
        <v>205.00000968766321</v>
      </c>
      <c r="T99" s="331"/>
      <c r="U99" s="332"/>
      <c r="V99" s="333">
        <f t="shared" si="17"/>
        <v>0</v>
      </c>
      <c r="W99" s="334"/>
      <c r="X99" s="333">
        <f>SUM(V99:V108)/($B$93-B98)</f>
        <v>0</v>
      </c>
      <c r="Y99" s="347">
        <f>SUM(D98:D99)+$C$97</f>
        <v>0</v>
      </c>
      <c r="Z99" s="336">
        <f t="shared" si="28"/>
        <v>50.0025336</v>
      </c>
      <c r="AA99" s="337">
        <f t="shared" ref="AA99:AA108" si="41">SIN(Z99*3.14159265358979/180)</f>
        <v>0.76607286622080695</v>
      </c>
      <c r="AB99" s="238">
        <f t="shared" si="29"/>
        <v>205.00002649867523</v>
      </c>
      <c r="AC99" s="336">
        <f t="shared" si="30"/>
        <v>55.582943499999999</v>
      </c>
      <c r="AD99" s="338">
        <f t="shared" si="31"/>
        <v>0.82494527551519659</v>
      </c>
      <c r="AE99" s="238">
        <f t="shared" si="32"/>
        <v>251.03926178108458</v>
      </c>
      <c r="AF99" s="339">
        <f t="shared" si="33"/>
        <v>-20</v>
      </c>
      <c r="AG99" s="340">
        <f t="shared" si="34"/>
        <v>456.03928827975983</v>
      </c>
      <c r="AH99" s="341">
        <f t="shared" si="35"/>
        <v>-205.00002649867523</v>
      </c>
      <c r="AI99" s="341">
        <f t="shared" si="18"/>
        <v>205.00002649867523</v>
      </c>
      <c r="AJ99" s="342">
        <f t="shared" si="36"/>
        <v>-11.009545371761181</v>
      </c>
      <c r="AK99" s="342">
        <f t="shared" si="37"/>
        <v>-8.9904546282388207</v>
      </c>
      <c r="AL99" s="150">
        <f t="shared" si="19"/>
        <v>-544.9816316112051</v>
      </c>
      <c r="AM99" s="150">
        <f t="shared" si="20"/>
        <v>-667.3744819482356</v>
      </c>
      <c r="AN99" s="343">
        <f t="shared" si="38"/>
        <v>544.9816316112051</v>
      </c>
      <c r="AO99" s="343">
        <f t="shared" si="38"/>
        <v>667.3744819482356</v>
      </c>
      <c r="AQ99" s="53"/>
      <c r="AR99" s="261">
        <v>-7</v>
      </c>
      <c r="AS99" s="546">
        <f t="shared" si="13"/>
        <v>-178.5</v>
      </c>
      <c r="AT99" s="540">
        <f t="shared" si="15"/>
        <v>-178.5</v>
      </c>
      <c r="AU99" s="548">
        <f t="shared" si="14"/>
        <v>-359.50000972689907</v>
      </c>
      <c r="AV99" s="262">
        <f t="shared" si="10"/>
        <v>359.50000972689907</v>
      </c>
      <c r="AW99" s="262">
        <f t="shared" si="11"/>
        <v>2.5000097268990373</v>
      </c>
      <c r="AX99" s="262" t="b">
        <f t="shared" si="12"/>
        <v>0</v>
      </c>
      <c r="CU99" s="53"/>
    </row>
    <row r="100" spans="2:99" ht="18.75" thickBot="1" x14ac:dyDescent="0.3">
      <c r="B100" s="345">
        <v>4</v>
      </c>
      <c r="C100" s="345"/>
      <c r="D100" s="327"/>
      <c r="E100" s="328"/>
      <c r="F100" s="346"/>
      <c r="G100" s="307">
        <v>304.31020000000001</v>
      </c>
      <c r="H100" s="307">
        <v>68.834131099999993</v>
      </c>
      <c r="I100" s="308">
        <f t="shared" si="39"/>
        <v>68.834131099999993</v>
      </c>
      <c r="J100" s="309">
        <f t="shared" si="21"/>
        <v>34.417065549999997</v>
      </c>
      <c r="K100" s="309">
        <f t="shared" si="22"/>
        <v>0.56521273844618192</v>
      </c>
      <c r="L100" s="309">
        <f t="shared" si="23"/>
        <v>172.00000147910532</v>
      </c>
      <c r="M100" s="309">
        <f t="shared" si="24"/>
        <v>344.00000295821064</v>
      </c>
      <c r="N100" s="309">
        <f>+C97+D98+D99+(D100/2)</f>
        <v>0</v>
      </c>
      <c r="O100" s="309">
        <f t="shared" si="25"/>
        <v>0</v>
      </c>
      <c r="P100" s="309">
        <f t="shared" si="26"/>
        <v>0</v>
      </c>
      <c r="Q100" s="309">
        <f t="shared" si="27"/>
        <v>205.00000968766321</v>
      </c>
      <c r="R100" s="309">
        <f t="shared" si="40"/>
        <v>205.00000968766321</v>
      </c>
      <c r="S100" s="309">
        <f t="shared" si="16"/>
        <v>205.00000968766321</v>
      </c>
      <c r="T100" s="331"/>
      <c r="U100" s="332"/>
      <c r="V100" s="333">
        <f t="shared" si="17"/>
        <v>0</v>
      </c>
      <c r="W100" s="334"/>
      <c r="X100" s="333">
        <f>SUM(V100:V108)/($B$93-B99)</f>
        <v>0</v>
      </c>
      <c r="Y100" s="347">
        <f>SUM(D98:D100)+$C$97</f>
        <v>0</v>
      </c>
      <c r="Z100" s="336">
        <f t="shared" si="28"/>
        <v>50.0025336</v>
      </c>
      <c r="AA100" s="337">
        <f t="shared" si="41"/>
        <v>0.76607286622080695</v>
      </c>
      <c r="AB100" s="238">
        <f t="shared" si="29"/>
        <v>205.00002649867523</v>
      </c>
      <c r="AC100" s="336">
        <f t="shared" si="30"/>
        <v>55.582943499999999</v>
      </c>
      <c r="AD100" s="338">
        <f t="shared" si="31"/>
        <v>0.82494527551519659</v>
      </c>
      <c r="AE100" s="238">
        <f t="shared" si="32"/>
        <v>251.03926178108458</v>
      </c>
      <c r="AF100" s="339">
        <f t="shared" si="33"/>
        <v>-40</v>
      </c>
      <c r="AG100" s="340">
        <f t="shared" si="34"/>
        <v>456.03928827975983</v>
      </c>
      <c r="AH100" s="341">
        <f t="shared" si="35"/>
        <v>-205.00002649867523</v>
      </c>
      <c r="AI100" s="341">
        <f t="shared" si="18"/>
        <v>205.00002649867523</v>
      </c>
      <c r="AJ100" s="342">
        <f t="shared" si="36"/>
        <v>-22.019090743522362</v>
      </c>
      <c r="AK100" s="342">
        <f t="shared" si="37"/>
        <v>-17.980909256477641</v>
      </c>
      <c r="AL100" s="150">
        <f t="shared" si="19"/>
        <v>-272.49081580560255</v>
      </c>
      <c r="AM100" s="150">
        <f t="shared" si="20"/>
        <v>-333.6872409741178</v>
      </c>
      <c r="AN100" s="343">
        <f t="shared" si="38"/>
        <v>272.49081580560255</v>
      </c>
      <c r="AO100" s="343">
        <f t="shared" si="38"/>
        <v>333.6872409741178</v>
      </c>
      <c r="AQ100" s="53"/>
      <c r="AR100" s="261">
        <v>-6</v>
      </c>
      <c r="AS100" s="546">
        <f t="shared" si="13"/>
        <v>-153</v>
      </c>
      <c r="AT100" s="540">
        <f t="shared" si="15"/>
        <v>-153</v>
      </c>
      <c r="AU100" s="548">
        <f t="shared" si="14"/>
        <v>-334.00000972689907</v>
      </c>
      <c r="AV100" s="262">
        <f t="shared" si="10"/>
        <v>334.00000972689907</v>
      </c>
      <c r="AW100" s="262">
        <f t="shared" si="11"/>
        <v>2.5000097268990373</v>
      </c>
      <c r="AX100" s="262" t="b">
        <f t="shared" si="12"/>
        <v>0</v>
      </c>
      <c r="CU100" s="53"/>
    </row>
    <row r="101" spans="2:99" ht="18.75" thickBot="1" x14ac:dyDescent="0.3">
      <c r="B101" s="345">
        <v>5</v>
      </c>
      <c r="C101" s="345"/>
      <c r="D101" s="327"/>
      <c r="E101" s="328"/>
      <c r="F101" s="346"/>
      <c r="G101" s="307">
        <v>304.31020000000001</v>
      </c>
      <c r="H101" s="307">
        <v>68.834131099999993</v>
      </c>
      <c r="I101" s="308">
        <f t="shared" si="39"/>
        <v>68.834131099999993</v>
      </c>
      <c r="J101" s="309">
        <f t="shared" si="21"/>
        <v>34.417065549999997</v>
      </c>
      <c r="K101" s="309">
        <f t="shared" si="22"/>
        <v>0.56521273844618192</v>
      </c>
      <c r="L101" s="309">
        <f t="shared" si="23"/>
        <v>172.00000147910532</v>
      </c>
      <c r="M101" s="309">
        <f t="shared" si="24"/>
        <v>344.00000295821064</v>
      </c>
      <c r="N101" s="309">
        <f>+C97+D98+D99+D100+(D101/2)</f>
        <v>0</v>
      </c>
      <c r="O101" s="309">
        <f t="shared" si="25"/>
        <v>0</v>
      </c>
      <c r="P101" s="309">
        <f t="shared" si="26"/>
        <v>0</v>
      </c>
      <c r="Q101" s="309">
        <f t="shared" si="27"/>
        <v>205.00000968766321</v>
      </c>
      <c r="R101" s="309">
        <f t="shared" si="40"/>
        <v>205.00000968766321</v>
      </c>
      <c r="S101" s="309">
        <f t="shared" si="16"/>
        <v>205.00000968766321</v>
      </c>
      <c r="T101" s="331"/>
      <c r="U101" s="332"/>
      <c r="V101" s="333">
        <f t="shared" si="17"/>
        <v>0</v>
      </c>
      <c r="W101" s="334"/>
      <c r="X101" s="333">
        <f>SUM(V101:V108)/($B$93-B100)</f>
        <v>0</v>
      </c>
      <c r="Y101" s="347">
        <f>SUM(D98:D101)+$C$97</f>
        <v>0</v>
      </c>
      <c r="Z101" s="336">
        <f t="shared" si="28"/>
        <v>50.0025336</v>
      </c>
      <c r="AA101" s="337">
        <f t="shared" si="41"/>
        <v>0.76607286622080695</v>
      </c>
      <c r="AB101" s="238">
        <f t="shared" si="29"/>
        <v>205.00002649867523</v>
      </c>
      <c r="AC101" s="336">
        <f t="shared" si="30"/>
        <v>55.582943499999999</v>
      </c>
      <c r="AD101" s="338">
        <f t="shared" si="31"/>
        <v>0.82494527551519659</v>
      </c>
      <c r="AE101" s="238">
        <f t="shared" si="32"/>
        <v>251.03926178108458</v>
      </c>
      <c r="AF101" s="339">
        <f t="shared" si="33"/>
        <v>-60</v>
      </c>
      <c r="AG101" s="340">
        <f t="shared" si="34"/>
        <v>456.03928827975983</v>
      </c>
      <c r="AH101" s="341">
        <f t="shared" si="35"/>
        <v>-205.00002649867523</v>
      </c>
      <c r="AI101" s="341">
        <f t="shared" si="18"/>
        <v>205.00002649867523</v>
      </c>
      <c r="AJ101" s="342">
        <f t="shared" si="36"/>
        <v>-33.02863611528354</v>
      </c>
      <c r="AK101" s="342">
        <f t="shared" si="37"/>
        <v>-26.971363884716464</v>
      </c>
      <c r="AL101" s="150">
        <f t="shared" si="19"/>
        <v>-181.66054387040171</v>
      </c>
      <c r="AM101" s="150">
        <f t="shared" si="20"/>
        <v>-222.45816064941184</v>
      </c>
      <c r="AN101" s="343">
        <f t="shared" si="38"/>
        <v>181.66054387040171</v>
      </c>
      <c r="AO101" s="343">
        <f t="shared" si="38"/>
        <v>222.45816064941184</v>
      </c>
      <c r="AQ101" s="53"/>
      <c r="AR101" s="261">
        <v>-5</v>
      </c>
      <c r="AS101" s="546">
        <f t="shared" si="13"/>
        <v>-127.5</v>
      </c>
      <c r="AT101" s="540">
        <f t="shared" si="15"/>
        <v>-127.5</v>
      </c>
      <c r="AU101" s="548">
        <f t="shared" si="14"/>
        <v>-308.50000972689907</v>
      </c>
      <c r="AV101" s="262">
        <f t="shared" si="10"/>
        <v>308.50000972689907</v>
      </c>
      <c r="AW101" s="262">
        <f t="shared" si="11"/>
        <v>2.5000097268990373</v>
      </c>
      <c r="AX101" s="262" t="b">
        <f t="shared" si="12"/>
        <v>0</v>
      </c>
      <c r="CU101" s="53"/>
    </row>
    <row r="102" spans="2:99" ht="18.75" thickBot="1" x14ac:dyDescent="0.3">
      <c r="B102" s="345">
        <v>6</v>
      </c>
      <c r="C102" s="345"/>
      <c r="D102" s="327"/>
      <c r="E102" s="328"/>
      <c r="F102" s="346"/>
      <c r="G102" s="307">
        <v>304.31020000000001</v>
      </c>
      <c r="H102" s="307">
        <v>68.834131099999993</v>
      </c>
      <c r="I102" s="308">
        <f t="shared" si="39"/>
        <v>68.834131099999993</v>
      </c>
      <c r="J102" s="309">
        <f t="shared" si="21"/>
        <v>34.417065549999997</v>
      </c>
      <c r="K102" s="309">
        <f t="shared" si="22"/>
        <v>0.56521273844618192</v>
      </c>
      <c r="L102" s="309">
        <f t="shared" si="23"/>
        <v>172.00000147910532</v>
      </c>
      <c r="M102" s="309">
        <f t="shared" si="24"/>
        <v>344.00000295821064</v>
      </c>
      <c r="N102" s="309">
        <f>+C97+D98+D99+D100+D101+(D102/2)</f>
        <v>0</v>
      </c>
      <c r="O102" s="309">
        <f t="shared" si="25"/>
        <v>0</v>
      </c>
      <c r="P102" s="309">
        <f t="shared" si="26"/>
        <v>0</v>
      </c>
      <c r="Q102" s="309">
        <f t="shared" si="27"/>
        <v>205.00000968766321</v>
      </c>
      <c r="R102" s="309">
        <f t="shared" si="40"/>
        <v>205.00000968766321</v>
      </c>
      <c r="S102" s="309">
        <f t="shared" si="16"/>
        <v>205.00000968766321</v>
      </c>
      <c r="T102" s="331"/>
      <c r="U102" s="332"/>
      <c r="V102" s="333">
        <f t="shared" si="17"/>
        <v>0</v>
      </c>
      <c r="W102" s="334"/>
      <c r="X102" s="333">
        <f>SUM(V102:V108)/($B$93-B101)</f>
        <v>0</v>
      </c>
      <c r="Y102" s="347">
        <f>SUM(D98:D102)+$C$97</f>
        <v>0</v>
      </c>
      <c r="Z102" s="336">
        <f t="shared" si="28"/>
        <v>50.0025336</v>
      </c>
      <c r="AA102" s="337">
        <f t="shared" si="41"/>
        <v>0.76607286622080695</v>
      </c>
      <c r="AB102" s="238">
        <f t="shared" si="29"/>
        <v>205.00002649867523</v>
      </c>
      <c r="AC102" s="336">
        <f t="shared" si="30"/>
        <v>55.582943499999999</v>
      </c>
      <c r="AD102" s="338">
        <f t="shared" si="31"/>
        <v>0.82494527551519659</v>
      </c>
      <c r="AE102" s="238">
        <f t="shared" si="32"/>
        <v>251.03926178108458</v>
      </c>
      <c r="AF102" s="339">
        <f t="shared" si="33"/>
        <v>-80</v>
      </c>
      <c r="AG102" s="340">
        <f t="shared" si="34"/>
        <v>456.03928827975983</v>
      </c>
      <c r="AH102" s="341">
        <f t="shared" si="35"/>
        <v>-205.00002649867523</v>
      </c>
      <c r="AI102" s="341">
        <f t="shared" si="18"/>
        <v>205.00002649867523</v>
      </c>
      <c r="AJ102" s="342">
        <f t="shared" si="36"/>
        <v>-44.038181487044724</v>
      </c>
      <c r="AK102" s="342">
        <f t="shared" si="37"/>
        <v>-35.961818512955283</v>
      </c>
      <c r="AL102" s="150">
        <f t="shared" si="19"/>
        <v>-136.24540790280128</v>
      </c>
      <c r="AM102" s="150">
        <f t="shared" si="20"/>
        <v>-166.8436204870589</v>
      </c>
      <c r="AN102" s="343">
        <f t="shared" si="38"/>
        <v>136.24540790280128</v>
      </c>
      <c r="AO102" s="343">
        <f t="shared" si="38"/>
        <v>166.8436204870589</v>
      </c>
      <c r="AQ102" s="53"/>
      <c r="AR102" s="261">
        <v>-4</v>
      </c>
      <c r="AS102" s="546">
        <f t="shared" si="13"/>
        <v>-102</v>
      </c>
      <c r="AT102" s="540">
        <f t="shared" si="15"/>
        <v>-102</v>
      </c>
      <c r="AU102" s="548">
        <f t="shared" si="14"/>
        <v>-283.00000972689907</v>
      </c>
      <c r="AV102" s="262">
        <f t="shared" si="10"/>
        <v>283.00000972689907</v>
      </c>
      <c r="AW102" s="262">
        <f t="shared" si="11"/>
        <v>2.5000097268990373</v>
      </c>
      <c r="AX102" s="262" t="b">
        <f t="shared" si="12"/>
        <v>0</v>
      </c>
      <c r="CU102" s="53"/>
    </row>
    <row r="103" spans="2:99" ht="18.75" thickBot="1" x14ac:dyDescent="0.3">
      <c r="B103" s="345">
        <v>7</v>
      </c>
      <c r="C103" s="345"/>
      <c r="D103" s="327"/>
      <c r="E103" s="328"/>
      <c r="F103" s="346"/>
      <c r="G103" s="307">
        <v>304.31020000000001</v>
      </c>
      <c r="H103" s="307">
        <v>68.834131099999993</v>
      </c>
      <c r="I103" s="308">
        <f t="shared" si="39"/>
        <v>68.834131099999993</v>
      </c>
      <c r="J103" s="309">
        <f t="shared" si="21"/>
        <v>34.417065549999997</v>
      </c>
      <c r="K103" s="309">
        <f t="shared" si="22"/>
        <v>0.56521273844618192</v>
      </c>
      <c r="L103" s="309">
        <f t="shared" si="23"/>
        <v>172.00000147910532</v>
      </c>
      <c r="M103" s="309">
        <f t="shared" si="24"/>
        <v>344.00000295821064</v>
      </c>
      <c r="N103" s="309">
        <f>+C97+D98+D99+D100+D101+D102+(D103/2)</f>
        <v>0</v>
      </c>
      <c r="O103" s="309">
        <f t="shared" si="25"/>
        <v>0</v>
      </c>
      <c r="P103" s="309">
        <f t="shared" si="26"/>
        <v>0</v>
      </c>
      <c r="Q103" s="309">
        <f t="shared" si="27"/>
        <v>205.00000968766321</v>
      </c>
      <c r="R103" s="309">
        <f t="shared" si="40"/>
        <v>205.00000968766321</v>
      </c>
      <c r="S103" s="309">
        <f t="shared" si="16"/>
        <v>205.00000968766321</v>
      </c>
      <c r="T103" s="331"/>
      <c r="U103" s="332"/>
      <c r="V103" s="333">
        <f t="shared" si="17"/>
        <v>0</v>
      </c>
      <c r="W103" s="334"/>
      <c r="X103" s="333">
        <f>SUM(V103:V108)/($B$93-B102)</f>
        <v>0</v>
      </c>
      <c r="Y103" s="347">
        <f>SUM(D98:D103)+$C$97</f>
        <v>0</v>
      </c>
      <c r="Z103" s="336">
        <f t="shared" si="28"/>
        <v>50.0025336</v>
      </c>
      <c r="AA103" s="337">
        <f t="shared" si="41"/>
        <v>0.76607286622080695</v>
      </c>
      <c r="AB103" s="238">
        <f t="shared" si="29"/>
        <v>205.00002649867523</v>
      </c>
      <c r="AC103" s="336">
        <f t="shared" si="30"/>
        <v>55.582943499999999</v>
      </c>
      <c r="AD103" s="338">
        <f t="shared" si="31"/>
        <v>0.82494527551519659</v>
      </c>
      <c r="AE103" s="238">
        <f t="shared" si="32"/>
        <v>251.03926178108458</v>
      </c>
      <c r="AF103" s="339">
        <f t="shared" si="33"/>
        <v>-100</v>
      </c>
      <c r="AG103" s="340">
        <f t="shared" si="34"/>
        <v>456.03928827975983</v>
      </c>
      <c r="AH103" s="341">
        <f t="shared" si="35"/>
        <v>-205.00002649867523</v>
      </c>
      <c r="AI103" s="341">
        <f t="shared" si="18"/>
        <v>205.00002649867523</v>
      </c>
      <c r="AJ103" s="342">
        <f t="shared" si="36"/>
        <v>-55.047726858805902</v>
      </c>
      <c r="AK103" s="342">
        <f t="shared" si="37"/>
        <v>-44.952273141194105</v>
      </c>
      <c r="AL103" s="150">
        <f t="shared" si="19"/>
        <v>-108.99632632224103</v>
      </c>
      <c r="AM103" s="150">
        <f t="shared" si="20"/>
        <v>-133.47489638964711</v>
      </c>
      <c r="AN103" s="343">
        <f t="shared" si="38"/>
        <v>108.99632632224103</v>
      </c>
      <c r="AO103" s="343">
        <f t="shared" si="38"/>
        <v>133.47489638964711</v>
      </c>
      <c r="AQ103" s="53"/>
      <c r="AR103" s="261">
        <v>-3</v>
      </c>
      <c r="AS103" s="546">
        <f t="shared" si="13"/>
        <v>-76.5</v>
      </c>
      <c r="AT103" s="540">
        <f t="shared" si="15"/>
        <v>-76.5</v>
      </c>
      <c r="AU103" s="548">
        <f t="shared" si="14"/>
        <v>-257.50000972689907</v>
      </c>
      <c r="AV103" s="262">
        <f t="shared" si="10"/>
        <v>257.50000972689907</v>
      </c>
      <c r="AW103" s="262">
        <f t="shared" si="11"/>
        <v>2.5000097268990373</v>
      </c>
      <c r="AX103" s="262" t="b">
        <f t="shared" si="12"/>
        <v>0</v>
      </c>
      <c r="CU103" s="53"/>
    </row>
    <row r="104" spans="2:99" ht="18.75" thickBot="1" x14ac:dyDescent="0.3">
      <c r="B104" s="345">
        <v>8</v>
      </c>
      <c r="C104" s="345"/>
      <c r="D104" s="327"/>
      <c r="E104" s="328"/>
      <c r="F104" s="346"/>
      <c r="G104" s="307">
        <v>304.31020000000001</v>
      </c>
      <c r="H104" s="307">
        <v>68.834131099999993</v>
      </c>
      <c r="I104" s="308">
        <f t="shared" si="39"/>
        <v>68.834131099999993</v>
      </c>
      <c r="J104" s="309">
        <f t="shared" si="21"/>
        <v>34.417065549999997</v>
      </c>
      <c r="K104" s="309">
        <f t="shared" si="22"/>
        <v>0.56521273844618192</v>
      </c>
      <c r="L104" s="309">
        <f t="shared" si="23"/>
        <v>172.00000147910532</v>
      </c>
      <c r="M104" s="309">
        <f t="shared" si="24"/>
        <v>344.00000295821064</v>
      </c>
      <c r="N104" s="309">
        <f>+C97+D98+D99+D100+D101+D102+D103+(D104/2)</f>
        <v>0</v>
      </c>
      <c r="O104" s="309">
        <f t="shared" si="25"/>
        <v>0</v>
      </c>
      <c r="P104" s="309">
        <f t="shared" si="26"/>
        <v>0</v>
      </c>
      <c r="Q104" s="309">
        <f t="shared" si="27"/>
        <v>205.00000968766321</v>
      </c>
      <c r="R104" s="309">
        <f t="shared" si="40"/>
        <v>205.00000968766321</v>
      </c>
      <c r="S104" s="309">
        <f t="shared" si="16"/>
        <v>205.00000968766321</v>
      </c>
      <c r="T104" s="331"/>
      <c r="U104" s="332"/>
      <c r="V104" s="333">
        <f t="shared" si="17"/>
        <v>0</v>
      </c>
      <c r="W104" s="334"/>
      <c r="X104" s="333">
        <f>SUM(V104:V108)/($B$93-B103)</f>
        <v>0</v>
      </c>
      <c r="Y104" s="347">
        <f>SUM(D98:D104)+$C$97</f>
        <v>0</v>
      </c>
      <c r="Z104" s="336">
        <f t="shared" si="28"/>
        <v>50.0025336</v>
      </c>
      <c r="AA104" s="337">
        <f t="shared" si="41"/>
        <v>0.76607286622080695</v>
      </c>
      <c r="AB104" s="238">
        <f t="shared" si="29"/>
        <v>205.00002649867523</v>
      </c>
      <c r="AC104" s="336">
        <f t="shared" si="30"/>
        <v>55.582943499999999</v>
      </c>
      <c r="AD104" s="338">
        <f t="shared" si="31"/>
        <v>0.82494527551519659</v>
      </c>
      <c r="AE104" s="238">
        <f t="shared" si="32"/>
        <v>251.03926178108458</v>
      </c>
      <c r="AF104" s="339">
        <f t="shared" si="33"/>
        <v>-120</v>
      </c>
      <c r="AG104" s="340">
        <f t="shared" si="34"/>
        <v>456.03928827975983</v>
      </c>
      <c r="AH104" s="341">
        <f t="shared" si="35"/>
        <v>-205.00002649867523</v>
      </c>
      <c r="AI104" s="341">
        <f t="shared" si="18"/>
        <v>205.00002649867523</v>
      </c>
      <c r="AJ104" s="342">
        <f t="shared" si="36"/>
        <v>-66.057272230567079</v>
      </c>
      <c r="AK104" s="342">
        <f t="shared" si="37"/>
        <v>-53.942727769432928</v>
      </c>
      <c r="AL104" s="150">
        <f t="shared" si="19"/>
        <v>-90.830271935200855</v>
      </c>
      <c r="AM104" s="150">
        <f t="shared" si="20"/>
        <v>-111.22908032470592</v>
      </c>
      <c r="AN104" s="343">
        <f t="shared" si="38"/>
        <v>90.830271935200855</v>
      </c>
      <c r="AO104" s="343">
        <f t="shared" si="38"/>
        <v>111.22908032470592</v>
      </c>
      <c r="AQ104" s="53"/>
      <c r="AR104" s="261">
        <v>-2</v>
      </c>
      <c r="AS104" s="546">
        <f t="shared" si="13"/>
        <v>-51</v>
      </c>
      <c r="AT104" s="540">
        <f t="shared" si="15"/>
        <v>-51</v>
      </c>
      <c r="AU104" s="548">
        <f t="shared" si="14"/>
        <v>-232.00000972689904</v>
      </c>
      <c r="AV104" s="262">
        <f t="shared" si="10"/>
        <v>232.00000972689904</v>
      </c>
      <c r="AW104" s="262">
        <f t="shared" si="11"/>
        <v>2.5000097268990373</v>
      </c>
      <c r="AX104" s="262" t="b">
        <f t="shared" si="12"/>
        <v>0</v>
      </c>
      <c r="CU104" s="53"/>
    </row>
    <row r="105" spans="2:99" ht="18.75" thickBot="1" x14ac:dyDescent="0.3">
      <c r="B105" s="345">
        <v>9</v>
      </c>
      <c r="C105" s="345"/>
      <c r="D105" s="327"/>
      <c r="E105" s="328"/>
      <c r="F105" s="346"/>
      <c r="G105" s="307">
        <v>304.31020000000001</v>
      </c>
      <c r="H105" s="307">
        <v>68.834131099999993</v>
      </c>
      <c r="I105" s="308">
        <f t="shared" si="39"/>
        <v>68.834131099999993</v>
      </c>
      <c r="J105" s="309">
        <f t="shared" si="21"/>
        <v>34.417065549999997</v>
      </c>
      <c r="K105" s="309">
        <f t="shared" si="22"/>
        <v>0.56521273844618192</v>
      </c>
      <c r="L105" s="309">
        <f t="shared" si="23"/>
        <v>172.00000147910532</v>
      </c>
      <c r="M105" s="309">
        <f t="shared" si="24"/>
        <v>344.00000295821064</v>
      </c>
      <c r="N105" s="309">
        <f>+C97+D98+D99+D100+D101+D102+D103+D104+(D105/2)</f>
        <v>0</v>
      </c>
      <c r="O105" s="309">
        <f t="shared" si="25"/>
        <v>0</v>
      </c>
      <c r="P105" s="309">
        <f t="shared" si="26"/>
        <v>0</v>
      </c>
      <c r="Q105" s="309">
        <f t="shared" si="27"/>
        <v>205.00000968766321</v>
      </c>
      <c r="R105" s="309">
        <f t="shared" si="40"/>
        <v>205.00000968766321</v>
      </c>
      <c r="S105" s="309">
        <f t="shared" si="16"/>
        <v>205.00000968766321</v>
      </c>
      <c r="T105" s="331"/>
      <c r="U105" s="332"/>
      <c r="V105" s="333">
        <f t="shared" si="17"/>
        <v>0</v>
      </c>
      <c r="W105" s="334"/>
      <c r="X105" s="333">
        <f>SUM(V105:V108)/($B$93-B104)</f>
        <v>0</v>
      </c>
      <c r="Y105" s="347">
        <f>SUM(D98:D105)+$C$97</f>
        <v>0</v>
      </c>
      <c r="Z105" s="336">
        <f t="shared" si="28"/>
        <v>50.0025336</v>
      </c>
      <c r="AA105" s="337">
        <f t="shared" si="41"/>
        <v>0.76607286622080695</v>
      </c>
      <c r="AB105" s="238">
        <f t="shared" si="29"/>
        <v>205.00002649867523</v>
      </c>
      <c r="AC105" s="336">
        <f t="shared" si="30"/>
        <v>55.582943499999999</v>
      </c>
      <c r="AD105" s="338">
        <f t="shared" si="31"/>
        <v>0.82494527551519659</v>
      </c>
      <c r="AE105" s="238">
        <f t="shared" si="32"/>
        <v>251.03926178108458</v>
      </c>
      <c r="AF105" s="339">
        <f t="shared" si="33"/>
        <v>-140</v>
      </c>
      <c r="AG105" s="340">
        <f t="shared" si="34"/>
        <v>456.03928827975983</v>
      </c>
      <c r="AH105" s="341">
        <f t="shared" si="35"/>
        <v>-205.00002649867523</v>
      </c>
      <c r="AI105" s="341">
        <f t="shared" si="18"/>
        <v>205.00002649867523</v>
      </c>
      <c r="AJ105" s="342">
        <f t="shared" si="36"/>
        <v>-77.066817602328257</v>
      </c>
      <c r="AK105" s="342">
        <f t="shared" si="37"/>
        <v>-62.933182397671743</v>
      </c>
      <c r="AL105" s="150">
        <f t="shared" si="19"/>
        <v>-77.854518801600733</v>
      </c>
      <c r="AM105" s="150">
        <f t="shared" si="20"/>
        <v>-95.339211706890808</v>
      </c>
      <c r="AN105" s="343">
        <f t="shared" si="38"/>
        <v>77.854518801600733</v>
      </c>
      <c r="AO105" s="343">
        <f t="shared" si="38"/>
        <v>95.339211706890808</v>
      </c>
      <c r="AQ105" s="53"/>
      <c r="AR105" s="261">
        <v>-1</v>
      </c>
      <c r="AS105" s="546">
        <f t="shared" si="13"/>
        <v>-25.5</v>
      </c>
      <c r="AT105" s="540">
        <f t="shared" si="15"/>
        <v>-25.5</v>
      </c>
      <c r="AU105" s="548">
        <f t="shared" si="14"/>
        <v>-206.50000972689904</v>
      </c>
      <c r="AV105" s="262">
        <f t="shared" si="10"/>
        <v>206.50000972689904</v>
      </c>
      <c r="AW105" s="262">
        <f t="shared" si="11"/>
        <v>2.5000097268990373</v>
      </c>
      <c r="AX105" s="262" t="b">
        <f t="shared" si="12"/>
        <v>0</v>
      </c>
      <c r="CU105" s="53"/>
    </row>
    <row r="106" spans="2:99" ht="18.75" thickBot="1" x14ac:dyDescent="0.3">
      <c r="B106" s="345">
        <v>10</v>
      </c>
      <c r="C106" s="345"/>
      <c r="D106" s="327"/>
      <c r="E106" s="328"/>
      <c r="F106" s="346"/>
      <c r="G106" s="307">
        <v>304.31020000000001</v>
      </c>
      <c r="H106" s="307">
        <v>68.834131099999993</v>
      </c>
      <c r="I106" s="308">
        <f t="shared" si="39"/>
        <v>68.834131099999993</v>
      </c>
      <c r="J106" s="309">
        <f t="shared" si="21"/>
        <v>34.417065549999997</v>
      </c>
      <c r="K106" s="309">
        <f t="shared" si="22"/>
        <v>0.56521273844618192</v>
      </c>
      <c r="L106" s="309">
        <f t="shared" si="23"/>
        <v>172.00000147910532</v>
      </c>
      <c r="M106" s="309">
        <f t="shared" si="24"/>
        <v>344.00000295821064</v>
      </c>
      <c r="N106" s="309">
        <f>+C97+D98+D99+D100+D101+D102+D103+D104+D105+(D106/2)</f>
        <v>0</v>
      </c>
      <c r="O106" s="309">
        <f t="shared" si="25"/>
        <v>0</v>
      </c>
      <c r="P106" s="309">
        <f t="shared" si="26"/>
        <v>0</v>
      </c>
      <c r="Q106" s="309">
        <f t="shared" si="27"/>
        <v>205.00000968766321</v>
      </c>
      <c r="R106" s="309">
        <f t="shared" si="40"/>
        <v>205.00000968766321</v>
      </c>
      <c r="S106" s="309">
        <f t="shared" si="16"/>
        <v>205.00000968766321</v>
      </c>
      <c r="T106" s="331"/>
      <c r="U106" s="332"/>
      <c r="V106" s="333">
        <f t="shared" si="17"/>
        <v>0</v>
      </c>
      <c r="W106" s="334"/>
      <c r="X106" s="333">
        <f>SUM(V106:V108)/($B$93-B105)</f>
        <v>0</v>
      </c>
      <c r="Y106" s="347">
        <f>SUM(D98:D106)+$C$97</f>
        <v>0</v>
      </c>
      <c r="Z106" s="336">
        <f t="shared" si="28"/>
        <v>50.0025336</v>
      </c>
      <c r="AA106" s="337">
        <f t="shared" si="41"/>
        <v>0.76607286622080695</v>
      </c>
      <c r="AB106" s="238">
        <f t="shared" si="29"/>
        <v>205.00002649867523</v>
      </c>
      <c r="AC106" s="336">
        <f t="shared" si="30"/>
        <v>55.582943499999999</v>
      </c>
      <c r="AD106" s="338">
        <f t="shared" si="31"/>
        <v>0.82494527551519659</v>
      </c>
      <c r="AE106" s="238">
        <f t="shared" si="32"/>
        <v>251.03926178108458</v>
      </c>
      <c r="AF106" s="339">
        <f t="shared" si="33"/>
        <v>-160</v>
      </c>
      <c r="AG106" s="340">
        <f t="shared" si="34"/>
        <v>456.03928827975983</v>
      </c>
      <c r="AH106" s="341">
        <f t="shared" si="35"/>
        <v>-205.00002649867523</v>
      </c>
      <c r="AI106" s="341">
        <f t="shared" si="18"/>
        <v>205.00002649867523</v>
      </c>
      <c r="AJ106" s="342">
        <f t="shared" si="36"/>
        <v>-88.076362974089449</v>
      </c>
      <c r="AK106" s="342">
        <f t="shared" si="37"/>
        <v>-71.923637025910566</v>
      </c>
      <c r="AL106" s="150">
        <f t="shared" si="19"/>
        <v>-68.122703951400638</v>
      </c>
      <c r="AM106" s="150">
        <f t="shared" si="20"/>
        <v>-83.42181024352945</v>
      </c>
      <c r="AN106" s="343">
        <f t="shared" si="38"/>
        <v>68.122703951400638</v>
      </c>
      <c r="AO106" s="343">
        <f t="shared" si="38"/>
        <v>83.42181024352945</v>
      </c>
      <c r="AQ106" s="53"/>
      <c r="AR106" s="261">
        <v>1</v>
      </c>
      <c r="AS106" s="546">
        <f t="shared" si="13"/>
        <v>0</v>
      </c>
      <c r="AT106" s="540">
        <f t="shared" si="15"/>
        <v>0</v>
      </c>
      <c r="AU106" s="548">
        <f t="shared" si="14"/>
        <v>-181.00000972689904</v>
      </c>
      <c r="AV106" s="262">
        <f t="shared" si="10"/>
        <v>181.00000972689904</v>
      </c>
      <c r="AW106" s="262">
        <f t="shared" si="11"/>
        <v>2.5000097268990373</v>
      </c>
      <c r="AX106" s="262" t="b">
        <f t="shared" si="12"/>
        <v>0</v>
      </c>
      <c r="CU106" s="53"/>
    </row>
    <row r="107" spans="2:99" ht="18.75" thickBot="1" x14ac:dyDescent="0.3">
      <c r="B107" s="345">
        <v>11</v>
      </c>
      <c r="C107" s="345"/>
      <c r="D107" s="327"/>
      <c r="E107" s="328"/>
      <c r="F107" s="346"/>
      <c r="G107" s="307">
        <v>304.31020000000001</v>
      </c>
      <c r="H107" s="307">
        <v>68.834131099999993</v>
      </c>
      <c r="I107" s="308">
        <f t="shared" si="39"/>
        <v>68.834131099999993</v>
      </c>
      <c r="J107" s="309">
        <f t="shared" si="21"/>
        <v>34.417065549999997</v>
      </c>
      <c r="K107" s="309">
        <f t="shared" si="22"/>
        <v>0.56521273844618192</v>
      </c>
      <c r="L107" s="309">
        <f t="shared" si="23"/>
        <v>172.00000147910532</v>
      </c>
      <c r="M107" s="309">
        <f t="shared" si="24"/>
        <v>344.00000295821064</v>
      </c>
      <c r="N107" s="309">
        <f>+C97+D98+D99+D100+D101+D102+D103+D104+D105+D106+(D107/2)</f>
        <v>0</v>
      </c>
      <c r="O107" s="309">
        <f t="shared" si="25"/>
        <v>0</v>
      </c>
      <c r="P107" s="309">
        <f t="shared" si="26"/>
        <v>0</v>
      </c>
      <c r="Q107" s="309">
        <f t="shared" si="27"/>
        <v>205.00000968766321</v>
      </c>
      <c r="R107" s="309">
        <f t="shared" si="40"/>
        <v>205.00000968766321</v>
      </c>
      <c r="S107" s="309">
        <f t="shared" si="16"/>
        <v>205.00000968766321</v>
      </c>
      <c r="T107" s="331"/>
      <c r="U107" s="332"/>
      <c r="V107" s="333">
        <f t="shared" si="17"/>
        <v>0</v>
      </c>
      <c r="W107" s="334"/>
      <c r="X107" s="333">
        <f>SUM(V107:V108)/($B$93-B106)</f>
        <v>0</v>
      </c>
      <c r="Y107" s="347">
        <f>SUM(D98:D107)+$C$97</f>
        <v>0</v>
      </c>
      <c r="Z107" s="336">
        <f t="shared" si="28"/>
        <v>50.0025336</v>
      </c>
      <c r="AA107" s="337">
        <f t="shared" si="41"/>
        <v>0.76607286622080695</v>
      </c>
      <c r="AB107" s="238">
        <f t="shared" si="29"/>
        <v>205.00002649867523</v>
      </c>
      <c r="AC107" s="336">
        <f t="shared" si="30"/>
        <v>55.582943499999999</v>
      </c>
      <c r="AD107" s="338">
        <f t="shared" si="31"/>
        <v>0.82494527551519659</v>
      </c>
      <c r="AE107" s="238">
        <f t="shared" si="32"/>
        <v>251.03926178108458</v>
      </c>
      <c r="AF107" s="339">
        <f t="shared" si="33"/>
        <v>-180</v>
      </c>
      <c r="AG107" s="340">
        <f t="shared" si="34"/>
        <v>456.03928827975983</v>
      </c>
      <c r="AH107" s="341">
        <f t="shared" si="35"/>
        <v>-205.00002649867523</v>
      </c>
      <c r="AI107" s="341">
        <f t="shared" si="18"/>
        <v>205.00002649867523</v>
      </c>
      <c r="AJ107" s="342">
        <f t="shared" si="36"/>
        <v>-99.085908345850626</v>
      </c>
      <c r="AK107" s="342">
        <f t="shared" si="37"/>
        <v>-80.914091654149388</v>
      </c>
      <c r="AL107" s="150">
        <f t="shared" si="19"/>
        <v>-60.553514623467237</v>
      </c>
      <c r="AM107" s="150">
        <f t="shared" si="20"/>
        <v>-74.152720216470627</v>
      </c>
      <c r="AN107" s="343">
        <f t="shared" si="38"/>
        <v>60.553514623467237</v>
      </c>
      <c r="AO107" s="343">
        <f t="shared" si="38"/>
        <v>74.152720216470627</v>
      </c>
      <c r="AQ107" s="53"/>
      <c r="AR107" s="261">
        <v>2</v>
      </c>
      <c r="AS107" s="546">
        <f t="shared" si="13"/>
        <v>25.5</v>
      </c>
      <c r="AT107" s="540">
        <f t="shared" si="15"/>
        <v>25.5</v>
      </c>
      <c r="AU107" s="548">
        <f t="shared" si="14"/>
        <v>-155.50000972689904</v>
      </c>
      <c r="AV107" s="262">
        <f t="shared" si="10"/>
        <v>155.50000972689904</v>
      </c>
      <c r="AW107" s="262">
        <f t="shared" si="11"/>
        <v>2.5000097268990373</v>
      </c>
      <c r="AX107" s="262" t="b">
        <f t="shared" si="12"/>
        <v>0</v>
      </c>
      <c r="CU107" s="53"/>
    </row>
    <row r="108" spans="2:99" ht="18.75" thickBot="1" x14ac:dyDescent="0.3">
      <c r="B108" s="345">
        <v>12</v>
      </c>
      <c r="C108" s="345"/>
      <c r="D108" s="327"/>
      <c r="E108" s="328"/>
      <c r="F108" s="346"/>
      <c r="G108" s="307">
        <v>304.31020000000001</v>
      </c>
      <c r="H108" s="307">
        <v>68.834131099999993</v>
      </c>
      <c r="I108" s="308">
        <f t="shared" si="39"/>
        <v>68.834131099999993</v>
      </c>
      <c r="J108" s="309">
        <f t="shared" si="21"/>
        <v>34.417065549999997</v>
      </c>
      <c r="K108" s="309">
        <f t="shared" si="22"/>
        <v>0.56521273844618192</v>
      </c>
      <c r="L108" s="309">
        <f t="shared" si="23"/>
        <v>172.00000147910532</v>
      </c>
      <c r="M108" s="309">
        <f t="shared" si="24"/>
        <v>344.00000295821064</v>
      </c>
      <c r="N108" s="309">
        <f>+C97+D98+D99+D100+D101+D102+D103+D104+D105+D106+D107+(D108/2)</f>
        <v>0</v>
      </c>
      <c r="O108" s="309">
        <f t="shared" si="25"/>
        <v>0</v>
      </c>
      <c r="P108" s="309">
        <f t="shared" si="26"/>
        <v>0</v>
      </c>
      <c r="Q108" s="309">
        <f t="shared" si="27"/>
        <v>205.00000968766321</v>
      </c>
      <c r="R108" s="309">
        <f t="shared" si="40"/>
        <v>205.00000968766321</v>
      </c>
      <c r="S108" s="309">
        <f t="shared" si="16"/>
        <v>205.00000968766321</v>
      </c>
      <c r="T108" s="331"/>
      <c r="U108" s="332"/>
      <c r="V108" s="333">
        <f t="shared" si="17"/>
        <v>0</v>
      </c>
      <c r="W108" s="334"/>
      <c r="X108" s="333">
        <f>SUM(V108)/($B$93-B107)</f>
        <v>0</v>
      </c>
      <c r="Y108" s="347">
        <f>SUM(D98:D108)+$C$97</f>
        <v>0</v>
      </c>
      <c r="Z108" s="336">
        <f t="shared" si="28"/>
        <v>50.0025336</v>
      </c>
      <c r="AA108" s="337">
        <f t="shared" si="41"/>
        <v>0.76607286622080695</v>
      </c>
      <c r="AB108" s="238">
        <f t="shared" si="29"/>
        <v>205.00002649867523</v>
      </c>
      <c r="AC108" s="336">
        <f t="shared" si="30"/>
        <v>55.582943499999999</v>
      </c>
      <c r="AD108" s="338">
        <f t="shared" si="31"/>
        <v>0.82494527551519659</v>
      </c>
      <c r="AE108" s="238">
        <f t="shared" si="32"/>
        <v>251.03926178108458</v>
      </c>
      <c r="AF108" s="339">
        <f t="shared" si="33"/>
        <v>-200</v>
      </c>
      <c r="AG108" s="340">
        <f t="shared" si="34"/>
        <v>456.03928827975983</v>
      </c>
      <c r="AH108" s="341">
        <f t="shared" si="35"/>
        <v>-205.00002649867523</v>
      </c>
      <c r="AI108" s="341">
        <f t="shared" si="18"/>
        <v>205.00002649867523</v>
      </c>
      <c r="AJ108" s="342">
        <f t="shared" si="36"/>
        <v>-110.0954537176118</v>
      </c>
      <c r="AK108" s="342">
        <f t="shared" si="37"/>
        <v>-89.90454628238821</v>
      </c>
      <c r="AL108" s="150">
        <f t="shared" si="19"/>
        <v>-54.498163161120516</v>
      </c>
      <c r="AM108" s="150">
        <f t="shared" si="20"/>
        <v>-66.737448194823557</v>
      </c>
      <c r="AN108" s="343">
        <f t="shared" si="38"/>
        <v>54.498163161120516</v>
      </c>
      <c r="AO108" s="343">
        <f t="shared" si="38"/>
        <v>66.737448194823557</v>
      </c>
      <c r="AQ108" s="53"/>
      <c r="AR108" s="261">
        <v>3</v>
      </c>
      <c r="AS108" s="546">
        <f t="shared" si="13"/>
        <v>51</v>
      </c>
      <c r="AT108" s="540">
        <f t="shared" si="15"/>
        <v>51</v>
      </c>
      <c r="AU108" s="548">
        <f t="shared" si="14"/>
        <v>-130.00000972689904</v>
      </c>
      <c r="AV108" s="262">
        <f t="shared" si="10"/>
        <v>130.00000972689904</v>
      </c>
      <c r="AW108" s="262">
        <f t="shared" si="11"/>
        <v>2.5000097268990373</v>
      </c>
      <c r="AX108" s="262" t="b">
        <f t="shared" si="12"/>
        <v>0</v>
      </c>
      <c r="CU108" s="53"/>
    </row>
    <row r="109" spans="2:99" ht="18" x14ac:dyDescent="0.25">
      <c r="G109" s="14"/>
      <c r="H109" s="14"/>
      <c r="I109" s="14"/>
      <c r="AQ109" s="53"/>
      <c r="AR109" s="261">
        <v>4</v>
      </c>
      <c r="AS109" s="546">
        <f t="shared" si="13"/>
        <v>76.5</v>
      </c>
      <c r="AT109" s="540">
        <f t="shared" si="15"/>
        <v>76.5</v>
      </c>
      <c r="AU109" s="548">
        <f t="shared" si="14"/>
        <v>-104.50000972689904</v>
      </c>
      <c r="AV109" s="262">
        <f t="shared" si="10"/>
        <v>104.50000972689904</v>
      </c>
      <c r="AW109" s="262">
        <f t="shared" si="11"/>
        <v>2.5000097268990373</v>
      </c>
      <c r="AX109" s="262" t="b">
        <f t="shared" si="12"/>
        <v>0</v>
      </c>
      <c r="CU109" s="53"/>
    </row>
    <row r="110" spans="2:99" ht="18" x14ac:dyDescent="0.25">
      <c r="G110" s="14"/>
      <c r="H110" s="14"/>
      <c r="I110" s="14"/>
      <c r="AQ110" s="53"/>
      <c r="AR110" s="261">
        <v>5</v>
      </c>
      <c r="AS110" s="546">
        <f t="shared" si="13"/>
        <v>102</v>
      </c>
      <c r="AT110" s="540">
        <f t="shared" si="15"/>
        <v>102</v>
      </c>
      <c r="AU110" s="548">
        <f t="shared" si="14"/>
        <v>-79.000009726899037</v>
      </c>
      <c r="AV110" s="262">
        <f t="shared" si="10"/>
        <v>79.000009726899037</v>
      </c>
      <c r="AW110" s="262">
        <f t="shared" si="11"/>
        <v>2.5000097268990373</v>
      </c>
      <c r="AX110" s="262" t="b">
        <f t="shared" si="12"/>
        <v>0</v>
      </c>
      <c r="CU110" s="53"/>
    </row>
    <row r="111" spans="2:99" ht="18" x14ac:dyDescent="0.25">
      <c r="G111" s="14"/>
      <c r="H111" s="14"/>
      <c r="I111" s="14"/>
      <c r="AQ111" s="53"/>
      <c r="AR111" s="261">
        <v>6</v>
      </c>
      <c r="AS111" s="546">
        <f t="shared" si="13"/>
        <v>127.5</v>
      </c>
      <c r="AT111" s="540">
        <f t="shared" si="15"/>
        <v>127.5</v>
      </c>
      <c r="AU111" s="548">
        <f t="shared" si="14"/>
        <v>-53.500009726899037</v>
      </c>
      <c r="AV111" s="262">
        <f t="shared" si="10"/>
        <v>53.500009726899037</v>
      </c>
      <c r="AW111" s="262">
        <f t="shared" si="11"/>
        <v>2.5000097268990373</v>
      </c>
      <c r="AX111" s="262" t="b">
        <f t="shared" si="12"/>
        <v>0</v>
      </c>
      <c r="CU111" s="53"/>
    </row>
    <row r="112" spans="2:99" ht="18" x14ac:dyDescent="0.25">
      <c r="B112" s="242"/>
      <c r="AQ112" s="53"/>
      <c r="AR112" s="261">
        <v>7</v>
      </c>
      <c r="AS112" s="546">
        <f t="shared" si="13"/>
        <v>153</v>
      </c>
      <c r="AT112" s="540">
        <f t="shared" si="15"/>
        <v>153</v>
      </c>
      <c r="AU112" s="548">
        <f t="shared" si="14"/>
        <v>-28.000009726899037</v>
      </c>
      <c r="AV112" s="262">
        <f t="shared" si="10"/>
        <v>28.000009726899037</v>
      </c>
      <c r="AW112" s="262">
        <f t="shared" si="11"/>
        <v>2.5000097268990373</v>
      </c>
      <c r="AX112" s="262" t="b">
        <f t="shared" si="12"/>
        <v>0</v>
      </c>
      <c r="CU112" s="53"/>
    </row>
    <row r="113" spans="43:99" ht="18" x14ac:dyDescent="0.25">
      <c r="AQ113" s="53"/>
      <c r="AR113" s="261">
        <v>8</v>
      </c>
      <c r="AS113" s="546">
        <f t="shared" si="13"/>
        <v>178.5</v>
      </c>
      <c r="AT113" s="540">
        <f t="shared" si="15"/>
        <v>178.5</v>
      </c>
      <c r="AU113" s="548">
        <f t="shared" si="14"/>
        <v>-2.5000097268990373</v>
      </c>
      <c r="AV113" s="262">
        <f t="shared" si="10"/>
        <v>2.5000097268990373</v>
      </c>
      <c r="AW113" s="262">
        <f t="shared" si="11"/>
        <v>2.5000097268990373</v>
      </c>
      <c r="AX113" s="262">
        <f t="shared" si="12"/>
        <v>8</v>
      </c>
      <c r="CU113" s="53"/>
    </row>
    <row r="114" spans="43:99" ht="18" x14ac:dyDescent="0.25">
      <c r="AQ114" s="53"/>
      <c r="AR114" s="261">
        <v>81</v>
      </c>
      <c r="AS114" s="546">
        <f t="shared" si="13"/>
        <v>204</v>
      </c>
      <c r="AT114" s="540">
        <f t="shared" si="15"/>
        <v>204</v>
      </c>
      <c r="AU114" s="548">
        <f t="shared" si="14"/>
        <v>22.999990273100963</v>
      </c>
      <c r="AV114" s="262">
        <f t="shared" si="10"/>
        <v>22.999990273100963</v>
      </c>
      <c r="AW114" s="262">
        <f t="shared" si="11"/>
        <v>2.5000097268990373</v>
      </c>
      <c r="AX114" s="262" t="b">
        <f t="shared" si="12"/>
        <v>0</v>
      </c>
      <c r="CU114" s="53"/>
    </row>
    <row r="115" spans="43:99" ht="18" x14ac:dyDescent="0.25">
      <c r="AQ115" s="53"/>
      <c r="AR115" s="261">
        <v>82</v>
      </c>
      <c r="AS115" s="546">
        <f t="shared" si="13"/>
        <v>229.5</v>
      </c>
      <c r="AT115" s="540">
        <f t="shared" si="15"/>
        <v>229.5</v>
      </c>
      <c r="AU115" s="548">
        <f t="shared" si="14"/>
        <v>48.499990273100963</v>
      </c>
      <c r="AV115" s="262">
        <f t="shared" si="10"/>
        <v>48.499990273100963</v>
      </c>
      <c r="AW115" s="262">
        <f t="shared" si="11"/>
        <v>2.5000097268990373</v>
      </c>
      <c r="AX115" s="262" t="b">
        <f t="shared" si="12"/>
        <v>0</v>
      </c>
      <c r="CU115" s="53"/>
    </row>
    <row r="116" spans="43:99" ht="18" x14ac:dyDescent="0.25">
      <c r="AQ116" s="53"/>
      <c r="AR116" s="261">
        <v>83</v>
      </c>
      <c r="AS116" s="546">
        <f t="shared" si="13"/>
        <v>255</v>
      </c>
      <c r="AT116" s="540">
        <f t="shared" si="15"/>
        <v>255</v>
      </c>
      <c r="AU116" s="548">
        <f t="shared" si="14"/>
        <v>73.999990273100963</v>
      </c>
      <c r="AV116" s="262">
        <f t="shared" si="10"/>
        <v>73.999990273100963</v>
      </c>
      <c r="AW116" s="262">
        <f t="shared" si="11"/>
        <v>2.5000097268990373</v>
      </c>
      <c r="AX116" s="262" t="b">
        <f t="shared" si="12"/>
        <v>0</v>
      </c>
      <c r="CU116" s="53"/>
    </row>
    <row r="117" spans="43:99" ht="18" x14ac:dyDescent="0.25">
      <c r="AQ117" s="53"/>
      <c r="AR117" s="261">
        <v>9</v>
      </c>
      <c r="AS117" s="546">
        <f t="shared" si="13"/>
        <v>280.5</v>
      </c>
      <c r="AT117" s="540">
        <f t="shared" si="15"/>
        <v>280.5</v>
      </c>
      <c r="AU117" s="548">
        <f t="shared" si="14"/>
        <v>99.499990273100963</v>
      </c>
      <c r="AV117" s="262">
        <f t="shared" si="10"/>
        <v>99.499990273100963</v>
      </c>
      <c r="AW117" s="262">
        <f t="shared" si="11"/>
        <v>2.5000097268990373</v>
      </c>
      <c r="AX117" s="262" t="b">
        <f t="shared" si="12"/>
        <v>0</v>
      </c>
      <c r="CU117" s="53"/>
    </row>
    <row r="118" spans="43:99" ht="18" x14ac:dyDescent="0.25">
      <c r="AQ118" s="53"/>
      <c r="AR118" s="261">
        <v>10</v>
      </c>
      <c r="AS118" s="546">
        <f t="shared" si="13"/>
        <v>306</v>
      </c>
      <c r="AT118" s="540">
        <f t="shared" si="15"/>
        <v>306</v>
      </c>
      <c r="AU118" s="548">
        <f t="shared" si="14"/>
        <v>124.99999027310096</v>
      </c>
      <c r="AV118" s="262">
        <f t="shared" si="10"/>
        <v>124.99999027310096</v>
      </c>
      <c r="AW118" s="262">
        <f t="shared" si="11"/>
        <v>2.5000097268990373</v>
      </c>
      <c r="AX118" s="262" t="b">
        <f t="shared" si="12"/>
        <v>0</v>
      </c>
      <c r="CU118" s="53"/>
    </row>
    <row r="119" spans="43:99" ht="18" x14ac:dyDescent="0.25">
      <c r="AQ119" s="53"/>
      <c r="AR119" s="261">
        <v>11</v>
      </c>
      <c r="AS119" s="546">
        <f t="shared" si="13"/>
        <v>331.5</v>
      </c>
      <c r="AT119" s="540">
        <f t="shared" si="15"/>
        <v>331.5</v>
      </c>
      <c r="AU119" s="548">
        <f t="shared" si="14"/>
        <v>150.49999027310096</v>
      </c>
      <c r="AV119" s="262">
        <f t="shared" si="10"/>
        <v>150.49999027310096</v>
      </c>
      <c r="AW119" s="262">
        <f t="shared" si="11"/>
        <v>2.5000097268990373</v>
      </c>
      <c r="AX119" s="262" t="b">
        <f t="shared" si="12"/>
        <v>0</v>
      </c>
      <c r="CU119" s="53"/>
    </row>
    <row r="120" spans="43:99" ht="18" x14ac:dyDescent="0.25">
      <c r="AQ120" s="53"/>
      <c r="AR120" s="261">
        <v>12</v>
      </c>
      <c r="AS120" s="546">
        <f t="shared" si="13"/>
        <v>357</v>
      </c>
      <c r="AT120" s="540">
        <f t="shared" si="15"/>
        <v>357</v>
      </c>
      <c r="AU120" s="548">
        <f t="shared" si="14"/>
        <v>175.99999027310096</v>
      </c>
      <c r="AV120" s="262">
        <f t="shared" si="10"/>
        <v>175.99999027310096</v>
      </c>
      <c r="AW120" s="262">
        <f t="shared" si="11"/>
        <v>2.5000097268990373</v>
      </c>
      <c r="AX120" s="262" t="b">
        <f t="shared" si="12"/>
        <v>0</v>
      </c>
      <c r="CU120" s="53"/>
    </row>
    <row r="121" spans="43:99" ht="18" x14ac:dyDescent="0.25">
      <c r="AQ121" s="53"/>
      <c r="AR121" s="261">
        <v>13</v>
      </c>
      <c r="AS121" s="546">
        <f t="shared" si="13"/>
        <v>382.5</v>
      </c>
      <c r="AT121" s="540">
        <f t="shared" si="15"/>
        <v>382.5</v>
      </c>
      <c r="AU121" s="548">
        <f t="shared" si="14"/>
        <v>201.49999027310096</v>
      </c>
      <c r="AV121" s="262">
        <f t="shared" si="10"/>
        <v>201.49999027310096</v>
      </c>
      <c r="AW121" s="262">
        <f t="shared" si="11"/>
        <v>2.5000097268990373</v>
      </c>
      <c r="AX121" s="262" t="b">
        <f t="shared" si="12"/>
        <v>0</v>
      </c>
      <c r="CU121" s="53"/>
    </row>
    <row r="122" spans="43:99" ht="18" x14ac:dyDescent="0.25">
      <c r="AQ122" s="53"/>
      <c r="AR122" s="261">
        <v>14</v>
      </c>
      <c r="AS122" s="546">
        <f t="shared" si="13"/>
        <v>408</v>
      </c>
      <c r="AT122" s="540">
        <f t="shared" si="15"/>
        <v>408</v>
      </c>
      <c r="AU122" s="548">
        <f t="shared" si="14"/>
        <v>226.99999027310096</v>
      </c>
      <c r="AV122" s="262">
        <f t="shared" si="10"/>
        <v>226.99999027310096</v>
      </c>
      <c r="AW122" s="262">
        <f t="shared" si="11"/>
        <v>2.5000097268990373</v>
      </c>
      <c r="AX122" s="262" t="b">
        <f t="shared" si="12"/>
        <v>0</v>
      </c>
      <c r="CU122" s="53"/>
    </row>
    <row r="123" spans="43:99" ht="18" x14ac:dyDescent="0.25">
      <c r="AQ123" s="53"/>
      <c r="AR123" s="261">
        <v>15</v>
      </c>
      <c r="AS123" s="546">
        <f t="shared" si="13"/>
        <v>433.5</v>
      </c>
      <c r="AT123" s="540">
        <f t="shared" si="15"/>
        <v>433.5</v>
      </c>
      <c r="AU123" s="548">
        <f t="shared" si="14"/>
        <v>252.49999027310096</v>
      </c>
      <c r="AV123" s="262">
        <f t="shared" si="10"/>
        <v>252.49999027310096</v>
      </c>
      <c r="AW123" s="262">
        <f t="shared" si="11"/>
        <v>2.5000097268990373</v>
      </c>
      <c r="AX123" s="262" t="b">
        <f t="shared" si="12"/>
        <v>0</v>
      </c>
      <c r="CU123" s="53"/>
    </row>
    <row r="124" spans="43:99" ht="18" x14ac:dyDescent="0.25">
      <c r="AQ124" s="53"/>
      <c r="AR124" s="261">
        <v>16</v>
      </c>
      <c r="AS124" s="546">
        <f t="shared" si="13"/>
        <v>459</v>
      </c>
      <c r="AT124" s="540">
        <f t="shared" si="15"/>
        <v>459</v>
      </c>
      <c r="AU124" s="548">
        <f t="shared" si="14"/>
        <v>277.99999027310093</v>
      </c>
      <c r="AV124" s="262">
        <f t="shared" si="10"/>
        <v>277.99999027310093</v>
      </c>
      <c r="AW124" s="262">
        <f t="shared" si="11"/>
        <v>2.5000097268990373</v>
      </c>
      <c r="AX124" s="262" t="b">
        <f t="shared" si="12"/>
        <v>0</v>
      </c>
      <c r="CU124" s="53"/>
    </row>
    <row r="125" spans="43:99" ht="18" x14ac:dyDescent="0.25">
      <c r="AQ125" s="53"/>
      <c r="AR125" s="261">
        <v>17</v>
      </c>
      <c r="AS125" s="546">
        <f t="shared" si="13"/>
        <v>484.5</v>
      </c>
      <c r="AT125" s="540">
        <f t="shared" si="15"/>
        <v>484.5</v>
      </c>
      <c r="AU125" s="548">
        <f t="shared" si="14"/>
        <v>303.49999027310093</v>
      </c>
      <c r="AV125" s="262">
        <f t="shared" si="10"/>
        <v>303.49999027310093</v>
      </c>
      <c r="AW125" s="262">
        <f t="shared" si="11"/>
        <v>2.5000097268990373</v>
      </c>
      <c r="AX125" s="262" t="b">
        <f t="shared" si="12"/>
        <v>0</v>
      </c>
      <c r="CU125" s="53"/>
    </row>
    <row r="126" spans="43:99" ht="18" x14ac:dyDescent="0.25">
      <c r="AQ126" s="53"/>
      <c r="AR126" s="261">
        <v>18</v>
      </c>
      <c r="AS126" s="546">
        <f t="shared" si="13"/>
        <v>510</v>
      </c>
      <c r="AT126" s="540">
        <f t="shared" si="15"/>
        <v>510</v>
      </c>
      <c r="AU126" s="548">
        <f t="shared" si="14"/>
        <v>328.99999027310093</v>
      </c>
      <c r="AV126" s="262">
        <f t="shared" si="10"/>
        <v>328.99999027310093</v>
      </c>
      <c r="AW126" s="262">
        <f t="shared" si="11"/>
        <v>2.5000097268990373</v>
      </c>
      <c r="AX126" s="262" t="b">
        <f t="shared" si="12"/>
        <v>0</v>
      </c>
      <c r="CU126" s="53"/>
    </row>
    <row r="127" spans="43:99" ht="18" x14ac:dyDescent="0.25">
      <c r="AQ127" s="53"/>
      <c r="AR127" s="261">
        <v>19</v>
      </c>
      <c r="AS127" s="546">
        <f t="shared" si="13"/>
        <v>535.5</v>
      </c>
      <c r="AT127" s="540">
        <f t="shared" si="15"/>
        <v>535.5</v>
      </c>
      <c r="AU127" s="548">
        <f t="shared" si="14"/>
        <v>354.49999027310093</v>
      </c>
      <c r="AV127" s="262">
        <f t="shared" si="10"/>
        <v>354.49999027310093</v>
      </c>
      <c r="AW127" s="262">
        <f t="shared" si="11"/>
        <v>2.5000097268990373</v>
      </c>
      <c r="AX127" s="262" t="b">
        <f t="shared" si="12"/>
        <v>0</v>
      </c>
      <c r="CU127" s="53"/>
    </row>
    <row r="128" spans="43:99" ht="18" x14ac:dyDescent="0.25">
      <c r="AQ128" s="86"/>
      <c r="AR128" s="261">
        <v>20</v>
      </c>
      <c r="AS128" s="546">
        <f t="shared" si="13"/>
        <v>561</v>
      </c>
      <c r="AT128" s="540">
        <f t="shared" si="15"/>
        <v>561</v>
      </c>
      <c r="AU128" s="548">
        <f t="shared" si="14"/>
        <v>379.99999027310093</v>
      </c>
      <c r="AV128" s="262">
        <f t="shared" si="10"/>
        <v>379.99999027310093</v>
      </c>
      <c r="AW128" s="262">
        <f t="shared" si="11"/>
        <v>2.5000097268990373</v>
      </c>
      <c r="AX128" s="262" t="b">
        <f t="shared" si="12"/>
        <v>0</v>
      </c>
    </row>
    <row r="129" spans="42:99" ht="18" x14ac:dyDescent="0.25">
      <c r="AQ129" s="86"/>
      <c r="AR129" s="261">
        <v>21</v>
      </c>
      <c r="AS129" s="546">
        <f t="shared" si="13"/>
        <v>586.5</v>
      </c>
      <c r="AT129" s="540">
        <f t="shared" si="15"/>
        <v>586.5</v>
      </c>
      <c r="AU129" s="548">
        <f t="shared" si="14"/>
        <v>405.49999027310093</v>
      </c>
      <c r="AV129" s="262">
        <f t="shared" si="10"/>
        <v>405.49999027310093</v>
      </c>
      <c r="AW129" s="262">
        <f t="shared" si="11"/>
        <v>2.5000097268990373</v>
      </c>
      <c r="AX129" s="262" t="b">
        <f t="shared" si="12"/>
        <v>0</v>
      </c>
      <c r="CU129" s="186"/>
    </row>
    <row r="130" spans="42:99" ht="18" x14ac:dyDescent="0.25">
      <c r="AQ130" s="86"/>
      <c r="AR130" s="261">
        <v>22</v>
      </c>
      <c r="AS130" s="546">
        <f t="shared" si="13"/>
        <v>612</v>
      </c>
      <c r="AT130" s="540">
        <f t="shared" si="15"/>
        <v>612</v>
      </c>
      <c r="AU130" s="548">
        <f t="shared" si="14"/>
        <v>430.99999027310093</v>
      </c>
      <c r="AV130" s="262">
        <f t="shared" si="10"/>
        <v>430.99999027310093</v>
      </c>
      <c r="AW130" s="262">
        <f t="shared" si="11"/>
        <v>2.5000097268990373</v>
      </c>
      <c r="AX130" s="262" t="b">
        <f t="shared" si="12"/>
        <v>0</v>
      </c>
      <c r="CU130" s="86"/>
    </row>
    <row r="131" spans="42:99" ht="18" x14ac:dyDescent="0.25">
      <c r="AQ131" s="187"/>
      <c r="AR131" s="261">
        <v>23</v>
      </c>
      <c r="AS131" s="546">
        <f t="shared" si="13"/>
        <v>637.5</v>
      </c>
      <c r="AT131" s="540">
        <f t="shared" si="15"/>
        <v>637.5</v>
      </c>
      <c r="AU131" s="548">
        <f t="shared" si="14"/>
        <v>456.49999027310093</v>
      </c>
      <c r="AV131" s="262">
        <f t="shared" si="10"/>
        <v>456.49999027310093</v>
      </c>
      <c r="AW131" s="262">
        <f t="shared" si="11"/>
        <v>2.5000097268990373</v>
      </c>
      <c r="AX131" s="262" t="b">
        <f t="shared" si="12"/>
        <v>0</v>
      </c>
      <c r="CU131" s="187"/>
    </row>
    <row r="132" spans="42:99" ht="18" x14ac:dyDescent="0.25">
      <c r="AQ132" s="114"/>
      <c r="AR132" s="261">
        <v>24</v>
      </c>
      <c r="AS132" s="546">
        <f t="shared" si="13"/>
        <v>663</v>
      </c>
      <c r="AT132" s="540">
        <f t="shared" si="15"/>
        <v>663</v>
      </c>
      <c r="AU132" s="548">
        <f t="shared" si="14"/>
        <v>481.99999027310093</v>
      </c>
      <c r="AV132" s="262">
        <f t="shared" si="10"/>
        <v>481.99999027310093</v>
      </c>
      <c r="AW132" s="262">
        <f t="shared" si="11"/>
        <v>2.5000097268990373</v>
      </c>
      <c r="AX132" s="262" t="b">
        <f t="shared" si="12"/>
        <v>0</v>
      </c>
      <c r="CU132" s="114"/>
    </row>
    <row r="133" spans="42:99" ht="18" x14ac:dyDescent="0.25">
      <c r="AQ133" s="114"/>
      <c r="AR133" s="261">
        <v>25</v>
      </c>
      <c r="AS133" s="546">
        <f t="shared" si="13"/>
        <v>688.5</v>
      </c>
      <c r="AT133" s="540">
        <f t="shared" si="15"/>
        <v>688.5</v>
      </c>
      <c r="AU133" s="548">
        <f t="shared" si="14"/>
        <v>507.49999027310093</v>
      </c>
      <c r="AV133" s="262">
        <f t="shared" si="10"/>
        <v>507.49999027310093</v>
      </c>
      <c r="AW133" s="262">
        <f t="shared" si="11"/>
        <v>2.5000097268990373</v>
      </c>
      <c r="AX133" s="262" t="b">
        <f t="shared" si="12"/>
        <v>0</v>
      </c>
      <c r="CU133" s="114"/>
    </row>
    <row r="134" spans="42:99" ht="18" x14ac:dyDescent="0.25">
      <c r="AP134" s="16"/>
      <c r="AQ134" s="16"/>
      <c r="AR134" s="261">
        <v>26</v>
      </c>
      <c r="AS134" s="546">
        <f t="shared" si="13"/>
        <v>714</v>
      </c>
      <c r="AT134" s="540">
        <f t="shared" si="15"/>
        <v>714</v>
      </c>
      <c r="AU134" s="548">
        <f t="shared" si="14"/>
        <v>532.99999027310093</v>
      </c>
      <c r="AV134" s="262">
        <f t="shared" si="10"/>
        <v>532.99999027310093</v>
      </c>
      <c r="AW134" s="262">
        <f t="shared" si="11"/>
        <v>2.5000097268990373</v>
      </c>
      <c r="AX134" s="262" t="b">
        <f t="shared" si="12"/>
        <v>0</v>
      </c>
      <c r="CU134" s="16"/>
    </row>
    <row r="135" spans="42:99" ht="18" x14ac:dyDescent="0.25">
      <c r="AP135" s="16"/>
      <c r="AQ135" s="76"/>
      <c r="AR135" s="261">
        <v>27</v>
      </c>
      <c r="AS135" s="546">
        <f t="shared" si="13"/>
        <v>739.5</v>
      </c>
      <c r="AT135" s="540">
        <f t="shared" si="15"/>
        <v>739.5</v>
      </c>
      <c r="AU135" s="548">
        <f t="shared" si="14"/>
        <v>558.49999027310093</v>
      </c>
      <c r="AV135" s="262">
        <f t="shared" si="10"/>
        <v>558.49999027310093</v>
      </c>
      <c r="AW135" s="262">
        <f t="shared" si="11"/>
        <v>2.5000097268990373</v>
      </c>
      <c r="AX135" s="262" t="b">
        <f t="shared" si="12"/>
        <v>0</v>
      </c>
      <c r="CU135" s="16"/>
    </row>
    <row r="136" spans="42:99" ht="19.5" x14ac:dyDescent="0.4">
      <c r="AP136" s="16"/>
      <c r="AQ136" s="348"/>
      <c r="AR136" s="349"/>
      <c r="AS136" s="124"/>
      <c r="AT136" s="124"/>
      <c r="AU136" s="124"/>
      <c r="AV136" s="124"/>
      <c r="AW136" s="124"/>
      <c r="CU136" s="124"/>
    </row>
    <row r="137" spans="42:99" ht="19.5" x14ac:dyDescent="0.4">
      <c r="AP137" s="16"/>
      <c r="AQ137" s="348"/>
      <c r="AR137" s="349"/>
      <c r="AS137" s="124"/>
      <c r="AT137" s="124"/>
      <c r="AU137" s="124"/>
      <c r="AV137" s="124"/>
      <c r="AW137" s="124"/>
      <c r="CU137" s="124"/>
    </row>
    <row r="138" spans="42:99" ht="19.5" x14ac:dyDescent="0.4">
      <c r="AP138" s="16"/>
      <c r="AQ138" s="348"/>
      <c r="AR138" s="349"/>
      <c r="AS138" s="124"/>
      <c r="AT138" s="124"/>
      <c r="AU138" s="124"/>
      <c r="AV138" s="124"/>
      <c r="AW138" s="124"/>
      <c r="CU138" s="124"/>
    </row>
    <row r="139" spans="42:99" ht="19.5" x14ac:dyDescent="0.4">
      <c r="AP139" s="16"/>
      <c r="AQ139" s="348"/>
      <c r="AR139" s="349"/>
      <c r="AS139" s="124"/>
      <c r="AT139" s="124"/>
      <c r="AU139" s="124"/>
      <c r="AV139" s="124"/>
      <c r="AW139" s="124"/>
      <c r="CU139" s="124"/>
    </row>
    <row r="140" spans="42:99" ht="19.5" x14ac:dyDescent="0.4">
      <c r="AP140" s="16"/>
      <c r="AQ140" s="348"/>
      <c r="AR140" s="349"/>
      <c r="AS140" s="124"/>
      <c r="AT140" s="124"/>
      <c r="AU140" s="124"/>
      <c r="AV140" s="124"/>
      <c r="AW140" s="124"/>
      <c r="CU140" s="124"/>
    </row>
    <row r="141" spans="42:99" ht="19.5" x14ac:dyDescent="0.4">
      <c r="AP141" s="16"/>
      <c r="AQ141" s="348"/>
      <c r="AR141" s="349"/>
      <c r="AS141" s="124"/>
      <c r="AT141" s="124"/>
      <c r="AU141" s="124"/>
      <c r="AV141" s="124"/>
      <c r="AW141" s="124"/>
      <c r="CU141" s="124"/>
    </row>
    <row r="142" spans="42:99" ht="19.5" x14ac:dyDescent="0.4">
      <c r="AP142" s="16"/>
      <c r="AQ142" s="348"/>
      <c r="AR142" s="349"/>
      <c r="AS142" s="124"/>
      <c r="AT142" s="124"/>
      <c r="AU142" s="124"/>
      <c r="AV142" s="124"/>
      <c r="AW142" s="124"/>
      <c r="CU142" s="124"/>
    </row>
    <row r="143" spans="42:99" ht="19.5" x14ac:dyDescent="0.4">
      <c r="AP143" s="16"/>
      <c r="AQ143" s="348"/>
      <c r="AR143" s="349"/>
      <c r="AS143" s="124"/>
      <c r="AT143" s="124"/>
      <c r="AU143" s="124"/>
      <c r="AV143" s="124"/>
      <c r="AW143" s="124"/>
      <c r="CU143" s="124"/>
    </row>
    <row r="144" spans="42:99" ht="19.5" x14ac:dyDescent="0.4">
      <c r="AP144" s="16"/>
      <c r="AQ144" s="348"/>
      <c r="AR144" s="349"/>
      <c r="AS144" s="124"/>
      <c r="AT144" s="124"/>
      <c r="AU144" s="124"/>
      <c r="AV144" s="124"/>
      <c r="AW144" s="124"/>
      <c r="CU144" s="124"/>
    </row>
    <row r="145" spans="42:99" ht="19.5" x14ac:dyDescent="0.4">
      <c r="AP145" s="16"/>
      <c r="AQ145" s="348"/>
      <c r="AR145" s="349"/>
      <c r="AS145" s="124"/>
      <c r="AT145" s="124"/>
      <c r="AU145" s="124"/>
      <c r="AV145" s="124"/>
      <c r="AW145" s="124"/>
      <c r="CU145" s="124"/>
    </row>
    <row r="146" spans="42:99" ht="19.5" x14ac:dyDescent="0.4">
      <c r="AP146" s="16"/>
      <c r="AQ146" s="348"/>
      <c r="AR146" s="349"/>
      <c r="AS146" s="124"/>
      <c r="AT146" s="124"/>
      <c r="AU146" s="124"/>
      <c r="AV146" s="124"/>
      <c r="AW146" s="124"/>
      <c r="CU146" s="124"/>
    </row>
    <row r="147" spans="42:99" ht="19.5" x14ac:dyDescent="0.4">
      <c r="AP147" s="16"/>
      <c r="AQ147" s="348"/>
      <c r="AR147" s="349"/>
      <c r="AS147" s="124"/>
      <c r="AT147" s="124"/>
      <c r="AU147" s="124"/>
      <c r="AV147" s="124"/>
      <c r="AW147" s="124"/>
      <c r="CU147" s="124"/>
    </row>
    <row r="148" spans="42:99" ht="19.5" x14ac:dyDescent="0.4">
      <c r="AP148" s="16"/>
      <c r="AQ148" s="348"/>
      <c r="AR148" s="349"/>
      <c r="AS148" s="124"/>
      <c r="AT148" s="124"/>
      <c r="AU148" s="124"/>
      <c r="AV148" s="124"/>
      <c r="AW148" s="124"/>
      <c r="CU148" s="124"/>
    </row>
    <row r="149" spans="42:99" ht="19.5" x14ac:dyDescent="0.4">
      <c r="AP149" s="16"/>
      <c r="AQ149" s="348"/>
      <c r="AR149" s="349"/>
      <c r="AS149" s="124"/>
      <c r="AT149" s="124"/>
      <c r="AU149" s="124"/>
      <c r="AV149" s="124"/>
      <c r="AW149" s="124"/>
      <c r="CU149" s="124"/>
    </row>
    <row r="150" spans="42:99" ht="19.5" x14ac:dyDescent="0.4">
      <c r="AP150" s="16"/>
      <c r="AQ150" s="348"/>
      <c r="AR150" s="349"/>
      <c r="AS150" s="124"/>
      <c r="AT150" s="124"/>
      <c r="AU150" s="124"/>
      <c r="AV150" s="124"/>
      <c r="AW150" s="124"/>
      <c r="CU150" s="124"/>
    </row>
    <row r="151" spans="42:99" ht="19.5" x14ac:dyDescent="0.4">
      <c r="AP151" s="16"/>
      <c r="AQ151" s="348"/>
      <c r="AR151" s="349"/>
      <c r="AS151" s="124"/>
      <c r="AT151" s="124"/>
      <c r="AU151" s="124"/>
      <c r="AV151" s="124"/>
      <c r="AW151" s="124"/>
      <c r="CU151" s="124"/>
    </row>
    <row r="152" spans="42:99" ht="19.5" x14ac:dyDescent="0.4">
      <c r="AP152" s="16"/>
      <c r="AQ152" s="348"/>
      <c r="AR152" s="349"/>
      <c r="AS152" s="124"/>
      <c r="AT152" s="124"/>
      <c r="AU152" s="124"/>
      <c r="AV152" s="124"/>
      <c r="AW152" s="124"/>
      <c r="CU152" s="124"/>
    </row>
    <row r="153" spans="42:99" ht="19.5" x14ac:dyDescent="0.4">
      <c r="AP153" s="16"/>
      <c r="AQ153" s="348"/>
      <c r="AR153" s="349"/>
      <c r="AS153" s="124"/>
      <c r="AT153" s="124"/>
      <c r="AU153" s="124"/>
      <c r="AV153" s="124"/>
      <c r="AW153" s="124"/>
      <c r="CU153" s="124"/>
    </row>
    <row r="154" spans="42:99" ht="19.5" x14ac:dyDescent="0.4">
      <c r="AP154" s="16"/>
      <c r="AQ154" s="348"/>
      <c r="AR154" s="349"/>
      <c r="AS154" s="124"/>
      <c r="AT154" s="124"/>
      <c r="AU154" s="124"/>
      <c r="AV154" s="124"/>
      <c r="AW154" s="124"/>
      <c r="CU154" s="124"/>
    </row>
    <row r="155" spans="42:99" ht="19.5" x14ac:dyDescent="0.4">
      <c r="AP155" s="16"/>
      <c r="AQ155" s="348"/>
      <c r="AR155" s="349"/>
      <c r="AS155" s="124"/>
      <c r="AT155" s="124"/>
      <c r="AU155" s="124"/>
      <c r="AV155" s="124"/>
      <c r="AW155" s="124"/>
      <c r="CU155" s="124"/>
    </row>
    <row r="156" spans="42:99" ht="19.5" x14ac:dyDescent="0.4">
      <c r="AP156" s="16"/>
      <c r="AQ156" s="348"/>
      <c r="AR156" s="349"/>
      <c r="AS156" s="124"/>
      <c r="AT156" s="124"/>
      <c r="AU156" s="124"/>
      <c r="AV156" s="124"/>
      <c r="AW156" s="124"/>
      <c r="CU156" s="124"/>
    </row>
    <row r="157" spans="42:99" ht="19.5" x14ac:dyDescent="0.4">
      <c r="AP157" s="16"/>
      <c r="AQ157" s="348"/>
      <c r="AR157" s="349"/>
      <c r="AS157" s="124"/>
      <c r="AT157" s="124"/>
      <c r="AU157" s="124"/>
      <c r="AV157" s="124"/>
      <c r="AW157" s="124"/>
      <c r="CU157" s="124"/>
    </row>
    <row r="158" spans="42:99" ht="19.5" x14ac:dyDescent="0.4">
      <c r="AP158" s="16"/>
      <c r="AQ158" s="348"/>
      <c r="AR158" s="349"/>
      <c r="AS158" s="124"/>
      <c r="AT158" s="124"/>
      <c r="AU158" s="124"/>
      <c r="AV158" s="124"/>
      <c r="AW158" s="124"/>
      <c r="CU158" s="124"/>
    </row>
    <row r="159" spans="42:99" ht="19.5" x14ac:dyDescent="0.4">
      <c r="AP159" s="16"/>
      <c r="AQ159" s="348"/>
      <c r="AR159" s="349"/>
      <c r="AS159" s="124"/>
      <c r="AT159" s="124"/>
      <c r="AU159" s="124"/>
      <c r="AV159" s="124"/>
      <c r="AW159" s="124"/>
      <c r="CU159" s="124"/>
    </row>
    <row r="160" spans="42:99" ht="19.5" x14ac:dyDescent="0.4">
      <c r="AP160" s="16"/>
      <c r="AQ160" s="348"/>
      <c r="AR160" s="349"/>
      <c r="AS160" s="124"/>
      <c r="AT160" s="124"/>
      <c r="AU160" s="124"/>
      <c r="AV160" s="124"/>
      <c r="AW160" s="124"/>
      <c r="CU160" s="200"/>
    </row>
    <row r="161" spans="42:99" ht="19.5" x14ac:dyDescent="0.4">
      <c r="AP161" s="16"/>
      <c r="AQ161" s="348"/>
      <c r="AR161" s="349"/>
      <c r="AS161" s="124"/>
      <c r="AT161" s="124"/>
      <c r="AU161" s="124"/>
      <c r="AV161" s="124"/>
      <c r="AW161" s="124"/>
      <c r="CU161" s="200"/>
    </row>
    <row r="162" spans="42:99" ht="19.5" x14ac:dyDescent="0.4">
      <c r="AP162" s="16"/>
      <c r="AQ162" s="348"/>
      <c r="AR162" s="349"/>
      <c r="AS162" s="124"/>
      <c r="AT162" s="124"/>
      <c r="AU162" s="124"/>
      <c r="AV162" s="124"/>
      <c r="AW162" s="124"/>
      <c r="CU162" s="200"/>
    </row>
    <row r="163" spans="42:99" ht="19.5" x14ac:dyDescent="0.4">
      <c r="AP163" s="16"/>
      <c r="AQ163" s="348"/>
      <c r="AR163" s="349"/>
      <c r="AS163" s="124"/>
      <c r="AT163" s="124"/>
      <c r="AU163" s="124"/>
      <c r="AV163" s="124"/>
      <c r="AW163" s="124"/>
      <c r="CU163" s="200"/>
    </row>
    <row r="164" spans="42:99" ht="19.5" x14ac:dyDescent="0.4">
      <c r="AP164" s="16"/>
      <c r="AQ164" s="348"/>
      <c r="AR164" s="349"/>
      <c r="AS164" s="124"/>
      <c r="AT164" s="124"/>
      <c r="AU164" s="124"/>
      <c r="AV164" s="124"/>
      <c r="AW164" s="124"/>
      <c r="CU164" s="200"/>
    </row>
    <row r="165" spans="42:99" ht="19.5" x14ac:dyDescent="0.4">
      <c r="AP165" s="16"/>
      <c r="AQ165" s="348"/>
      <c r="AR165" s="349"/>
      <c r="AS165" s="124"/>
      <c r="AT165" s="124"/>
      <c r="AU165" s="124"/>
      <c r="AV165" s="124"/>
      <c r="AW165" s="124"/>
      <c r="CU165" s="200"/>
    </row>
    <row r="166" spans="42:99" x14ac:dyDescent="0.25">
      <c r="AP166" s="16"/>
      <c r="AQ166" s="200"/>
      <c r="AR166" s="200"/>
      <c r="AS166" s="200"/>
      <c r="AT166" s="200"/>
      <c r="AU166" s="200"/>
      <c r="AV166" s="200"/>
      <c r="AW166" s="200"/>
      <c r="CU166" s="200"/>
    </row>
    <row r="167" spans="42:99" x14ac:dyDescent="0.25">
      <c r="AP167" s="16"/>
      <c r="AQ167" s="200"/>
      <c r="AR167" s="200"/>
      <c r="AS167" s="200"/>
      <c r="AT167" s="200"/>
      <c r="AU167" s="200"/>
      <c r="AV167" s="200"/>
      <c r="AW167" s="200"/>
      <c r="CU167" s="200"/>
    </row>
    <row r="168" spans="42:99" x14ac:dyDescent="0.25">
      <c r="AQ168" s="86"/>
      <c r="AR168" s="86"/>
      <c r="AS168" s="86"/>
      <c r="AT168" s="86"/>
      <c r="AU168" s="86"/>
      <c r="AV168" s="86"/>
      <c r="AW168" s="86"/>
      <c r="CU168" s="86"/>
    </row>
    <row r="169" spans="42:99" x14ac:dyDescent="0.25">
      <c r="AQ169" s="86"/>
      <c r="AR169" s="86"/>
      <c r="AS169" s="86"/>
      <c r="AT169" s="86"/>
      <c r="AU169" s="86"/>
      <c r="AV169" s="86"/>
      <c r="AW169" s="86"/>
      <c r="CU169" s="86"/>
    </row>
    <row r="170" spans="42:99" x14ac:dyDescent="0.25">
      <c r="AQ170" s="86"/>
      <c r="AR170" s="86"/>
      <c r="AS170" s="86"/>
      <c r="AT170" s="86"/>
      <c r="AU170" s="86"/>
      <c r="AV170" s="86"/>
      <c r="AW170" s="86"/>
      <c r="CU170" s="86"/>
    </row>
    <row r="171" spans="42:99" x14ac:dyDescent="0.25">
      <c r="AQ171" s="86"/>
      <c r="AR171" s="86"/>
      <c r="AS171" s="86"/>
      <c r="AT171" s="86"/>
      <c r="AU171" s="86"/>
      <c r="AV171" s="86"/>
      <c r="AW171" s="86"/>
      <c r="CU171" s="86"/>
    </row>
    <row r="172" spans="42:99" x14ac:dyDescent="0.25">
      <c r="AQ172" s="86"/>
      <c r="AR172" s="86"/>
      <c r="AS172" s="86"/>
      <c r="AT172" s="86"/>
      <c r="AU172" s="86"/>
      <c r="AV172" s="86"/>
      <c r="AW172" s="86"/>
      <c r="CU172" s="86"/>
    </row>
    <row r="173" spans="42:99" x14ac:dyDescent="0.25">
      <c r="AQ173" s="86"/>
      <c r="AR173" s="86"/>
      <c r="AS173" s="86"/>
      <c r="AT173" s="86"/>
      <c r="AU173" s="86"/>
      <c r="AV173" s="86"/>
      <c r="AW173" s="86"/>
      <c r="CU173" s="86"/>
    </row>
    <row r="174" spans="42:99" x14ac:dyDescent="0.25">
      <c r="AQ174" s="86"/>
      <c r="AR174" s="86"/>
      <c r="AS174" s="86"/>
      <c r="AT174" s="86"/>
      <c r="AU174" s="86"/>
      <c r="AV174" s="86"/>
      <c r="AW174" s="86"/>
      <c r="CU174" s="86"/>
    </row>
    <row r="175" spans="42:99" x14ac:dyDescent="0.25">
      <c r="AQ175" s="86"/>
      <c r="AR175" s="86"/>
      <c r="AS175" s="86"/>
      <c r="AT175" s="86"/>
      <c r="AU175" s="86"/>
      <c r="AV175" s="86"/>
      <c r="AW175" s="86"/>
      <c r="CU175" s="86"/>
    </row>
    <row r="176" spans="42:99" x14ac:dyDescent="0.25">
      <c r="AQ176" s="86"/>
      <c r="AR176" s="86"/>
      <c r="AS176" s="86"/>
      <c r="AT176" s="86"/>
      <c r="AU176" s="86"/>
      <c r="AV176" s="86"/>
      <c r="AW176" s="86"/>
      <c r="CU176" s="86"/>
    </row>
    <row r="177" spans="43:99" x14ac:dyDescent="0.25">
      <c r="AQ177" s="86"/>
      <c r="AR177" s="86"/>
      <c r="AS177" s="86"/>
      <c r="AT177" s="86"/>
      <c r="AU177" s="86"/>
      <c r="AV177" s="86"/>
      <c r="AW177" s="86"/>
      <c r="CU177" s="86"/>
    </row>
    <row r="178" spans="43:99" x14ac:dyDescent="0.25">
      <c r="AQ178" s="86"/>
      <c r="AR178" s="86"/>
      <c r="AS178" s="86"/>
      <c r="AT178" s="86"/>
      <c r="AU178" s="86"/>
      <c r="AV178" s="86"/>
      <c r="AW178" s="86"/>
      <c r="CU178" s="86"/>
    </row>
    <row r="179" spans="43:99" x14ac:dyDescent="0.25">
      <c r="AQ179" s="86"/>
      <c r="AR179" s="86"/>
      <c r="AS179" s="86"/>
      <c r="AT179" s="86"/>
      <c r="AU179" s="86"/>
      <c r="AV179" s="86"/>
      <c r="AW179" s="86"/>
      <c r="CU179" s="86"/>
    </row>
    <row r="180" spans="43:99" x14ac:dyDescent="0.25">
      <c r="AQ180" s="86"/>
      <c r="AR180" s="86"/>
      <c r="AS180" s="86"/>
      <c r="AT180" s="86"/>
      <c r="AU180" s="86"/>
      <c r="AV180" s="86"/>
      <c r="AW180" s="86"/>
      <c r="CU180" s="86"/>
    </row>
    <row r="181" spans="43:99" x14ac:dyDescent="0.25">
      <c r="AQ181" s="86"/>
      <c r="AR181" s="86"/>
      <c r="AS181" s="86"/>
      <c r="AT181" s="86"/>
      <c r="AU181" s="86"/>
      <c r="AV181" s="86"/>
      <c r="AW181" s="86"/>
      <c r="CU181" s="86"/>
    </row>
    <row r="182" spans="43:99" x14ac:dyDescent="0.25">
      <c r="AQ182" s="86"/>
      <c r="AR182" s="86"/>
      <c r="AS182" s="86"/>
      <c r="AT182" s="86"/>
      <c r="AU182" s="86"/>
      <c r="AV182" s="86"/>
      <c r="AW182" s="86"/>
      <c r="CU182" s="86"/>
    </row>
    <row r="183" spans="43:99" x14ac:dyDescent="0.25">
      <c r="AQ183" s="86"/>
      <c r="AR183" s="86"/>
      <c r="AS183" s="86"/>
      <c r="AT183" s="86"/>
      <c r="AU183" s="86"/>
      <c r="AV183" s="86"/>
      <c r="AW183" s="86"/>
      <c r="CU183" s="86"/>
    </row>
    <row r="184" spans="43:99" x14ac:dyDescent="0.25">
      <c r="AQ184" s="86"/>
      <c r="AR184" s="86"/>
      <c r="AS184" s="86"/>
      <c r="AT184" s="86"/>
      <c r="AU184" s="86"/>
      <c r="AV184" s="86"/>
      <c r="AW184" s="86"/>
      <c r="CU184" s="86"/>
    </row>
    <row r="185" spans="43:99" x14ac:dyDescent="0.25">
      <c r="AQ185" s="86"/>
      <c r="AR185" s="86"/>
      <c r="AS185" s="86"/>
      <c r="AT185" s="86"/>
      <c r="AU185" s="86"/>
      <c r="AV185" s="86"/>
      <c r="AW185" s="86"/>
      <c r="CU185" s="86"/>
    </row>
    <row r="186" spans="43:99" x14ac:dyDescent="0.25">
      <c r="AQ186" s="86"/>
      <c r="AR186" s="86"/>
      <c r="AS186" s="86"/>
      <c r="AT186" s="86"/>
      <c r="AU186" s="86"/>
      <c r="AV186" s="86"/>
      <c r="AW186" s="86"/>
      <c r="CU186" s="86"/>
    </row>
    <row r="187" spans="43:99" x14ac:dyDescent="0.25">
      <c r="AQ187" s="86"/>
      <c r="AR187" s="86"/>
      <c r="AS187" s="86"/>
      <c r="AT187" s="86"/>
      <c r="AU187" s="86"/>
      <c r="AV187" s="86"/>
      <c r="AW187" s="86"/>
      <c r="CU187" s="86"/>
    </row>
    <row r="188" spans="43:99" x14ac:dyDescent="0.25">
      <c r="AQ188" s="86"/>
      <c r="AR188" s="86"/>
      <c r="AS188" s="86"/>
      <c r="AT188" s="86"/>
      <c r="AU188" s="86"/>
      <c r="AV188" s="86"/>
      <c r="AW188" s="86"/>
      <c r="CU188" s="86"/>
    </row>
    <row r="189" spans="43:99" x14ac:dyDescent="0.25">
      <c r="AQ189" s="86"/>
      <c r="AR189" s="86"/>
      <c r="AS189" s="86"/>
      <c r="AT189" s="86"/>
      <c r="AU189" s="86"/>
      <c r="AV189" s="86"/>
      <c r="AW189" s="86"/>
      <c r="CU189" s="86"/>
    </row>
  </sheetData>
  <sheetProtection algorithmName="SHA-512" hashValue="EkydHWSpILD8IqZvQUOAI/mehatm0dvQYR266CT7PdWQLljHEOrftgyPkosdnCduk9MQch1QBH3Eacu1NwVZDg==" saltValue="lAroxracS+J2Ar+3wg6TjQ==" spinCount="100000" sheet="1" objects="1" scenarios="1"/>
  <protectedRanges>
    <protectedRange sqref="B90 B93" name="Range1"/>
  </protectedRanges>
  <mergeCells count="14">
    <mergeCell ref="AN93:AO93"/>
    <mergeCell ref="D93:E93"/>
    <mergeCell ref="BA1:BB1"/>
    <mergeCell ref="B88:B89"/>
    <mergeCell ref="Z67:AA67"/>
    <mergeCell ref="M38:O38"/>
    <mergeCell ref="M67:N67"/>
    <mergeCell ref="B81:E81"/>
    <mergeCell ref="BA3:BB3"/>
    <mergeCell ref="BN50:BO50"/>
    <mergeCell ref="CC50:CD50"/>
    <mergeCell ref="CP5:CQ5"/>
    <mergeCell ref="BN5:BO5"/>
    <mergeCell ref="CC3:CD3"/>
  </mergeCells>
  <phoneticPr fontId="2" type="noConversion"/>
  <conditionalFormatting sqref="AQ135:AQ142">
    <cfRule type="cellIs" dxfId="206" priority="113" stopIfTrue="1" operator="between">
      <formula>"заяка"</formula>
      <formula>"заявка"</formula>
    </cfRule>
  </conditionalFormatting>
  <conditionalFormatting sqref="CU136:CU159 AW136:AW165 CU87:CU90">
    <cfRule type="cellIs" dxfId="205" priority="116" stopIfTrue="1" operator="equal">
      <formula>FALSE</formula>
    </cfRule>
  </conditionalFormatting>
  <conditionalFormatting sqref="M74:AA74">
    <cfRule type="cellIs" dxfId="204" priority="111" stopIfTrue="1" operator="equal">
      <formula>FALSE</formula>
    </cfRule>
  </conditionalFormatting>
  <conditionalFormatting sqref="M68:AA68">
    <cfRule type="cellIs" dxfId="203" priority="112" stopIfTrue="1" operator="equal">
      <formula>0</formula>
    </cfRule>
  </conditionalFormatting>
  <conditionalFormatting sqref="D87:D88">
    <cfRule type="cellIs" dxfId="202" priority="171" stopIfTrue="1" operator="equal">
      <formula>"change the angle of frame"</formula>
    </cfRule>
  </conditionalFormatting>
  <conditionalFormatting sqref="B84 D84:E84 AN97:AO108">
    <cfRule type="cellIs" dxfId="201" priority="110" stopIfTrue="1" operator="lessThan">
      <formula>10</formula>
    </cfRule>
  </conditionalFormatting>
  <conditionalFormatting sqref="B76">
    <cfRule type="cellIs" dxfId="200" priority="35" stopIfTrue="1" operator="equal">
      <formula>"overload"</formula>
    </cfRule>
  </conditionalFormatting>
  <conditionalFormatting sqref="D97:D108">
    <cfRule type="cellIs" dxfId="199" priority="108" stopIfTrue="1" operator="notEqual">
      <formula>0</formula>
    </cfRule>
  </conditionalFormatting>
  <conditionalFormatting sqref="E76">
    <cfRule type="cellIs" dxfId="198" priority="26" stopIfTrue="1" operator="between">
      <formula>"OVERLOAD"</formula>
      <formula>"OVERLOAD"</formula>
    </cfRule>
  </conditionalFormatting>
  <conditionalFormatting sqref="BA72:BX75 BF88:BS88 BF89:BF90 BN89:BS90 BO76:BU76">
    <cfRule type="cellIs" dxfId="197" priority="24" stopIfTrue="1" operator="equal">
      <formula>FALSE</formula>
    </cfRule>
  </conditionalFormatting>
  <conditionalFormatting sqref="BF70:BS70 BF69:BN69 BA46">
    <cfRule type="cellIs" dxfId="196" priority="11" stopIfTrue="1" operator="equal">
      <formula>0</formula>
    </cfRule>
  </conditionalFormatting>
  <conditionalFormatting sqref="AX93:AX135">
    <cfRule type="cellIs" dxfId="195" priority="22" stopIfTrue="1" operator="equal">
      <formula>FALSE</formula>
    </cfRule>
  </conditionalFormatting>
  <conditionalFormatting sqref="AR93:AR135">
    <cfRule type="cellIs" dxfId="194" priority="21" stopIfTrue="1" operator="between">
      <formula>"заяка"</formula>
      <formula>"заявка"</formula>
    </cfRule>
  </conditionalFormatting>
  <conditionalFormatting sqref="BY72:CQ73">
    <cfRule type="cellIs" dxfId="193" priority="20" stopIfTrue="1" operator="equal">
      <formula>FALSE</formula>
    </cfRule>
  </conditionalFormatting>
  <conditionalFormatting sqref="BN76">
    <cfRule type="cellIs" dxfId="192" priority="19" stopIfTrue="1" operator="equal">
      <formula>FALSE</formula>
    </cfRule>
  </conditionalFormatting>
  <conditionalFormatting sqref="BY76">
    <cfRule type="cellIs" dxfId="191" priority="18" stopIfTrue="1" operator="equal">
      <formula>FALSE</formula>
    </cfRule>
  </conditionalFormatting>
  <conditionalFormatting sqref="BZ76">
    <cfRule type="cellIs" dxfId="190" priority="17" stopIfTrue="1" operator="equal">
      <formula>FALSE</formula>
    </cfRule>
  </conditionalFormatting>
  <conditionalFormatting sqref="CA76">
    <cfRule type="cellIs" dxfId="189" priority="16" stopIfTrue="1" operator="equal">
      <formula>FALSE</formula>
    </cfRule>
  </conditionalFormatting>
  <conditionalFormatting sqref="CB76">
    <cfRule type="cellIs" dxfId="188" priority="15" stopIfTrue="1" operator="equal">
      <formula>FALSE</formula>
    </cfRule>
  </conditionalFormatting>
  <conditionalFormatting sqref="CC76">
    <cfRule type="cellIs" dxfId="187" priority="14" stopIfTrue="1" operator="equal">
      <formula>FALSE</formula>
    </cfRule>
  </conditionalFormatting>
  <conditionalFormatting sqref="CD76">
    <cfRule type="cellIs" dxfId="186" priority="13" stopIfTrue="1" operator="equal">
      <formula>FALSE</formula>
    </cfRule>
  </conditionalFormatting>
  <conditionalFormatting sqref="BA70:BE70">
    <cfRule type="cellIs" dxfId="185" priority="12" stopIfTrue="1" operator="equal">
      <formula>0</formula>
    </cfRule>
  </conditionalFormatting>
  <conditionalFormatting sqref="BO69:CD69">
    <cfRule type="cellIs" dxfId="184" priority="9" stopIfTrue="1" operator="equal">
      <formula>0</formula>
    </cfRule>
  </conditionalFormatting>
  <conditionalFormatting sqref="BB46:CQ46">
    <cfRule type="cellIs" dxfId="183" priority="10" stopIfTrue="1" operator="equal">
      <formula>0</formula>
    </cfRule>
  </conditionalFormatting>
  <conditionalFormatting sqref="BN47">
    <cfRule type="cellIs" dxfId="182" priority="8" operator="equal">
      <formula>0</formula>
    </cfRule>
  </conditionalFormatting>
  <conditionalFormatting sqref="B97:B108">
    <cfRule type="cellIs" dxfId="181" priority="375" stopIfTrue="1" operator="greaterThan">
      <formula>$B$93</formula>
    </cfRule>
  </conditionalFormatting>
  <conditionalFormatting sqref="U97 AL97:AO97 D97:E97">
    <cfRule type="expression" dxfId="180" priority="376" stopIfTrue="1">
      <formula>$B$93&lt;1</formula>
    </cfRule>
  </conditionalFormatting>
  <conditionalFormatting sqref="U98 AL98:AO98 D98:E98">
    <cfRule type="expression" dxfId="179" priority="379" stopIfTrue="1">
      <formula>$B$93&lt;2</formula>
    </cfRule>
  </conditionalFormatting>
  <conditionalFormatting sqref="U99 AL99:AO99 D99:E99">
    <cfRule type="expression" dxfId="178" priority="382" stopIfTrue="1">
      <formula>$B$93&lt;3</formula>
    </cfRule>
  </conditionalFormatting>
  <conditionalFormatting sqref="U100 AL100:AO100 D100:E100">
    <cfRule type="expression" dxfId="177" priority="385" stopIfTrue="1">
      <formula>$B$93&lt;4</formula>
    </cfRule>
  </conditionalFormatting>
  <conditionalFormatting sqref="U101 AL101:AO101 D101:E101">
    <cfRule type="expression" dxfId="176" priority="388" stopIfTrue="1">
      <formula>$B$93&lt;5</formula>
    </cfRule>
  </conditionalFormatting>
  <conditionalFormatting sqref="D102 U102 AL102:AO102 E102:E103">
    <cfRule type="expression" dxfId="175" priority="391" stopIfTrue="1">
      <formula>$B$93&lt;6</formula>
    </cfRule>
  </conditionalFormatting>
  <conditionalFormatting sqref="U103 AL103:AO103 D103:E103">
    <cfRule type="expression" dxfId="174" priority="395" stopIfTrue="1">
      <formula>$B$93&lt;7</formula>
    </cfRule>
  </conditionalFormatting>
  <conditionalFormatting sqref="U104 AL104:AO104 D104:E104">
    <cfRule type="expression" dxfId="173" priority="398" stopIfTrue="1">
      <formula>$B$93&lt;8</formula>
    </cfRule>
  </conditionalFormatting>
  <conditionalFormatting sqref="U105 AL105:AO105 D105:E105">
    <cfRule type="expression" dxfId="172" priority="401" stopIfTrue="1">
      <formula>$B$93&lt;9</formula>
    </cfRule>
  </conditionalFormatting>
  <conditionalFormatting sqref="U106 AL106:AO106 D106:E106">
    <cfRule type="expression" dxfId="171" priority="404" stopIfTrue="1">
      <formula>$B$93&lt;10</formula>
    </cfRule>
  </conditionalFormatting>
  <conditionalFormatting sqref="U107 AL107:AO107 D107:E107">
    <cfRule type="expression" dxfId="170" priority="407" stopIfTrue="1">
      <formula>$B$93&lt;11</formula>
    </cfRule>
  </conditionalFormatting>
  <conditionalFormatting sqref="U108 AL108:AO108 D108:E108">
    <cfRule type="expression" dxfId="169" priority="410" stopIfTrue="1">
      <formula>$B$93&lt;12</formula>
    </cfRule>
  </conditionalFormatting>
  <conditionalFormatting sqref="BN47:BU47 BY47:CD47">
    <cfRule type="cellIs" dxfId="168" priority="4" operator="equal">
      <formula>0</formula>
    </cfRule>
  </conditionalFormatting>
  <conditionalFormatting sqref="D90">
    <cfRule type="cellIs" dxfId="167" priority="6" stopIfTrue="1" operator="equal">
      <formula>"USE EXBAR TR AT THE BACK"</formula>
    </cfRule>
  </conditionalFormatting>
  <conditionalFormatting sqref="D89">
    <cfRule type="cellIs" dxfId="166" priority="5" stopIfTrue="1" operator="equal">
      <formula>"USE EXBAR TR AT THE FRONT"</formula>
    </cfRule>
  </conditionalFormatting>
  <conditionalFormatting sqref="BA47:CQ47 BN69:CD69">
    <cfRule type="expression" dxfId="165" priority="3">
      <formula>$B$90=0</formula>
    </cfRule>
    <cfRule type="expression" dxfId="164" priority="23">
      <formula>$B$90=0</formula>
    </cfRule>
  </conditionalFormatting>
  <conditionalFormatting sqref="B76 E76 D84:E84 B84">
    <cfRule type="expression" dxfId="163" priority="1">
      <formula>$AX$50=0</formula>
    </cfRule>
  </conditionalFormatting>
  <dataValidations count="5">
    <dataValidation type="whole" allowBlank="1" showInputMessage="1" showErrorMessage="1" errorTitle="Coda Audio" error="YOU HAVE ENTERED A WRONG NUMBER OF CABINETS" promptTitle="Coda Audio" prompt="ENTER THE NUMBER OF CABINETS FROM 1 UP TO 12" sqref="B93">
      <formula1>1</formula1>
      <formula2>12</formula2>
    </dataValidation>
    <dataValidation type="decimal" allowBlank="1" showInputMessage="1" showErrorMessage="1" sqref="F98:F108">
      <formula1>0</formula1>
      <formula2>8</formula2>
    </dataValidation>
    <dataValidation type="decimal" allowBlank="1" showInputMessage="1" showErrorMessage="1" sqref="F97">
      <formula1>0</formula1>
      <formula2>4</formula2>
    </dataValidation>
    <dataValidation type="custom" allowBlank="1" showInputMessage="1" showErrorMessage="1" sqref="D97:D108">
      <formula1>OR(D97=0,D97=2,D97=5)</formula1>
    </dataValidation>
    <dataValidation type="decimal" allowBlank="1" showInputMessage="1" showErrorMessage="1" sqref="B90">
      <formula1>-89.9</formula1>
      <formula2>89.9</formula2>
    </dataValidation>
  </dataValidations>
  <pageMargins left="0.75" right="0.75" top="1" bottom="1" header="0.5" footer="0.5"/>
  <pageSetup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8614E1AB-7D81-4E55-8091-9B8A01218B9F}">
            <xm:f>TiRAY!$BX$47</xm:f>
            <x14:dxf>
              <fill>
                <patternFill>
                  <bgColor theme="0" tint="-4.9989318521683403E-2"/>
                </patternFill>
              </fill>
            </x14:dxf>
          </x14:cfRule>
          <xm:sqref>BN47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D216"/>
  <sheetViews>
    <sheetView zoomScale="55" zoomScaleNormal="55" workbookViewId="0">
      <selection activeCell="B128" sqref="B128"/>
    </sheetView>
  </sheetViews>
  <sheetFormatPr baseColWidth="10" defaultColWidth="9.140625" defaultRowHeight="18" x14ac:dyDescent="0.25"/>
  <cols>
    <col min="1" max="1" width="1" style="2" customWidth="1"/>
    <col min="2" max="2" width="28.5703125" style="3" customWidth="1"/>
    <col min="3" max="3" width="25" style="3" hidden="1" customWidth="1"/>
    <col min="4" max="4" width="28.5703125" style="4" customWidth="1"/>
    <col min="5" max="11" width="5.7109375" style="4" customWidth="1"/>
    <col min="12" max="12" width="19.85546875" style="4" hidden="1" customWidth="1"/>
    <col min="13" max="13" width="45.140625" style="4" hidden="1" customWidth="1"/>
    <col min="14" max="14" width="10" style="4" hidden="1" customWidth="1"/>
    <col min="15" max="15" width="13.42578125" style="5" hidden="1" customWidth="1"/>
    <col min="16" max="16" width="15.140625" style="5" hidden="1" customWidth="1"/>
    <col min="17" max="18" width="17.5703125" style="5" hidden="1" customWidth="1"/>
    <col min="19" max="21" width="19.42578125" style="5" hidden="1" customWidth="1"/>
    <col min="22" max="22" width="8.7109375" style="5" hidden="1" customWidth="1"/>
    <col min="23" max="24" width="20.140625" style="5" hidden="1" customWidth="1"/>
    <col min="25" max="25" width="28" style="5" hidden="1" customWidth="1"/>
    <col min="26" max="26" width="19.42578125" style="5" hidden="1" customWidth="1"/>
    <col min="27" max="27" width="22.28515625" style="5" hidden="1" customWidth="1"/>
    <col min="28" max="28" width="5.5703125" style="5" hidden="1" customWidth="1"/>
    <col min="29" max="29" width="19.42578125" style="5" hidden="1" customWidth="1"/>
    <col min="30" max="31" width="17.5703125" style="5" hidden="1" customWidth="1"/>
    <col min="32" max="32" width="14.42578125" style="5" hidden="1" customWidth="1"/>
    <col min="33" max="33" width="16.28515625" style="5" hidden="1" customWidth="1"/>
    <col min="34" max="34" width="19.42578125" style="5" hidden="1" customWidth="1"/>
    <col min="35" max="35" width="40.7109375" style="5" customWidth="1"/>
    <col min="36" max="38" width="11.7109375" style="5" hidden="1" customWidth="1"/>
    <col min="39" max="40" width="37.7109375" style="5" hidden="1" customWidth="1"/>
    <col min="41" max="41" width="19.140625" style="5" hidden="1" customWidth="1"/>
    <col min="42" max="42" width="10.42578125" style="5" hidden="1" customWidth="1"/>
    <col min="43" max="43" width="22.85546875" style="5" hidden="1" customWidth="1"/>
    <col min="44" max="44" width="18.85546875" style="5" hidden="1" customWidth="1"/>
    <col min="45" max="45" width="22.5703125" style="5" hidden="1" customWidth="1"/>
    <col min="46" max="46" width="17.140625" style="5" hidden="1" customWidth="1"/>
    <col min="47" max="47" width="18.85546875" style="5" hidden="1" customWidth="1"/>
    <col min="48" max="48" width="22.140625" style="5" hidden="1" customWidth="1"/>
    <col min="49" max="49" width="33.7109375" style="5" hidden="1" customWidth="1"/>
    <col min="50" max="50" width="41.28515625" style="5" hidden="1" customWidth="1"/>
    <col min="51" max="51" width="66.5703125" style="5" hidden="1" customWidth="1"/>
    <col min="52" max="52" width="18.85546875" style="5" hidden="1" customWidth="1"/>
    <col min="53" max="53" width="19.7109375" style="5" hidden="1" customWidth="1"/>
    <col min="54" max="54" width="37.85546875" style="5" hidden="1" customWidth="1"/>
    <col min="55" max="55" width="18.85546875" style="5" hidden="1" customWidth="1"/>
    <col min="56" max="56" width="19.85546875" style="5" hidden="1" customWidth="1"/>
    <col min="57" max="57" width="19.7109375" style="5" hidden="1" customWidth="1"/>
    <col min="58" max="58" width="38" style="5" hidden="1" customWidth="1"/>
    <col min="59" max="59" width="12.28515625" style="5" hidden="1" customWidth="1"/>
    <col min="60" max="60" width="12.85546875" style="5" customWidth="1"/>
    <col min="61" max="61" width="10.85546875" style="5" bestFit="1" customWidth="1"/>
    <col min="62" max="62" width="11.7109375" style="2" hidden="1" customWidth="1"/>
    <col min="63" max="63" width="14.42578125" style="2" hidden="1" customWidth="1"/>
    <col min="64" max="69" width="15.7109375" style="2" hidden="1" customWidth="1"/>
    <col min="70" max="70" width="13" style="2" hidden="1" customWidth="1"/>
    <col min="71" max="71" width="22" style="13" hidden="1" customWidth="1"/>
    <col min="72" max="72" width="17.5703125" style="13" hidden="1" customWidth="1"/>
    <col min="73" max="73" width="34.42578125" style="13" bestFit="1" customWidth="1"/>
    <col min="74" max="88" width="5.42578125" style="13" customWidth="1"/>
    <col min="89" max="89" width="6.140625" style="13" customWidth="1"/>
    <col min="90" max="115" width="5.42578125" style="13" customWidth="1"/>
    <col min="116" max="116" width="8" style="13" customWidth="1"/>
    <col min="117" max="117" width="22" style="13" hidden="1" customWidth="1"/>
    <col min="118" max="118" width="18.28515625" style="13" hidden="1" customWidth="1"/>
    <col min="119" max="119" width="6.42578125" style="13" hidden="1" customWidth="1"/>
    <col min="120" max="129" width="0" style="2" hidden="1" customWidth="1"/>
    <col min="130" max="16384" width="9.140625" style="2"/>
  </cols>
  <sheetData>
    <row r="1" spans="1:134" ht="18.75" thickBot="1" x14ac:dyDescent="0.3">
      <c r="BS1" s="7"/>
      <c r="BT1" s="7"/>
      <c r="BU1" s="8" t="s">
        <v>27</v>
      </c>
      <c r="BV1" s="783">
        <f>+C14</f>
        <v>79.8</v>
      </c>
      <c r="BW1" s="783"/>
      <c r="BX1" s="9" t="s">
        <v>17</v>
      </c>
      <c r="BY1" s="9"/>
      <c r="BZ1" s="10" t="s">
        <v>136</v>
      </c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34" s="4" customFormat="1" ht="21.75" customHeight="1" x14ac:dyDescent="0.25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2"/>
      <c r="BK2" s="2"/>
      <c r="BL2" s="2"/>
      <c r="BM2" s="2"/>
      <c r="BN2" s="2"/>
      <c r="BO2" s="2"/>
      <c r="BP2" s="2"/>
      <c r="BQ2" s="2"/>
      <c r="BR2" s="2"/>
      <c r="BS2" s="12"/>
      <c r="BT2" s="12"/>
      <c r="BU2" s="581" t="s">
        <v>29</v>
      </c>
      <c r="BV2" s="582" t="s">
        <v>30</v>
      </c>
      <c r="BW2" s="583"/>
      <c r="BX2" s="583"/>
      <c r="BY2" s="583"/>
      <c r="BZ2" s="583"/>
      <c r="CA2" s="583"/>
      <c r="CB2" s="583"/>
      <c r="CC2" s="583"/>
      <c r="CD2" s="583"/>
      <c r="CE2" s="583"/>
      <c r="CF2" s="583"/>
      <c r="CG2" s="583"/>
      <c r="CH2" s="583"/>
      <c r="CI2" s="583"/>
      <c r="CJ2" s="583"/>
      <c r="CK2" s="583"/>
      <c r="CL2" s="583"/>
      <c r="CM2" s="583"/>
      <c r="CN2" s="584"/>
      <c r="CO2" s="585"/>
      <c r="CP2" s="585"/>
      <c r="CQ2" s="585"/>
      <c r="CR2" s="585"/>
      <c r="CS2" s="585"/>
      <c r="CT2" s="584"/>
      <c r="CU2" s="584"/>
      <c r="CV2" s="584"/>
      <c r="CW2" s="584"/>
      <c r="CX2" s="584"/>
      <c r="CY2" s="586" t="s">
        <v>31</v>
      </c>
      <c r="CZ2" s="587"/>
      <c r="DA2" s="588"/>
      <c r="DB2" s="588"/>
      <c r="DC2" s="588"/>
      <c r="DD2" s="588"/>
      <c r="DE2" s="588"/>
      <c r="DF2" s="588"/>
      <c r="DG2" s="588"/>
      <c r="DH2" s="588"/>
      <c r="DI2" s="588"/>
      <c r="DJ2" s="588"/>
      <c r="DK2" s="588"/>
      <c r="DL2" s="589"/>
      <c r="DM2" s="13"/>
      <c r="DN2" s="13"/>
      <c r="DO2" s="13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s="4" customFormat="1" ht="35.25" customHeight="1" thickBot="1" x14ac:dyDescent="0.4"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2"/>
      <c r="BK3" s="2"/>
      <c r="BL3" s="2"/>
      <c r="BM3" s="2"/>
      <c r="BN3" s="2"/>
      <c r="BO3" s="2"/>
      <c r="BP3" s="2"/>
      <c r="BQ3" s="2"/>
      <c r="BR3" s="2"/>
      <c r="BS3" s="12"/>
      <c r="BT3" s="684">
        <f>+IF(AND(CX3&gt;0,BV3&gt;0),BV3)</f>
        <v>34.405198920589172</v>
      </c>
      <c r="BU3" s="590" t="s">
        <v>104</v>
      </c>
      <c r="BV3" s="784">
        <f>+((D10-D12)/D10)*C14</f>
        <v>34.405198920589172</v>
      </c>
      <c r="BW3" s="785"/>
      <c r="BX3" s="591"/>
      <c r="BY3" s="591"/>
      <c r="BZ3" s="591"/>
      <c r="CA3" s="591"/>
      <c r="CB3" s="591"/>
      <c r="CC3" s="591"/>
      <c r="CD3" s="591"/>
      <c r="CE3" s="591"/>
      <c r="CF3" s="591"/>
      <c r="CG3" s="591"/>
      <c r="CH3" s="591"/>
      <c r="CI3" s="591"/>
      <c r="CJ3" s="591"/>
      <c r="CK3" s="591"/>
      <c r="CL3" s="591"/>
      <c r="CM3" s="591"/>
      <c r="CN3" s="592"/>
      <c r="CO3" s="593"/>
      <c r="CP3" s="593"/>
      <c r="CQ3" s="593"/>
      <c r="CR3" s="593"/>
      <c r="CS3" s="594"/>
      <c r="CT3" s="592"/>
      <c r="CU3" s="592"/>
      <c r="CV3" s="592"/>
      <c r="CW3" s="592"/>
      <c r="CX3" s="781">
        <f>+(D12/D10)*C14</f>
        <v>45.394801079410819</v>
      </c>
      <c r="CY3" s="782"/>
      <c r="CZ3" s="595"/>
      <c r="DA3" s="596"/>
      <c r="DB3" s="596"/>
      <c r="DC3" s="596"/>
      <c r="DD3" s="596"/>
      <c r="DE3" s="596"/>
      <c r="DF3" s="596"/>
      <c r="DG3" s="596"/>
      <c r="DH3" s="596"/>
      <c r="DI3" s="596"/>
      <c r="DJ3" s="596"/>
      <c r="DK3" s="596"/>
      <c r="DL3" s="597"/>
      <c r="DM3" s="684">
        <f>+IF(AND(BV3&gt;0,CX3&gt;0),CX3)</f>
        <v>45.394801079410819</v>
      </c>
      <c r="DN3" s="13"/>
      <c r="DO3" s="13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1.25" customHeight="1" thickBot="1" x14ac:dyDescent="0.3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S4" s="12"/>
      <c r="BT4" s="12"/>
      <c r="BU4" s="608"/>
      <c r="BV4" s="608"/>
      <c r="BW4" s="608"/>
      <c r="BX4" s="608"/>
      <c r="BY4" s="608"/>
      <c r="BZ4" s="608"/>
      <c r="CA4" s="608"/>
      <c r="CB4" s="608"/>
      <c r="CC4" s="608"/>
      <c r="CD4" s="608"/>
      <c r="CE4" s="608"/>
      <c r="CF4" s="608"/>
      <c r="CG4" s="608"/>
      <c r="CH4" s="608"/>
      <c r="CI4" s="608"/>
      <c r="CJ4" s="608"/>
      <c r="CK4" s="608"/>
      <c r="CL4" s="608"/>
      <c r="CM4" s="608"/>
      <c r="CN4" s="608"/>
      <c r="CO4" s="608"/>
      <c r="CP4" s="608"/>
      <c r="CQ4" s="608"/>
      <c r="CR4" s="608"/>
      <c r="CS4" s="608"/>
      <c r="CT4" s="434"/>
      <c r="CU4" s="434"/>
      <c r="CV4" s="434"/>
      <c r="CW4" s="434"/>
      <c r="CX4" s="434"/>
      <c r="CY4" s="434"/>
      <c r="CZ4" s="434"/>
      <c r="DA4" s="434"/>
      <c r="DB4" s="434"/>
      <c r="DC4" s="434"/>
      <c r="DD4" s="434"/>
      <c r="DE4" s="434"/>
      <c r="DF4" s="434"/>
      <c r="DG4" s="434"/>
      <c r="DH4" s="434"/>
      <c r="DI4" s="434"/>
      <c r="DJ4" s="434"/>
      <c r="DK4" s="434"/>
      <c r="DL4" s="434"/>
    </row>
    <row r="5" spans="1:134" s="4" customFormat="1" ht="21.75" customHeight="1" x14ac:dyDescent="0.25"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2"/>
      <c r="BK5" s="2"/>
      <c r="BL5" s="2"/>
      <c r="BM5" s="2"/>
      <c r="BN5" s="2"/>
      <c r="BO5" s="2"/>
      <c r="BP5" s="2"/>
      <c r="BQ5" s="2"/>
      <c r="BR5" s="2"/>
      <c r="BS5" s="12"/>
      <c r="BT5" s="12"/>
      <c r="BU5" s="598" t="s">
        <v>29</v>
      </c>
      <c r="BV5" s="587"/>
      <c r="BW5" s="588"/>
      <c r="BX5" s="588"/>
      <c r="BY5" s="588"/>
      <c r="BZ5" s="588"/>
      <c r="CA5" s="588"/>
      <c r="CB5" s="588"/>
      <c r="CC5" s="588"/>
      <c r="CD5" s="588"/>
      <c r="CE5" s="588"/>
      <c r="CF5" s="588"/>
      <c r="CG5" s="588"/>
      <c r="CH5" s="589"/>
      <c r="CI5" s="661" t="s">
        <v>30</v>
      </c>
      <c r="CJ5" s="600"/>
      <c r="CK5" s="600"/>
      <c r="CL5" s="600"/>
      <c r="CM5" s="600"/>
      <c r="CN5" s="600"/>
      <c r="CO5" s="600"/>
      <c r="CP5" s="600"/>
      <c r="CQ5" s="600"/>
      <c r="CR5" s="600"/>
      <c r="CS5" s="584"/>
      <c r="CT5" s="584"/>
      <c r="CU5" s="584"/>
      <c r="CV5" s="584"/>
      <c r="CW5" s="584"/>
      <c r="CX5" s="584"/>
      <c r="CY5" s="584"/>
      <c r="CZ5" s="584"/>
      <c r="DA5" s="584"/>
      <c r="DB5" s="584"/>
      <c r="DC5" s="584"/>
      <c r="DD5" s="584"/>
      <c r="DE5" s="584"/>
      <c r="DF5" s="584"/>
      <c r="DG5" s="584"/>
      <c r="DH5" s="584"/>
      <c r="DI5" s="584"/>
      <c r="DJ5" s="584"/>
      <c r="DK5" s="584"/>
      <c r="DL5" s="662" t="s">
        <v>31</v>
      </c>
      <c r="DM5" s="13"/>
      <c r="DN5" s="13"/>
      <c r="DO5" s="13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s="4" customFormat="1" ht="38.25" customHeight="1" thickBot="1" x14ac:dyDescent="0.4"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2"/>
      <c r="BK6" s="2"/>
      <c r="BL6" s="2"/>
      <c r="BM6" s="2"/>
      <c r="BN6" s="2"/>
      <c r="BO6" s="2"/>
      <c r="BP6" s="2"/>
      <c r="BQ6" s="2"/>
      <c r="BR6" s="2"/>
      <c r="BS6" s="12"/>
      <c r="BT6" s="684">
        <f>+IF(AND(DK6&gt;0,CI6&gt;0),CI6)</f>
        <v>70.177612713692625</v>
      </c>
      <c r="BU6" s="603" t="s">
        <v>103</v>
      </c>
      <c r="BV6" s="595"/>
      <c r="BW6" s="596"/>
      <c r="BX6" s="596"/>
      <c r="BY6" s="596"/>
      <c r="BZ6" s="596"/>
      <c r="CA6" s="596"/>
      <c r="CB6" s="596"/>
      <c r="CC6" s="596"/>
      <c r="CD6" s="596"/>
      <c r="CE6" s="596"/>
      <c r="CF6" s="596"/>
      <c r="CG6" s="596"/>
      <c r="CH6" s="597"/>
      <c r="CI6" s="768">
        <f>+((D10-D9)/D10)*C14</f>
        <v>70.177612713692625</v>
      </c>
      <c r="CJ6" s="769"/>
      <c r="CK6" s="604"/>
      <c r="CL6" s="604"/>
      <c r="CM6" s="604"/>
      <c r="CN6" s="604"/>
      <c r="CO6" s="604"/>
      <c r="CP6" s="604"/>
      <c r="CQ6" s="604"/>
      <c r="CR6" s="604"/>
      <c r="CS6" s="592"/>
      <c r="CT6" s="592"/>
      <c r="CU6" s="592"/>
      <c r="CV6" s="592"/>
      <c r="CW6" s="592"/>
      <c r="CX6" s="592"/>
      <c r="CY6" s="592"/>
      <c r="CZ6" s="592"/>
      <c r="DA6" s="592"/>
      <c r="DB6" s="592"/>
      <c r="DC6" s="592"/>
      <c r="DD6" s="592"/>
      <c r="DE6" s="592"/>
      <c r="DF6" s="592"/>
      <c r="DG6" s="592"/>
      <c r="DH6" s="592"/>
      <c r="DI6" s="592"/>
      <c r="DJ6" s="592"/>
      <c r="DK6" s="766">
        <f>+(D9/D10)*C14</f>
        <v>9.6223872863073741</v>
      </c>
      <c r="DL6" s="767"/>
      <c r="DM6" s="684">
        <f>+IF(AND(CI6&gt;0,DK6&gt;0),DK6)</f>
        <v>9.6223872863073741</v>
      </c>
      <c r="DN6" s="13"/>
      <c r="DO6" s="13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s="4" customFormat="1" ht="18" hidden="1" customHeight="1" x14ac:dyDescent="0.25">
      <c r="A7" s="3" t="s">
        <v>92</v>
      </c>
      <c r="B7" s="3"/>
      <c r="C7" s="3"/>
      <c r="D7" s="538" t="s">
        <v>158</v>
      </c>
      <c r="E7" s="538" t="s">
        <v>159</v>
      </c>
      <c r="F7" s="538" t="s">
        <v>160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2"/>
      <c r="BK7" s="2"/>
      <c r="BL7" s="2"/>
      <c r="BM7" s="2"/>
      <c r="BN7" s="2"/>
      <c r="BO7" s="2"/>
      <c r="BP7" s="2"/>
      <c r="BQ7" s="2"/>
      <c r="BR7" s="2"/>
      <c r="BS7" s="12"/>
      <c r="BT7" s="12"/>
      <c r="BU7" s="434"/>
      <c r="BV7" s="434"/>
      <c r="BW7" s="434"/>
      <c r="BX7" s="434"/>
      <c r="BY7" s="434"/>
      <c r="BZ7" s="434"/>
      <c r="CA7" s="434"/>
      <c r="CB7" s="434"/>
      <c r="CC7" s="434"/>
      <c r="CD7" s="434"/>
      <c r="CE7" s="434"/>
      <c r="CF7" s="434"/>
      <c r="CG7" s="434"/>
      <c r="CH7" s="434"/>
      <c r="CI7" s="434"/>
      <c r="CJ7" s="434"/>
      <c r="CK7" s="434"/>
      <c r="CL7" s="434"/>
      <c r="CM7" s="434"/>
      <c r="CN7" s="434"/>
      <c r="CO7" s="434"/>
      <c r="CP7" s="434"/>
      <c r="CQ7" s="434"/>
      <c r="CR7" s="434"/>
      <c r="CS7" s="434"/>
      <c r="CT7" s="434"/>
      <c r="CU7" s="434"/>
      <c r="CV7" s="434"/>
      <c r="CW7" s="434"/>
      <c r="CX7" s="434"/>
      <c r="CY7" s="434"/>
      <c r="CZ7" s="434"/>
      <c r="DA7" s="434"/>
      <c r="DB7" s="434"/>
      <c r="DC7" s="434"/>
      <c r="DD7" s="434"/>
      <c r="DE7" s="434"/>
      <c r="DF7" s="434"/>
      <c r="DG7" s="434"/>
      <c r="DH7" s="434"/>
      <c r="DI7" s="434"/>
      <c r="DJ7" s="434"/>
      <c r="DK7" s="434"/>
      <c r="DL7" s="434"/>
      <c r="DM7" s="13"/>
      <c r="DN7" s="13"/>
      <c r="DO7" s="13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s="4" customFormat="1" ht="38.25" hidden="1" customHeight="1" thickBot="1" x14ac:dyDescent="0.35">
      <c r="A8" s="19" t="s">
        <v>28</v>
      </c>
      <c r="B8" s="20"/>
      <c r="C8" s="21">
        <v>408</v>
      </c>
      <c r="D8" s="539">
        <f>+COS(($B$127*-1)*3.14159265358979/180)*C8</f>
        <v>408</v>
      </c>
      <c r="E8" s="540">
        <f>+COS(($B$127*-1)*3.14159265358979/180)*25.5</f>
        <v>25.5</v>
      </c>
      <c r="F8" s="540">
        <f>+COS((($B$127*-1)+58.4416265)*3.14159265358979/180)*45.856925</f>
        <v>23.999999960764171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2"/>
      <c r="BK8" s="2"/>
      <c r="BL8" s="2"/>
      <c r="BM8" s="2"/>
      <c r="BN8" s="2"/>
      <c r="BO8" s="2"/>
      <c r="BP8" s="2"/>
      <c r="BQ8" s="2"/>
      <c r="BR8" s="2"/>
      <c r="BS8" s="22"/>
      <c r="BT8" s="22"/>
      <c r="BU8" s="434"/>
      <c r="BV8" s="434"/>
      <c r="BW8" s="434"/>
      <c r="BX8" s="434"/>
      <c r="BY8" s="434"/>
      <c r="BZ8" s="434"/>
      <c r="CA8" s="434"/>
      <c r="CB8" s="434"/>
      <c r="CC8" s="434"/>
      <c r="CD8" s="434"/>
      <c r="CE8" s="434"/>
      <c r="CF8" s="434"/>
      <c r="CG8" s="434"/>
      <c r="CH8" s="434"/>
      <c r="CI8" s="434"/>
      <c r="CJ8" s="434"/>
      <c r="CK8" s="434"/>
      <c r="CL8" s="434"/>
      <c r="CM8" s="434"/>
      <c r="CN8" s="434"/>
      <c r="CO8" s="434"/>
      <c r="CP8" s="434"/>
      <c r="CQ8" s="434"/>
      <c r="CR8" s="434"/>
      <c r="CS8" s="434"/>
      <c r="CT8" s="434"/>
      <c r="CU8" s="434"/>
      <c r="CV8" s="434"/>
      <c r="CW8" s="434"/>
      <c r="CX8" s="434"/>
      <c r="CY8" s="434"/>
      <c r="CZ8" s="434"/>
      <c r="DA8" s="434"/>
      <c r="DB8" s="434"/>
      <c r="DC8" s="434"/>
      <c r="DD8" s="434"/>
      <c r="DE8" s="434"/>
      <c r="DF8" s="434"/>
      <c r="DG8" s="434"/>
      <c r="DH8" s="434"/>
      <c r="DI8" s="434"/>
      <c r="DJ8" s="434"/>
      <c r="DK8" s="434"/>
      <c r="DL8" s="434"/>
      <c r="DM8" s="13"/>
      <c r="DN8" s="13"/>
      <c r="DO8" s="13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s="4" customFormat="1" ht="38.25" hidden="1" customHeight="1" thickBot="1" x14ac:dyDescent="0.35">
      <c r="A9" s="19" t="s">
        <v>93</v>
      </c>
      <c r="B9" s="20"/>
      <c r="C9" s="21">
        <f>+C16-24</f>
        <v>89.169867106432136</v>
      </c>
      <c r="D9" s="539">
        <f>+C16-F8</f>
        <v>89.169867145667965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2"/>
      <c r="BK9" s="2"/>
      <c r="BL9" s="2"/>
      <c r="BM9" s="2"/>
      <c r="BN9" s="2"/>
      <c r="BO9" s="2"/>
      <c r="BP9" s="2"/>
      <c r="BQ9" s="2"/>
      <c r="BR9" s="2"/>
      <c r="BS9" s="12"/>
      <c r="BT9" s="12"/>
      <c r="BU9" s="434">
        <v>26</v>
      </c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434"/>
      <c r="CX9" s="434"/>
      <c r="CY9" s="434"/>
      <c r="CZ9" s="434"/>
      <c r="DA9" s="434"/>
      <c r="DB9" s="434"/>
      <c r="DC9" s="434"/>
      <c r="DD9" s="434"/>
      <c r="DE9" s="434"/>
      <c r="DF9" s="434"/>
      <c r="DG9" s="434"/>
      <c r="DH9" s="434"/>
      <c r="DI9" s="434"/>
      <c r="DJ9" s="605" t="b">
        <f>IF(DK74=26,25)</f>
        <v>0</v>
      </c>
      <c r="DK9" s="606"/>
      <c r="DL9" s="607" t="b">
        <f>IF(DK74=26,27)</f>
        <v>0</v>
      </c>
      <c r="DM9" s="13"/>
      <c r="DN9" s="13"/>
      <c r="DO9" s="13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s="4" customFormat="1" ht="38.25" hidden="1" customHeight="1" thickBot="1" x14ac:dyDescent="0.35">
      <c r="A10" s="23" t="s">
        <v>80</v>
      </c>
      <c r="B10" s="20"/>
      <c r="C10" s="24">
        <v>739.5</v>
      </c>
      <c r="D10" s="539">
        <f>+COS(($B$127*-1)*3.14159265358979/180)*C10</f>
        <v>739.5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2"/>
      <c r="BK10" s="2"/>
      <c r="BL10" s="2"/>
      <c r="BM10" s="2"/>
      <c r="BN10" s="2"/>
      <c r="BO10" s="2"/>
      <c r="BP10" s="2"/>
      <c r="BQ10" s="2"/>
      <c r="BR10" s="2"/>
      <c r="BS10" s="12"/>
      <c r="BT10" s="12"/>
      <c r="BU10" s="434">
        <v>25</v>
      </c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434"/>
      <c r="CL10" s="434"/>
      <c r="CM10" s="434"/>
      <c r="CN10" s="434"/>
      <c r="CO10" s="434"/>
      <c r="CP10" s="434"/>
      <c r="CQ10" s="434"/>
      <c r="CR10" s="434"/>
      <c r="CS10" s="434"/>
      <c r="CT10" s="434"/>
      <c r="CU10" s="434"/>
      <c r="CV10" s="434"/>
      <c r="CW10" s="434"/>
      <c r="CX10" s="434"/>
      <c r="CY10" s="434"/>
      <c r="CZ10" s="434"/>
      <c r="DA10" s="434"/>
      <c r="DB10" s="434"/>
      <c r="DC10" s="434"/>
      <c r="DD10" s="434"/>
      <c r="DE10" s="434"/>
      <c r="DF10" s="434"/>
      <c r="DG10" s="434"/>
      <c r="DH10" s="605" t="b">
        <f>IF(DJ74=25,23)</f>
        <v>0</v>
      </c>
      <c r="DI10" s="606"/>
      <c r="DJ10" s="606"/>
      <c r="DK10" s="606"/>
      <c r="DL10" s="607" t="b">
        <f>IF(DJ74=25,27)</f>
        <v>0</v>
      </c>
      <c r="DM10" s="13"/>
      <c r="DN10" s="13"/>
      <c r="DO10" s="13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s="4" customFormat="1" ht="38.25" hidden="1" customHeight="1" thickBot="1" x14ac:dyDescent="0.35">
      <c r="A11" s="23" t="s">
        <v>79</v>
      </c>
      <c r="B11" s="20"/>
      <c r="C11" s="25">
        <v>739.5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2"/>
      <c r="BK11" s="2"/>
      <c r="BL11" s="2"/>
      <c r="BM11" s="2"/>
      <c r="BN11" s="2"/>
      <c r="BO11" s="2"/>
      <c r="BP11" s="2"/>
      <c r="BQ11" s="2"/>
      <c r="BR11" s="2"/>
      <c r="BS11" s="12"/>
      <c r="BT11" s="12"/>
      <c r="BU11" s="434">
        <v>24</v>
      </c>
      <c r="BV11" s="608"/>
      <c r="BW11" s="608"/>
      <c r="BX11" s="608"/>
      <c r="BY11" s="608"/>
      <c r="BZ11" s="434"/>
      <c r="CA11" s="434"/>
      <c r="CB11" s="434"/>
      <c r="CC11" s="434"/>
      <c r="CD11" s="434"/>
      <c r="CE11" s="434"/>
      <c r="CF11" s="434"/>
      <c r="CG11" s="434"/>
      <c r="CH11" s="434"/>
      <c r="CI11" s="434"/>
      <c r="CJ11" s="434"/>
      <c r="CK11" s="434"/>
      <c r="CL11" s="434"/>
      <c r="CM11" s="434"/>
      <c r="CN11" s="434"/>
      <c r="CO11" s="434"/>
      <c r="CP11" s="434"/>
      <c r="CQ11" s="434"/>
      <c r="CR11" s="434"/>
      <c r="CS11" s="434"/>
      <c r="CT11" s="434"/>
      <c r="CU11" s="434"/>
      <c r="CV11" s="434"/>
      <c r="CW11" s="434"/>
      <c r="CX11" s="434"/>
      <c r="CY11" s="434"/>
      <c r="CZ11" s="434"/>
      <c r="DA11" s="434"/>
      <c r="DB11" s="434"/>
      <c r="DC11" s="434"/>
      <c r="DD11" s="434"/>
      <c r="DE11" s="434"/>
      <c r="DF11" s="605" t="b">
        <f>IF(DI74=24,21)</f>
        <v>0</v>
      </c>
      <c r="DG11" s="606"/>
      <c r="DH11" s="606"/>
      <c r="DI11" s="606"/>
      <c r="DJ11" s="606"/>
      <c r="DK11" s="609"/>
      <c r="DL11" s="607" t="b">
        <f>IF(DI74=24,27)</f>
        <v>0</v>
      </c>
      <c r="DM11" s="13"/>
      <c r="DN11" s="13"/>
      <c r="DO11" s="13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s="4" customFormat="1" ht="38.25" hidden="1" customHeight="1" thickBot="1" x14ac:dyDescent="0.35">
      <c r="A12" s="574" t="s">
        <v>161</v>
      </c>
      <c r="B12" s="20"/>
      <c r="C12" s="580">
        <f>+C16+307.5</f>
        <v>420.66986710643215</v>
      </c>
      <c r="D12" s="550">
        <f>+(COS(($B$127*-1)*3.14159265358979/180)*331.5)+$D$9</f>
        <v>420.66986714566798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2"/>
      <c r="BK12" s="2"/>
      <c r="BL12" s="2"/>
      <c r="BM12" s="2"/>
      <c r="BN12" s="2"/>
      <c r="BO12" s="2"/>
      <c r="BP12" s="2"/>
      <c r="BQ12" s="2"/>
      <c r="BR12" s="2"/>
      <c r="BS12" s="12"/>
      <c r="BT12" s="12"/>
      <c r="BU12" s="434">
        <v>23</v>
      </c>
      <c r="BV12" s="608"/>
      <c r="BW12" s="608"/>
      <c r="BX12" s="608"/>
      <c r="BY12" s="608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434"/>
      <c r="CR12" s="434"/>
      <c r="CS12" s="434"/>
      <c r="CT12" s="434"/>
      <c r="CU12" s="434"/>
      <c r="CV12" s="434"/>
      <c r="CW12" s="434"/>
      <c r="CX12" s="434"/>
      <c r="CY12" s="434"/>
      <c r="CZ12" s="434"/>
      <c r="DA12" s="434"/>
      <c r="DB12" s="434"/>
      <c r="DC12" s="434"/>
      <c r="DD12" s="605" t="b">
        <f>IF(DH74=23,19)</f>
        <v>0</v>
      </c>
      <c r="DE12" s="606"/>
      <c r="DF12" s="606"/>
      <c r="DG12" s="606"/>
      <c r="DH12" s="606"/>
      <c r="DI12" s="606"/>
      <c r="DJ12" s="606"/>
      <c r="DK12" s="606"/>
      <c r="DL12" s="607" t="b">
        <f>IF(DH74=23,27)</f>
        <v>0</v>
      </c>
      <c r="DM12" s="13"/>
      <c r="DN12" s="13"/>
      <c r="DO12" s="13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s="4" customFormat="1" ht="18.75" hidden="1" thickBot="1" x14ac:dyDescent="0.3">
      <c r="A13" s="2"/>
      <c r="B13" s="27"/>
      <c r="C13" s="2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2"/>
      <c r="BK13" s="2"/>
      <c r="BL13" s="2"/>
      <c r="BM13" s="2"/>
      <c r="BN13" s="2"/>
      <c r="BO13" s="2"/>
      <c r="BP13" s="2"/>
      <c r="BQ13" s="2"/>
      <c r="BR13" s="2"/>
      <c r="BS13" s="12"/>
      <c r="BT13" s="12"/>
      <c r="BU13" s="434">
        <v>22</v>
      </c>
      <c r="BV13" s="608"/>
      <c r="BW13" s="608"/>
      <c r="BX13" s="608"/>
      <c r="BY13" s="608"/>
      <c r="BZ13" s="434"/>
      <c r="CA13" s="434"/>
      <c r="CB13" s="434"/>
      <c r="CC13" s="434"/>
      <c r="CD13" s="434"/>
      <c r="CE13" s="434"/>
      <c r="CF13" s="434"/>
      <c r="CG13" s="434"/>
      <c r="CH13" s="434"/>
      <c r="CI13" s="434"/>
      <c r="CJ13" s="434"/>
      <c r="CK13" s="434"/>
      <c r="CL13" s="434"/>
      <c r="CM13" s="434"/>
      <c r="CN13" s="434"/>
      <c r="CO13" s="434"/>
      <c r="CP13" s="434"/>
      <c r="CQ13" s="434"/>
      <c r="CR13" s="434"/>
      <c r="CS13" s="434"/>
      <c r="CT13" s="434"/>
      <c r="CU13" s="434"/>
      <c r="CV13" s="434"/>
      <c r="CW13" s="434"/>
      <c r="CX13" s="434"/>
      <c r="CY13" s="434"/>
      <c r="CZ13" s="434"/>
      <c r="DA13" s="434"/>
      <c r="DB13" s="605" t="b">
        <f>IF(DG74=22,17)</f>
        <v>0</v>
      </c>
      <c r="DC13" s="606"/>
      <c r="DD13" s="606"/>
      <c r="DE13" s="606"/>
      <c r="DF13" s="606"/>
      <c r="DG13" s="606"/>
      <c r="DH13" s="606"/>
      <c r="DI13" s="606"/>
      <c r="DJ13" s="606"/>
      <c r="DK13" s="606"/>
      <c r="DL13" s="607" t="b">
        <f>IF(DG74=22,27)</f>
        <v>0</v>
      </c>
      <c r="DM13" s="13"/>
      <c r="DN13" s="13"/>
      <c r="DO13" s="13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s="4" customFormat="1" ht="18.75" hidden="1" thickBot="1" x14ac:dyDescent="0.3">
      <c r="A14" s="2"/>
      <c r="B14" s="579" t="s">
        <v>18</v>
      </c>
      <c r="C14" s="567">
        <f>+C18+C21+6+6+6+0.5+1.5+20</f>
        <v>79.8</v>
      </c>
      <c r="D14" s="28"/>
      <c r="E14" s="28"/>
      <c r="F14" s="28"/>
      <c r="G14" s="28"/>
      <c r="H14" s="28"/>
      <c r="I14" s="28"/>
      <c r="J14" s="28"/>
      <c r="K14" s="2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2"/>
      <c r="BK14" s="2"/>
      <c r="BL14" s="2"/>
      <c r="BM14" s="2"/>
      <c r="BN14" s="2"/>
      <c r="BO14" s="2"/>
      <c r="BP14" s="2"/>
      <c r="BQ14" s="2"/>
      <c r="BR14" s="2"/>
      <c r="BS14" s="12"/>
      <c r="BT14" s="12"/>
      <c r="BU14" s="434">
        <v>21</v>
      </c>
      <c r="BV14" s="608"/>
      <c r="BW14" s="608"/>
      <c r="BX14" s="608"/>
      <c r="BY14" s="608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434"/>
      <c r="CN14" s="434"/>
      <c r="CO14" s="434"/>
      <c r="CP14" s="434"/>
      <c r="CQ14" s="434"/>
      <c r="CR14" s="434"/>
      <c r="CS14" s="434"/>
      <c r="CT14" s="434"/>
      <c r="CU14" s="434"/>
      <c r="CV14" s="434"/>
      <c r="CW14" s="434"/>
      <c r="CX14" s="434"/>
      <c r="CY14" s="434"/>
      <c r="CZ14" s="605" t="b">
        <f>IF(DF74=21,15)</f>
        <v>0</v>
      </c>
      <c r="DA14" s="606"/>
      <c r="DB14" s="606"/>
      <c r="DC14" s="606"/>
      <c r="DD14" s="606"/>
      <c r="DE14" s="606"/>
      <c r="DF14" s="606"/>
      <c r="DG14" s="606"/>
      <c r="DH14" s="606"/>
      <c r="DI14" s="606"/>
      <c r="DJ14" s="606"/>
      <c r="DK14" s="606"/>
      <c r="DL14" s="607" t="b">
        <f>IF(DF74=21,27)</f>
        <v>0</v>
      </c>
      <c r="DM14" s="13"/>
      <c r="DN14" s="13"/>
      <c r="DO14" s="13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s="4" customFormat="1" ht="18.75" hidden="1" thickBot="1" x14ac:dyDescent="0.3">
      <c r="A15" s="2"/>
      <c r="B15" s="579" t="s">
        <v>19</v>
      </c>
      <c r="C15" s="579">
        <f>+AZ133</f>
        <v>214.3857649618067</v>
      </c>
      <c r="D15" s="28"/>
      <c r="E15" s="28"/>
      <c r="F15" s="28"/>
      <c r="G15" s="28"/>
      <c r="H15" s="28"/>
      <c r="I15" s="28"/>
      <c r="J15" s="28"/>
      <c r="K15" s="2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2"/>
      <c r="BK15" s="2"/>
      <c r="BL15" s="2"/>
      <c r="BM15" s="2"/>
      <c r="BN15" s="2"/>
      <c r="BO15" s="2"/>
      <c r="BP15" s="2"/>
      <c r="BQ15" s="2"/>
      <c r="BR15" s="2"/>
      <c r="BS15" s="12"/>
      <c r="BT15" s="12"/>
      <c r="BU15" s="434">
        <v>20</v>
      </c>
      <c r="BV15" s="608"/>
      <c r="BW15" s="608"/>
      <c r="BX15" s="608"/>
      <c r="BY15" s="608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605" t="b">
        <f>IF(DE74=20,13)</f>
        <v>0</v>
      </c>
      <c r="CY15" s="606"/>
      <c r="CZ15" s="606"/>
      <c r="DA15" s="606"/>
      <c r="DB15" s="606"/>
      <c r="DC15" s="606"/>
      <c r="DD15" s="606"/>
      <c r="DE15" s="606"/>
      <c r="DF15" s="606"/>
      <c r="DG15" s="606"/>
      <c r="DH15" s="606"/>
      <c r="DI15" s="606"/>
      <c r="DJ15" s="606"/>
      <c r="DK15" s="606"/>
      <c r="DL15" s="607" t="b">
        <f>IF(DE74=20,27)</f>
        <v>0</v>
      </c>
      <c r="DM15" s="13"/>
      <c r="DN15" s="13"/>
      <c r="DO15" s="13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s="4" customFormat="1" ht="18.75" hidden="1" thickBot="1" x14ac:dyDescent="0.3">
      <c r="A16" s="2"/>
      <c r="B16" s="579" t="s">
        <v>14</v>
      </c>
      <c r="C16" s="579">
        <f>+AW133</f>
        <v>113.16986710643214</v>
      </c>
      <c r="D16" s="28"/>
      <c r="E16" s="28"/>
      <c r="F16" s="28"/>
      <c r="G16" s="28"/>
      <c r="H16" s="28"/>
      <c r="I16" s="28"/>
      <c r="J16" s="28"/>
      <c r="K16" s="2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2"/>
      <c r="BK16" s="2"/>
      <c r="BL16" s="2"/>
      <c r="BM16" s="2"/>
      <c r="BN16" s="2"/>
      <c r="BO16" s="2"/>
      <c r="BP16" s="2"/>
      <c r="BQ16" s="2"/>
      <c r="BR16" s="2"/>
      <c r="BS16" s="12"/>
      <c r="BT16" s="12"/>
      <c r="BU16" s="434">
        <v>19</v>
      </c>
      <c r="BV16" s="608"/>
      <c r="BW16" s="608"/>
      <c r="BX16" s="608"/>
      <c r="BY16" s="608"/>
      <c r="BZ16" s="434"/>
      <c r="CA16" s="434"/>
      <c r="CB16" s="434"/>
      <c r="CC16" s="434"/>
      <c r="CD16" s="434"/>
      <c r="CE16" s="434"/>
      <c r="CF16" s="434"/>
      <c r="CG16" s="434"/>
      <c r="CH16" s="434"/>
      <c r="CI16" s="434"/>
      <c r="CJ16" s="434"/>
      <c r="CK16" s="434"/>
      <c r="CL16" s="434"/>
      <c r="CM16" s="434"/>
      <c r="CN16" s="434"/>
      <c r="CO16" s="434"/>
      <c r="CP16" s="434"/>
      <c r="CQ16" s="434"/>
      <c r="CR16" s="434"/>
      <c r="CS16" s="434"/>
      <c r="CT16" s="434"/>
      <c r="CU16" s="434"/>
      <c r="CV16" s="605" t="b">
        <f>IF(DD74=19,11)</f>
        <v>0</v>
      </c>
      <c r="CW16" s="606"/>
      <c r="CX16" s="606"/>
      <c r="CY16" s="606"/>
      <c r="CZ16" s="606"/>
      <c r="DA16" s="606"/>
      <c r="DB16" s="606"/>
      <c r="DC16" s="606"/>
      <c r="DD16" s="606"/>
      <c r="DE16" s="606"/>
      <c r="DF16" s="606"/>
      <c r="DG16" s="606"/>
      <c r="DH16" s="606"/>
      <c r="DI16" s="606"/>
      <c r="DJ16" s="606"/>
      <c r="DK16" s="606"/>
      <c r="DL16" s="607" t="b">
        <f>IF(DD74=19,27)</f>
        <v>0</v>
      </c>
      <c r="DM16" s="13"/>
      <c r="DN16" s="13"/>
      <c r="DO16" s="13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s="4" customFormat="1" ht="18.75" hidden="1" thickBot="1" x14ac:dyDescent="0.3">
      <c r="A17" s="2"/>
      <c r="B17" s="3"/>
      <c r="C17" s="3"/>
      <c r="D17" s="28"/>
      <c r="E17" s="28"/>
      <c r="F17" s="28"/>
      <c r="G17" s="28"/>
      <c r="H17" s="28"/>
      <c r="I17" s="28"/>
      <c r="J17" s="28"/>
      <c r="K17" s="2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2"/>
      <c r="BK17" s="2"/>
      <c r="BL17" s="2"/>
      <c r="BM17" s="2"/>
      <c r="BN17" s="2"/>
      <c r="BO17" s="2"/>
      <c r="BP17" s="2"/>
      <c r="BQ17" s="2"/>
      <c r="BR17" s="2"/>
      <c r="BS17" s="12"/>
      <c r="BT17" s="12"/>
      <c r="BU17" s="434">
        <v>18</v>
      </c>
      <c r="BV17" s="608"/>
      <c r="BW17" s="608"/>
      <c r="BX17" s="608"/>
      <c r="BY17" s="608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434"/>
      <c r="CQ17" s="434"/>
      <c r="CR17" s="434"/>
      <c r="CS17" s="434"/>
      <c r="CT17" s="605" t="b">
        <f>IF(DC74=18,9)</f>
        <v>0</v>
      </c>
      <c r="CU17" s="606"/>
      <c r="CV17" s="606"/>
      <c r="CW17" s="606"/>
      <c r="CX17" s="606"/>
      <c r="CY17" s="606"/>
      <c r="CZ17" s="606"/>
      <c r="DA17" s="606"/>
      <c r="DB17" s="606"/>
      <c r="DC17" s="606"/>
      <c r="DD17" s="606"/>
      <c r="DE17" s="606"/>
      <c r="DF17" s="606"/>
      <c r="DG17" s="606"/>
      <c r="DH17" s="606"/>
      <c r="DI17" s="606"/>
      <c r="DJ17" s="606"/>
      <c r="DK17" s="606"/>
      <c r="DL17" s="607" t="b">
        <f>IF(DC74=18,27)</f>
        <v>0</v>
      </c>
      <c r="DM17" s="13"/>
      <c r="DN17" s="13"/>
      <c r="DO17" s="13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s="4" customFormat="1" ht="18.75" hidden="1" thickBot="1" x14ac:dyDescent="0.3">
      <c r="A18" s="2"/>
      <c r="B18" s="29" t="s">
        <v>112</v>
      </c>
      <c r="C18" s="30">
        <f>+B163*20</f>
        <v>20</v>
      </c>
      <c r="D18" s="28"/>
      <c r="E18" s="28"/>
      <c r="F18" s="28"/>
      <c r="G18" s="28"/>
      <c r="H18" s="28"/>
      <c r="I18" s="28"/>
      <c r="J18" s="28"/>
      <c r="K18" s="2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2"/>
      <c r="BK18" s="2"/>
      <c r="BL18" s="2"/>
      <c r="BM18" s="2"/>
      <c r="BN18" s="2"/>
      <c r="BO18" s="2"/>
      <c r="BP18" s="2"/>
      <c r="BQ18" s="2"/>
      <c r="BR18" s="2"/>
      <c r="BS18" s="12"/>
      <c r="BT18" s="12"/>
      <c r="BU18" s="434">
        <v>17</v>
      </c>
      <c r="BV18" s="608"/>
      <c r="BW18" s="608"/>
      <c r="BX18" s="608"/>
      <c r="BY18" s="608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434"/>
      <c r="CQ18" s="434"/>
      <c r="CR18" s="434"/>
      <c r="CS18" s="434"/>
      <c r="CT18" s="610" t="b">
        <f>IF(DB74=17,9)</f>
        <v>0</v>
      </c>
      <c r="CU18" s="611"/>
      <c r="CV18" s="611"/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2" t="b">
        <f>IF(DB74=17,25)</f>
        <v>0</v>
      </c>
      <c r="DK18" s="434"/>
      <c r="DL18" s="434"/>
      <c r="DM18" s="13"/>
      <c r="DN18" s="13"/>
      <c r="DO18" s="13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s="4" customFormat="1" ht="18.75" hidden="1" thickBot="1" x14ac:dyDescent="0.3">
      <c r="A19" s="2"/>
      <c r="B19" s="29" t="s">
        <v>113</v>
      </c>
      <c r="C19" s="30">
        <v>456</v>
      </c>
      <c r="D19" s="28"/>
      <c r="E19" s="28"/>
      <c r="F19" s="28"/>
      <c r="G19" s="28"/>
      <c r="H19" s="28"/>
      <c r="I19" s="28"/>
      <c r="J19" s="28"/>
      <c r="K19" s="2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2"/>
      <c r="BK19" s="2"/>
      <c r="BL19" s="2"/>
      <c r="BM19" s="2"/>
      <c r="BN19" s="2"/>
      <c r="BO19" s="2"/>
      <c r="BP19" s="2"/>
      <c r="BQ19" s="2"/>
      <c r="BR19" s="2"/>
      <c r="BS19" s="12"/>
      <c r="BT19" s="12"/>
      <c r="BU19" s="434">
        <v>16</v>
      </c>
      <c r="BV19" s="608"/>
      <c r="BW19" s="608"/>
      <c r="BX19" s="608"/>
      <c r="BY19" s="608"/>
      <c r="BZ19" s="608"/>
      <c r="CA19" s="608"/>
      <c r="CB19" s="608"/>
      <c r="CC19" s="608"/>
      <c r="CD19" s="608"/>
      <c r="CE19" s="608"/>
      <c r="CF19" s="608"/>
      <c r="CG19" s="608"/>
      <c r="CH19" s="608"/>
      <c r="CI19" s="608"/>
      <c r="CJ19" s="608"/>
      <c r="CK19" s="608"/>
      <c r="CL19" s="608"/>
      <c r="CM19" s="608"/>
      <c r="CN19" s="608"/>
      <c r="CO19" s="608"/>
      <c r="CP19" s="613" t="b">
        <f>IF(DA74=16,8)</f>
        <v>0</v>
      </c>
      <c r="CQ19" s="614"/>
      <c r="CR19" s="614"/>
      <c r="CS19" s="614"/>
      <c r="CT19" s="606"/>
      <c r="CU19" s="606"/>
      <c r="CV19" s="606"/>
      <c r="CW19" s="606"/>
      <c r="CX19" s="606"/>
      <c r="CY19" s="606"/>
      <c r="CZ19" s="606"/>
      <c r="DA19" s="606"/>
      <c r="DB19" s="606"/>
      <c r="DC19" s="606"/>
      <c r="DD19" s="606"/>
      <c r="DE19" s="606"/>
      <c r="DF19" s="606"/>
      <c r="DG19" s="606"/>
      <c r="DH19" s="606"/>
      <c r="DI19" s="606"/>
      <c r="DJ19" s="606"/>
      <c r="DK19" s="606"/>
      <c r="DL19" s="615" t="b">
        <f>IF(DA74=16,27)</f>
        <v>0</v>
      </c>
      <c r="DM19" s="13"/>
      <c r="DN19" s="13"/>
      <c r="DO19" s="13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s="4" customFormat="1" ht="18.75" hidden="1" thickBot="1" x14ac:dyDescent="0.3">
      <c r="A20" s="2"/>
      <c r="B20" s="3"/>
      <c r="C20" s="3"/>
      <c r="D20" s="28"/>
      <c r="E20" s="28"/>
      <c r="F20" s="28"/>
      <c r="G20" s="28"/>
      <c r="H20" s="28"/>
      <c r="I20" s="28"/>
      <c r="J20" s="28"/>
      <c r="K20" s="2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2"/>
      <c r="BK20" s="2"/>
      <c r="BL20" s="2"/>
      <c r="BM20" s="2"/>
      <c r="BN20" s="2"/>
      <c r="BO20" s="2"/>
      <c r="BP20" s="2"/>
      <c r="BQ20" s="2"/>
      <c r="BR20" s="2"/>
      <c r="BS20" s="12"/>
      <c r="BT20" s="12"/>
      <c r="BU20" s="434">
        <v>15</v>
      </c>
      <c r="BV20" s="608"/>
      <c r="BW20" s="608"/>
      <c r="BX20" s="608"/>
      <c r="BY20" s="608"/>
      <c r="BZ20" s="608"/>
      <c r="CA20" s="608"/>
      <c r="CB20" s="608"/>
      <c r="CC20" s="608"/>
      <c r="CD20" s="608"/>
      <c r="CE20" s="608"/>
      <c r="CF20" s="608"/>
      <c r="CG20" s="608"/>
      <c r="CH20" s="608"/>
      <c r="CI20" s="608"/>
      <c r="CJ20" s="608"/>
      <c r="CK20" s="608"/>
      <c r="CL20" s="608"/>
      <c r="CM20" s="608"/>
      <c r="CN20" s="613" t="b">
        <f>IF(CZ74=15,6)</f>
        <v>0</v>
      </c>
      <c r="CO20" s="614"/>
      <c r="CP20" s="614"/>
      <c r="CQ20" s="614"/>
      <c r="CR20" s="614"/>
      <c r="CS20" s="614"/>
      <c r="CT20" s="606"/>
      <c r="CU20" s="606"/>
      <c r="CV20" s="606"/>
      <c r="CW20" s="606"/>
      <c r="CX20" s="606"/>
      <c r="CY20" s="606"/>
      <c r="CZ20" s="606"/>
      <c r="DA20" s="606"/>
      <c r="DB20" s="606"/>
      <c r="DC20" s="606"/>
      <c r="DD20" s="606"/>
      <c r="DE20" s="606"/>
      <c r="DF20" s="606"/>
      <c r="DG20" s="606"/>
      <c r="DH20" s="606"/>
      <c r="DI20" s="606"/>
      <c r="DJ20" s="606"/>
      <c r="DK20" s="606"/>
      <c r="DL20" s="615" t="b">
        <f>IF(CZ74=15,27)</f>
        <v>0</v>
      </c>
      <c r="DM20" s="13"/>
      <c r="DN20" s="13"/>
      <c r="DO20" s="13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</row>
    <row r="21" spans="1:134" s="4" customFormat="1" ht="18.75" hidden="1" thickBot="1" x14ac:dyDescent="0.3">
      <c r="A21" s="2"/>
      <c r="B21" s="29" t="s">
        <v>114</v>
      </c>
      <c r="C21" s="30">
        <f>(+B184*9.9)+(B130*9.9)</f>
        <v>19.8</v>
      </c>
      <c r="D21" s="28"/>
      <c r="E21" s="28"/>
      <c r="F21" s="28"/>
      <c r="G21" s="28"/>
      <c r="H21" s="28"/>
      <c r="I21" s="28"/>
      <c r="J21" s="28"/>
      <c r="K21" s="2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2"/>
      <c r="BK21" s="2"/>
      <c r="BL21" s="2"/>
      <c r="BM21" s="2"/>
      <c r="BN21" s="2"/>
      <c r="BO21" s="2"/>
      <c r="BP21" s="2"/>
      <c r="BQ21" s="2"/>
      <c r="BR21" s="2"/>
      <c r="BS21" s="12"/>
      <c r="BT21" s="12"/>
      <c r="BU21" s="434">
        <v>14</v>
      </c>
      <c r="BV21" s="608"/>
      <c r="BW21" s="608"/>
      <c r="BX21" s="608"/>
      <c r="BY21" s="608"/>
      <c r="BZ21" s="608"/>
      <c r="CA21" s="608"/>
      <c r="CB21" s="608"/>
      <c r="CC21" s="608"/>
      <c r="CD21" s="608"/>
      <c r="CE21" s="608"/>
      <c r="CF21" s="608"/>
      <c r="CG21" s="608"/>
      <c r="CH21" s="608"/>
      <c r="CI21" s="608"/>
      <c r="CJ21" s="608"/>
      <c r="CK21" s="608"/>
      <c r="CL21" s="613" t="b">
        <f>IF(CY74=14,4)</f>
        <v>0</v>
      </c>
      <c r="CM21" s="614"/>
      <c r="CN21" s="614"/>
      <c r="CO21" s="614"/>
      <c r="CP21" s="614"/>
      <c r="CQ21" s="614"/>
      <c r="CR21" s="614"/>
      <c r="CS21" s="614"/>
      <c r="CT21" s="606"/>
      <c r="CU21" s="606"/>
      <c r="CV21" s="606"/>
      <c r="CW21" s="606"/>
      <c r="CX21" s="606"/>
      <c r="CY21" s="606"/>
      <c r="CZ21" s="606"/>
      <c r="DA21" s="606"/>
      <c r="DB21" s="606"/>
      <c r="DC21" s="606"/>
      <c r="DD21" s="606"/>
      <c r="DE21" s="606"/>
      <c r="DF21" s="606"/>
      <c r="DG21" s="606"/>
      <c r="DH21" s="606"/>
      <c r="DI21" s="606"/>
      <c r="DJ21" s="606"/>
      <c r="DK21" s="606"/>
      <c r="DL21" s="615" t="b">
        <f>IF(CY74=14,27)</f>
        <v>0</v>
      </c>
      <c r="DM21" s="13"/>
      <c r="DN21" s="13"/>
      <c r="DO21" s="13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</row>
    <row r="22" spans="1:134" s="4" customFormat="1" ht="18.75" hidden="1" thickBot="1" x14ac:dyDescent="0.3">
      <c r="A22" s="2"/>
      <c r="B22" s="29" t="s">
        <v>115</v>
      </c>
      <c r="C22" s="30">
        <v>214.4</v>
      </c>
      <c r="D22" s="28"/>
      <c r="E22" s="28"/>
      <c r="F22" s="28"/>
      <c r="G22" s="28"/>
      <c r="H22" s="28"/>
      <c r="I22" s="28"/>
      <c r="J22" s="28"/>
      <c r="K22" s="2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2"/>
      <c r="BK22" s="2"/>
      <c r="BL22" s="2"/>
      <c r="BM22" s="2"/>
      <c r="BN22" s="2"/>
      <c r="BO22" s="2"/>
      <c r="BP22" s="2"/>
      <c r="BQ22" s="2"/>
      <c r="BR22" s="2"/>
      <c r="BS22" s="12"/>
      <c r="BT22" s="12"/>
      <c r="BU22" s="434">
        <v>13</v>
      </c>
      <c r="BV22" s="608"/>
      <c r="BW22" s="608"/>
      <c r="BX22" s="608"/>
      <c r="BY22" s="608"/>
      <c r="BZ22" s="608"/>
      <c r="CA22" s="608"/>
      <c r="CB22" s="608"/>
      <c r="CC22" s="608"/>
      <c r="CD22" s="608"/>
      <c r="CE22" s="608"/>
      <c r="CF22" s="608"/>
      <c r="CG22" s="608"/>
      <c r="CH22" s="608"/>
      <c r="CI22" s="608"/>
      <c r="CJ22" s="613" t="b">
        <f>IF(CX74=13,2)</f>
        <v>0</v>
      </c>
      <c r="CK22" s="614"/>
      <c r="CL22" s="614"/>
      <c r="CM22" s="614"/>
      <c r="CN22" s="614"/>
      <c r="CO22" s="614"/>
      <c r="CP22" s="614"/>
      <c r="CQ22" s="614"/>
      <c r="CR22" s="614"/>
      <c r="CS22" s="614"/>
      <c r="CT22" s="606"/>
      <c r="CU22" s="606"/>
      <c r="CV22" s="606"/>
      <c r="CW22" s="606"/>
      <c r="CX22" s="606"/>
      <c r="CY22" s="606"/>
      <c r="CZ22" s="606"/>
      <c r="DA22" s="606"/>
      <c r="DB22" s="606"/>
      <c r="DC22" s="606"/>
      <c r="DD22" s="606"/>
      <c r="DE22" s="606"/>
      <c r="DF22" s="606"/>
      <c r="DG22" s="606"/>
      <c r="DH22" s="606"/>
      <c r="DI22" s="606"/>
      <c r="DJ22" s="606"/>
      <c r="DK22" s="606"/>
      <c r="DL22" s="615" t="b">
        <f>IF(CX74=13,27)</f>
        <v>0</v>
      </c>
      <c r="DM22" s="13"/>
      <c r="DN22" s="13"/>
      <c r="DO22" s="13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</row>
    <row r="23" spans="1:134" s="4" customFormat="1" ht="18.75" hidden="1" thickBot="1" x14ac:dyDescent="0.3">
      <c r="A23" s="2"/>
      <c r="B23" s="31"/>
      <c r="C23" s="31"/>
      <c r="D23" s="28"/>
      <c r="E23" s="28"/>
      <c r="F23" s="28"/>
      <c r="G23" s="28"/>
      <c r="H23" s="28"/>
      <c r="I23" s="28"/>
      <c r="J23" s="28"/>
      <c r="K23" s="2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2"/>
      <c r="BK23" s="2"/>
      <c r="BL23" s="2"/>
      <c r="BM23" s="2"/>
      <c r="BN23" s="2"/>
      <c r="BO23" s="2"/>
      <c r="BP23" s="2"/>
      <c r="BQ23" s="2"/>
      <c r="BR23" s="2"/>
      <c r="BS23" s="12"/>
      <c r="BT23" s="12"/>
      <c r="BU23" s="434">
        <v>12</v>
      </c>
      <c r="BV23" s="608"/>
      <c r="BW23" s="608"/>
      <c r="BX23" s="608"/>
      <c r="BY23" s="608"/>
      <c r="BZ23" s="608"/>
      <c r="CA23" s="608"/>
      <c r="CB23" s="608"/>
      <c r="CC23" s="608"/>
      <c r="CD23" s="608"/>
      <c r="CE23" s="608"/>
      <c r="CF23" s="608"/>
      <c r="CG23" s="608"/>
      <c r="CH23" s="608"/>
      <c r="CI23" s="613" t="b">
        <f>IF(CW74=12,1)</f>
        <v>0</v>
      </c>
      <c r="CJ23" s="614"/>
      <c r="CK23" s="614"/>
      <c r="CL23" s="614"/>
      <c r="CM23" s="614"/>
      <c r="CN23" s="614"/>
      <c r="CO23" s="614"/>
      <c r="CP23" s="614"/>
      <c r="CQ23" s="614"/>
      <c r="CR23" s="614"/>
      <c r="CS23" s="614"/>
      <c r="CT23" s="606"/>
      <c r="CU23" s="606"/>
      <c r="CV23" s="606"/>
      <c r="CW23" s="606"/>
      <c r="CX23" s="606"/>
      <c r="CY23" s="606"/>
      <c r="CZ23" s="606"/>
      <c r="DA23" s="606"/>
      <c r="DB23" s="606"/>
      <c r="DC23" s="606"/>
      <c r="DD23" s="606"/>
      <c r="DE23" s="606"/>
      <c r="DF23" s="606"/>
      <c r="DG23" s="606"/>
      <c r="DH23" s="606"/>
      <c r="DI23" s="606"/>
      <c r="DJ23" s="606"/>
      <c r="DK23" s="615" t="b">
        <f>IF(CW74=12,26)</f>
        <v>0</v>
      </c>
      <c r="DL23" s="434"/>
      <c r="DM23" s="13"/>
      <c r="DN23" s="13"/>
      <c r="DO23" s="13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</row>
    <row r="24" spans="1:134" s="4" customFormat="1" ht="37.5" hidden="1" thickBot="1" x14ac:dyDescent="0.35">
      <c r="A24" s="2"/>
      <c r="B24" s="32" t="s">
        <v>127</v>
      </c>
      <c r="C24" s="33">
        <v>4000</v>
      </c>
      <c r="D24" s="33">
        <v>4400</v>
      </c>
      <c r="E24" s="34"/>
      <c r="F24" s="34"/>
      <c r="G24" s="34"/>
      <c r="H24" s="34"/>
      <c r="I24" s="34"/>
      <c r="J24" s="34"/>
      <c r="K24" s="3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2"/>
      <c r="BK24" s="2"/>
      <c r="BL24" s="2"/>
      <c r="BM24" s="2"/>
      <c r="BN24" s="2"/>
      <c r="BO24" s="2"/>
      <c r="BP24" s="2"/>
      <c r="BQ24" s="2"/>
      <c r="BR24" s="2"/>
      <c r="BS24" s="12"/>
      <c r="BT24" s="12"/>
      <c r="BU24" s="608"/>
      <c r="BV24" s="608"/>
      <c r="BW24" s="608"/>
      <c r="BX24" s="608"/>
      <c r="BY24" s="608"/>
      <c r="BZ24" s="608"/>
      <c r="CA24" s="608"/>
      <c r="CB24" s="608"/>
      <c r="CC24" s="608"/>
      <c r="CD24" s="608"/>
      <c r="CE24" s="608"/>
      <c r="CF24" s="608"/>
      <c r="CG24" s="608"/>
      <c r="CH24" s="608"/>
      <c r="CI24" s="608"/>
      <c r="CJ24" s="608"/>
      <c r="CK24" s="608"/>
      <c r="CL24" s="608"/>
      <c r="CM24" s="608"/>
      <c r="CN24" s="608"/>
      <c r="CO24" s="608"/>
      <c r="CP24" s="608"/>
      <c r="CQ24" s="608"/>
      <c r="CR24" s="608"/>
      <c r="CS24" s="608"/>
      <c r="CT24" s="434"/>
      <c r="CU24" s="434"/>
      <c r="CV24" s="434"/>
      <c r="CW24" s="434"/>
      <c r="CX24" s="434"/>
      <c r="CY24" s="434"/>
      <c r="CZ24" s="434"/>
      <c r="DA24" s="434"/>
      <c r="DB24" s="434"/>
      <c r="DC24" s="434"/>
      <c r="DD24" s="434"/>
      <c r="DE24" s="434"/>
      <c r="DF24" s="434"/>
      <c r="DG24" s="434"/>
      <c r="DH24" s="434"/>
      <c r="DI24" s="434"/>
      <c r="DJ24" s="434"/>
      <c r="DK24" s="434"/>
      <c r="DL24" s="434"/>
      <c r="DM24" s="13"/>
      <c r="DN24" s="13"/>
      <c r="DO24" s="13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</row>
    <row r="25" spans="1:134" s="4" customFormat="1" ht="38.25" hidden="1" thickBot="1" x14ac:dyDescent="0.4">
      <c r="A25" s="2"/>
      <c r="B25" s="32" t="s">
        <v>128</v>
      </c>
      <c r="C25" s="35">
        <v>3000</v>
      </c>
      <c r="D25" s="35">
        <v>3000</v>
      </c>
      <c r="E25" s="36"/>
      <c r="F25" s="36"/>
      <c r="G25" s="36"/>
      <c r="H25" s="36"/>
      <c r="I25" s="36"/>
      <c r="J25" s="36"/>
      <c r="K25" s="3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2"/>
      <c r="BK25" s="2"/>
      <c r="BL25" s="2"/>
      <c r="BM25" s="2"/>
      <c r="BN25" s="2"/>
      <c r="BO25" s="2"/>
      <c r="BP25" s="2"/>
      <c r="BQ25" s="2"/>
      <c r="BR25" s="2"/>
      <c r="BS25" s="12"/>
      <c r="BT25" s="12"/>
      <c r="BU25" s="608">
        <v>81</v>
      </c>
      <c r="BV25" s="608"/>
      <c r="BW25" s="608"/>
      <c r="BX25" s="608"/>
      <c r="BY25" s="608"/>
      <c r="BZ25" s="608"/>
      <c r="CA25" s="608"/>
      <c r="CB25" s="608"/>
      <c r="CC25" s="608"/>
      <c r="CD25" s="608"/>
      <c r="CE25" s="608"/>
      <c r="CF25" s="608"/>
      <c r="CG25" s="608"/>
      <c r="CH25" s="608"/>
      <c r="CI25" s="613" t="b">
        <f>IF(CQ74=81,1)</f>
        <v>0</v>
      </c>
      <c r="CJ25" s="614"/>
      <c r="CK25" s="614"/>
      <c r="CL25" s="614"/>
      <c r="CM25" s="614"/>
      <c r="CN25" s="614"/>
      <c r="CO25" s="614"/>
      <c r="CP25" s="614"/>
      <c r="CQ25" s="614"/>
      <c r="CR25" s="614"/>
      <c r="CS25" s="614"/>
      <c r="CT25" s="606"/>
      <c r="CU25" s="606"/>
      <c r="CV25" s="606"/>
      <c r="CW25" s="606"/>
      <c r="CX25" s="606"/>
      <c r="CY25" s="615" t="b">
        <f>IF(CQ74=81,14)</f>
        <v>0</v>
      </c>
      <c r="CZ25" s="434"/>
      <c r="DA25" s="434"/>
      <c r="DB25" s="434"/>
      <c r="DC25" s="434"/>
      <c r="DD25" s="434"/>
      <c r="DE25" s="434"/>
      <c r="DF25" s="434"/>
      <c r="DG25" s="434"/>
      <c r="DH25" s="434"/>
      <c r="DI25" s="434"/>
      <c r="DJ25" s="434"/>
      <c r="DK25" s="434"/>
      <c r="DL25" s="434"/>
      <c r="DM25" s="13"/>
      <c r="DN25" s="13"/>
      <c r="DO25" s="13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</row>
    <row r="26" spans="1:134" s="4" customFormat="1" ht="37.5" hidden="1" thickBot="1" x14ac:dyDescent="0.35">
      <c r="A26" s="2"/>
      <c r="B26" s="32" t="s">
        <v>129</v>
      </c>
      <c r="C26" s="33">
        <v>4300</v>
      </c>
      <c r="D26" s="33">
        <v>5000</v>
      </c>
      <c r="E26" s="34"/>
      <c r="F26" s="34"/>
      <c r="G26" s="34"/>
      <c r="H26" s="34"/>
      <c r="I26" s="34"/>
      <c r="J26" s="34"/>
      <c r="K26" s="3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2"/>
      <c r="BK26" s="2"/>
      <c r="BL26" s="2"/>
      <c r="BM26" s="2"/>
      <c r="BN26" s="2"/>
      <c r="BO26" s="2"/>
      <c r="BP26" s="2"/>
      <c r="BQ26" s="2"/>
      <c r="BR26" s="2"/>
      <c r="BS26" s="12"/>
      <c r="BT26" s="12"/>
      <c r="BU26" s="608">
        <v>8</v>
      </c>
      <c r="BV26" s="608"/>
      <c r="BW26" s="608"/>
      <c r="BX26" s="608"/>
      <c r="BY26" s="608"/>
      <c r="BZ26" s="608"/>
      <c r="CA26" s="608"/>
      <c r="CB26" s="608"/>
      <c r="CC26" s="608"/>
      <c r="CD26" s="608"/>
      <c r="CE26" s="608"/>
      <c r="CF26" s="608"/>
      <c r="CG26" s="613" t="b">
        <f>IF(CP74=8,-2)</f>
        <v>0</v>
      </c>
      <c r="CH26" s="614"/>
      <c r="CI26" s="614"/>
      <c r="CJ26" s="614"/>
      <c r="CK26" s="614"/>
      <c r="CL26" s="614"/>
      <c r="CM26" s="614"/>
      <c r="CN26" s="614"/>
      <c r="CO26" s="614"/>
      <c r="CP26" s="614"/>
      <c r="CQ26" s="614"/>
      <c r="CR26" s="614"/>
      <c r="CS26" s="614"/>
      <c r="CT26" s="606"/>
      <c r="CU26" s="606"/>
      <c r="CV26" s="606"/>
      <c r="CW26" s="606"/>
      <c r="CX26" s="606"/>
      <c r="CY26" s="615" t="b">
        <f>IF(CP74=8,14)</f>
        <v>0</v>
      </c>
      <c r="CZ26" s="434"/>
      <c r="DA26" s="434"/>
      <c r="DB26" s="434"/>
      <c r="DC26" s="434"/>
      <c r="DD26" s="434"/>
      <c r="DE26" s="434"/>
      <c r="DF26" s="434"/>
      <c r="DG26" s="434"/>
      <c r="DH26" s="434"/>
      <c r="DI26" s="434"/>
      <c r="DJ26" s="434"/>
      <c r="DK26" s="434"/>
      <c r="DL26" s="434"/>
      <c r="DM26" s="13"/>
      <c r="DN26" s="13"/>
      <c r="DO26" s="13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</row>
    <row r="27" spans="1:134" s="4" customFormat="1" ht="18.75" hidden="1" thickBot="1" x14ac:dyDescent="0.3">
      <c r="A27" s="2"/>
      <c r="B27" s="29"/>
      <c r="C27" s="29" t="s">
        <v>21</v>
      </c>
      <c r="D27" s="29" t="s">
        <v>22</v>
      </c>
      <c r="E27" s="37"/>
      <c r="F27" s="37"/>
      <c r="G27" s="37"/>
      <c r="H27" s="37"/>
      <c r="I27" s="37"/>
      <c r="J27" s="37"/>
      <c r="K27" s="3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2"/>
      <c r="BK27" s="2"/>
      <c r="BL27" s="2"/>
      <c r="BM27" s="2"/>
      <c r="BN27" s="2"/>
      <c r="BO27" s="2"/>
      <c r="BP27" s="2"/>
      <c r="BQ27" s="2"/>
      <c r="BR27" s="2"/>
      <c r="BS27" s="12"/>
      <c r="BT27" s="12"/>
      <c r="BU27" s="608">
        <v>7</v>
      </c>
      <c r="BV27" s="608"/>
      <c r="BW27" s="608"/>
      <c r="BX27" s="608"/>
      <c r="BY27" s="608"/>
      <c r="BZ27" s="608"/>
      <c r="CA27" s="608"/>
      <c r="CB27" s="608"/>
      <c r="CC27" s="608"/>
      <c r="CD27" s="608"/>
      <c r="CE27" s="613" t="b">
        <f>IF(CO74=7,-4)</f>
        <v>0</v>
      </c>
      <c r="CF27" s="614"/>
      <c r="CG27" s="614"/>
      <c r="CH27" s="614"/>
      <c r="CI27" s="614"/>
      <c r="CJ27" s="614"/>
      <c r="CK27" s="614"/>
      <c r="CL27" s="614"/>
      <c r="CM27" s="614"/>
      <c r="CN27" s="614"/>
      <c r="CO27" s="614"/>
      <c r="CP27" s="614"/>
      <c r="CQ27" s="614"/>
      <c r="CR27" s="614"/>
      <c r="CS27" s="614"/>
      <c r="CT27" s="606"/>
      <c r="CU27" s="606"/>
      <c r="CV27" s="606"/>
      <c r="CW27" s="606"/>
      <c r="CX27" s="606"/>
      <c r="CY27" s="615" t="b">
        <f>IF(CO74=7,14)</f>
        <v>0</v>
      </c>
      <c r="CZ27" s="434"/>
      <c r="DA27" s="434"/>
      <c r="DB27" s="434"/>
      <c r="DC27" s="434"/>
      <c r="DD27" s="434"/>
      <c r="DE27" s="434"/>
      <c r="DF27" s="434"/>
      <c r="DG27" s="434"/>
      <c r="DH27" s="434"/>
      <c r="DI27" s="434"/>
      <c r="DJ27" s="434"/>
      <c r="DK27" s="434"/>
      <c r="DL27" s="434"/>
      <c r="DM27" s="13"/>
      <c r="DN27" s="13"/>
      <c r="DO27" s="13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</row>
    <row r="28" spans="1:134" s="4" customFormat="1" ht="18.75" hidden="1" thickBot="1" x14ac:dyDescent="0.3">
      <c r="A28" s="2"/>
      <c r="B28" s="38" t="s">
        <v>61</v>
      </c>
      <c r="C28" s="29">
        <f>+((C15-C16)/C15)*C14</f>
        <v>37.675209687069618</v>
      </c>
      <c r="D28" s="29">
        <f>+(C16/C15)*C14</f>
        <v>42.124790312930386</v>
      </c>
      <c r="E28" s="37"/>
      <c r="F28" s="37"/>
      <c r="G28" s="37"/>
      <c r="H28" s="37"/>
      <c r="I28" s="37"/>
      <c r="J28" s="37"/>
      <c r="K28" s="3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2"/>
      <c r="BK28" s="2"/>
      <c r="BL28" s="2"/>
      <c r="BM28" s="2"/>
      <c r="BN28" s="2"/>
      <c r="BO28" s="2"/>
      <c r="BP28" s="2"/>
      <c r="BQ28" s="2"/>
      <c r="BR28" s="2"/>
      <c r="BS28" s="12"/>
      <c r="BT28" s="12"/>
      <c r="BU28" s="608">
        <v>6</v>
      </c>
      <c r="BV28" s="608"/>
      <c r="BW28" s="608"/>
      <c r="BX28" s="608"/>
      <c r="BY28" s="608"/>
      <c r="BZ28" s="434"/>
      <c r="CA28" s="434"/>
      <c r="CB28" s="434"/>
      <c r="CC28" s="613" t="b">
        <f>IF(CN74=6,-6)</f>
        <v>0</v>
      </c>
      <c r="CD28" s="606"/>
      <c r="CE28" s="606"/>
      <c r="CF28" s="606"/>
      <c r="CG28" s="606"/>
      <c r="CH28" s="606"/>
      <c r="CI28" s="606"/>
      <c r="CJ28" s="606"/>
      <c r="CK28" s="606"/>
      <c r="CL28" s="606"/>
      <c r="CM28" s="606"/>
      <c r="CN28" s="606"/>
      <c r="CO28" s="606"/>
      <c r="CP28" s="606"/>
      <c r="CQ28" s="606"/>
      <c r="CR28" s="606"/>
      <c r="CS28" s="606"/>
      <c r="CT28" s="606"/>
      <c r="CU28" s="606"/>
      <c r="CV28" s="606"/>
      <c r="CW28" s="606"/>
      <c r="CX28" s="606"/>
      <c r="CY28" s="615" t="b">
        <f>IF(CN74=6,14)</f>
        <v>0</v>
      </c>
      <c r="CZ28" s="434"/>
      <c r="DA28" s="434"/>
      <c r="DB28" s="434"/>
      <c r="DC28" s="434"/>
      <c r="DD28" s="434"/>
      <c r="DE28" s="434"/>
      <c r="DF28" s="434"/>
      <c r="DG28" s="434"/>
      <c r="DH28" s="434"/>
      <c r="DI28" s="434"/>
      <c r="DJ28" s="434"/>
      <c r="DK28" s="434"/>
      <c r="DL28" s="434"/>
      <c r="DM28" s="13"/>
      <c r="DN28" s="13"/>
      <c r="DO28" s="13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</row>
    <row r="29" spans="1:134" s="4" customFormat="1" ht="18.75" hidden="1" thickBot="1" x14ac:dyDescent="0.3">
      <c r="A29" s="2"/>
      <c r="B29" s="3"/>
      <c r="C29" s="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2"/>
      <c r="BK29" s="2"/>
      <c r="BL29" s="2"/>
      <c r="BM29" s="2"/>
      <c r="BN29" s="2"/>
      <c r="BO29" s="2"/>
      <c r="BP29" s="2"/>
      <c r="BQ29" s="2"/>
      <c r="BR29" s="2"/>
      <c r="BS29" s="12"/>
      <c r="BT29" s="12"/>
      <c r="BU29" s="608">
        <v>5</v>
      </c>
      <c r="BV29" s="608"/>
      <c r="BW29" s="608"/>
      <c r="BX29" s="608"/>
      <c r="BY29" s="608"/>
      <c r="BZ29" s="608"/>
      <c r="CA29" s="613" t="b">
        <f>IF(CM74=5,-8)</f>
        <v>0</v>
      </c>
      <c r="CB29" s="614"/>
      <c r="CC29" s="614"/>
      <c r="CD29" s="614"/>
      <c r="CE29" s="614"/>
      <c r="CF29" s="614"/>
      <c r="CG29" s="614"/>
      <c r="CH29" s="614"/>
      <c r="CI29" s="614"/>
      <c r="CJ29" s="606"/>
      <c r="CK29" s="614"/>
      <c r="CL29" s="614"/>
      <c r="CM29" s="614"/>
      <c r="CN29" s="614"/>
      <c r="CO29" s="614"/>
      <c r="CP29" s="606"/>
      <c r="CQ29" s="614"/>
      <c r="CR29" s="614"/>
      <c r="CS29" s="614"/>
      <c r="CT29" s="606"/>
      <c r="CU29" s="606"/>
      <c r="CV29" s="606"/>
      <c r="CW29" s="606"/>
      <c r="CX29" s="606"/>
      <c r="CY29" s="615" t="b">
        <f>IF(CM74=5,14)</f>
        <v>0</v>
      </c>
      <c r="CZ29" s="434"/>
      <c r="DA29" s="434"/>
      <c r="DB29" s="434"/>
      <c r="DC29" s="434"/>
      <c r="DD29" s="434"/>
      <c r="DE29" s="434"/>
      <c r="DF29" s="434"/>
      <c r="DG29" s="434"/>
      <c r="DH29" s="434"/>
      <c r="DI29" s="434"/>
      <c r="DJ29" s="434"/>
      <c r="DK29" s="434"/>
      <c r="DL29" s="434"/>
      <c r="DM29" s="13"/>
      <c r="DN29" s="13"/>
      <c r="DO29" s="13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</row>
    <row r="30" spans="1:134" s="4" customFormat="1" ht="18.75" hidden="1" thickBot="1" x14ac:dyDescent="0.3">
      <c r="A30" s="2"/>
      <c r="B30" s="3"/>
      <c r="C30" s="3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2"/>
      <c r="BK30" s="2"/>
      <c r="BL30" s="2"/>
      <c r="BM30" s="2"/>
      <c r="BN30" s="2"/>
      <c r="BO30" s="2"/>
      <c r="BP30" s="2"/>
      <c r="BQ30" s="2"/>
      <c r="BR30" s="2"/>
      <c r="BS30" s="12"/>
      <c r="BT30" s="12"/>
      <c r="BU30" s="608">
        <v>4</v>
      </c>
      <c r="BV30" s="608"/>
      <c r="BW30" s="608"/>
      <c r="BX30" s="608"/>
      <c r="BY30" s="613">
        <f>IF(CL74=4,-10)</f>
        <v>-10</v>
      </c>
      <c r="BZ30" s="614"/>
      <c r="CA30" s="614"/>
      <c r="CB30" s="614"/>
      <c r="CC30" s="614"/>
      <c r="CD30" s="614"/>
      <c r="CE30" s="606"/>
      <c r="CF30" s="614"/>
      <c r="CG30" s="614"/>
      <c r="CH30" s="614"/>
      <c r="CI30" s="614"/>
      <c r="CJ30" s="614"/>
      <c r="CK30" s="614"/>
      <c r="CL30" s="614"/>
      <c r="CM30" s="614"/>
      <c r="CN30" s="614"/>
      <c r="CO30" s="614"/>
      <c r="CP30" s="614"/>
      <c r="CQ30" s="614"/>
      <c r="CR30" s="614"/>
      <c r="CS30" s="606"/>
      <c r="CT30" s="606"/>
      <c r="CU30" s="606"/>
      <c r="CV30" s="606"/>
      <c r="CW30" s="606"/>
      <c r="CX30" s="606"/>
      <c r="CY30" s="615">
        <f>IF(CL74=4,14)</f>
        <v>14</v>
      </c>
      <c r="CZ30" s="434"/>
      <c r="DA30" s="434"/>
      <c r="DB30" s="434"/>
      <c r="DC30" s="434"/>
      <c r="DD30" s="434"/>
      <c r="DE30" s="434"/>
      <c r="DF30" s="434"/>
      <c r="DG30" s="434"/>
      <c r="DH30" s="434"/>
      <c r="DI30" s="434"/>
      <c r="DJ30" s="434"/>
      <c r="DK30" s="434"/>
      <c r="DL30" s="434"/>
      <c r="DM30" s="13"/>
      <c r="DN30" s="13"/>
      <c r="DO30" s="13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</row>
    <row r="31" spans="1:134" s="4" customFormat="1" ht="18.75" hidden="1" thickBot="1" x14ac:dyDescent="0.3">
      <c r="A31" s="2"/>
      <c r="B31" s="3"/>
      <c r="C31" s="3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2"/>
      <c r="BK31" s="2"/>
      <c r="BL31" s="2"/>
      <c r="BM31" s="2"/>
      <c r="BN31" s="2"/>
      <c r="BO31" s="2"/>
      <c r="BP31" s="2"/>
      <c r="BQ31" s="2"/>
      <c r="BR31" s="2"/>
      <c r="BS31" s="12"/>
      <c r="BT31" s="12"/>
      <c r="BU31" s="608">
        <v>3</v>
      </c>
      <c r="BV31" s="608"/>
      <c r="BW31" s="613" t="b">
        <f>IF(CK74=3,-12)</f>
        <v>0</v>
      </c>
      <c r="BX31" s="614"/>
      <c r="BY31" s="614"/>
      <c r="BZ31" s="614"/>
      <c r="CA31" s="614"/>
      <c r="CB31" s="614"/>
      <c r="CC31" s="606"/>
      <c r="CD31" s="614"/>
      <c r="CE31" s="614"/>
      <c r="CF31" s="614"/>
      <c r="CG31" s="614"/>
      <c r="CH31" s="614"/>
      <c r="CI31" s="614"/>
      <c r="CJ31" s="614"/>
      <c r="CK31" s="614"/>
      <c r="CL31" s="614"/>
      <c r="CM31" s="614"/>
      <c r="CN31" s="614"/>
      <c r="CO31" s="614"/>
      <c r="CP31" s="614"/>
      <c r="CQ31" s="614"/>
      <c r="CR31" s="614"/>
      <c r="CS31" s="606"/>
      <c r="CT31" s="606"/>
      <c r="CU31" s="606"/>
      <c r="CV31" s="606"/>
      <c r="CW31" s="606"/>
      <c r="CX31" s="606"/>
      <c r="CY31" s="615" t="b">
        <f>IF(CK74=3,14)</f>
        <v>0</v>
      </c>
      <c r="CZ31" s="434"/>
      <c r="DA31" s="434"/>
      <c r="DB31" s="434"/>
      <c r="DC31" s="434"/>
      <c r="DD31" s="434"/>
      <c r="DE31" s="434"/>
      <c r="DF31" s="434"/>
      <c r="DG31" s="434"/>
      <c r="DH31" s="434"/>
      <c r="DI31" s="434"/>
      <c r="DJ31" s="434"/>
      <c r="DK31" s="434"/>
      <c r="DL31" s="434"/>
      <c r="DM31" s="13"/>
      <c r="DN31" s="13"/>
      <c r="DO31" s="13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</row>
    <row r="32" spans="1:134" s="4" customFormat="1" ht="18.75" hidden="1" thickBot="1" x14ac:dyDescent="0.3">
      <c r="A32" s="2"/>
      <c r="B32" s="3"/>
      <c r="C32" s="3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2"/>
      <c r="BK32" s="2"/>
      <c r="BL32" s="2"/>
      <c r="BM32" s="2"/>
      <c r="BN32" s="2"/>
      <c r="BO32" s="2"/>
      <c r="BP32" s="2"/>
      <c r="BQ32" s="2"/>
      <c r="BR32" s="2"/>
      <c r="BS32" s="12"/>
      <c r="BT32" s="12"/>
      <c r="BU32" s="608">
        <v>2</v>
      </c>
      <c r="BV32" s="613" t="b">
        <f>IF(CJ74=2,-13)</f>
        <v>0</v>
      </c>
      <c r="BW32" s="616"/>
      <c r="BX32" s="616"/>
      <c r="BY32" s="616"/>
      <c r="BZ32" s="616"/>
      <c r="CA32" s="616"/>
      <c r="CB32" s="616"/>
      <c r="CC32" s="616"/>
      <c r="CD32" s="616"/>
      <c r="CE32" s="616"/>
      <c r="CF32" s="617"/>
      <c r="CG32" s="616"/>
      <c r="CH32" s="616"/>
      <c r="CI32" s="616"/>
      <c r="CJ32" s="616"/>
      <c r="CK32" s="616"/>
      <c r="CL32" s="616"/>
      <c r="CM32" s="616"/>
      <c r="CN32" s="617"/>
      <c r="CO32" s="616"/>
      <c r="CP32" s="616"/>
      <c r="CQ32" s="616"/>
      <c r="CR32" s="616"/>
      <c r="CS32" s="616"/>
      <c r="CT32" s="617"/>
      <c r="CU32" s="617"/>
      <c r="CV32" s="617"/>
      <c r="CW32" s="617"/>
      <c r="CX32" s="618" t="b">
        <f>IF(CJ74=2,13)</f>
        <v>0</v>
      </c>
      <c r="CY32" s="434"/>
      <c r="CZ32" s="434"/>
      <c r="DA32" s="434"/>
      <c r="DB32" s="434"/>
      <c r="DC32" s="434"/>
      <c r="DD32" s="434"/>
      <c r="DE32" s="434"/>
      <c r="DF32" s="434"/>
      <c r="DG32" s="434"/>
      <c r="DH32" s="434"/>
      <c r="DI32" s="434"/>
      <c r="DJ32" s="434"/>
      <c r="DK32" s="434"/>
      <c r="DL32" s="434"/>
      <c r="DM32" s="13"/>
      <c r="DN32" s="13"/>
      <c r="DO32" s="13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</row>
    <row r="33" spans="1:134" s="4" customFormat="1" ht="18.75" hidden="1" thickBot="1" x14ac:dyDescent="0.3">
      <c r="A33" s="2"/>
      <c r="B33" s="3"/>
      <c r="C33" s="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2"/>
      <c r="BK33" s="2"/>
      <c r="BL33" s="2"/>
      <c r="BM33" s="2"/>
      <c r="BN33" s="2"/>
      <c r="BO33" s="2"/>
      <c r="BP33" s="2"/>
      <c r="BQ33" s="2"/>
      <c r="BR33" s="2"/>
      <c r="BS33" s="12"/>
      <c r="BT33" s="12"/>
      <c r="BU33" s="608">
        <v>1</v>
      </c>
      <c r="BV33" s="619" t="b">
        <f>IF(CI74=1,-13)</f>
        <v>0</v>
      </c>
      <c r="BW33" s="616"/>
      <c r="BX33" s="616"/>
      <c r="BY33" s="616"/>
      <c r="BZ33" s="616"/>
      <c r="CA33" s="616"/>
      <c r="CB33" s="616"/>
      <c r="CC33" s="616"/>
      <c r="CD33" s="617"/>
      <c r="CE33" s="616"/>
      <c r="CF33" s="616"/>
      <c r="CG33" s="616"/>
      <c r="CH33" s="616"/>
      <c r="CI33" s="616"/>
      <c r="CJ33" s="616"/>
      <c r="CK33" s="616"/>
      <c r="CL33" s="616"/>
      <c r="CM33" s="616"/>
      <c r="CN33" s="617"/>
      <c r="CO33" s="616"/>
      <c r="CP33" s="616"/>
      <c r="CQ33" s="616"/>
      <c r="CR33" s="616"/>
      <c r="CS33" s="616"/>
      <c r="CT33" s="617"/>
      <c r="CU33" s="617"/>
      <c r="CV33" s="618" t="b">
        <f>IF(CI74=1,11)</f>
        <v>0</v>
      </c>
      <c r="CW33" s="434"/>
      <c r="CX33" s="434"/>
      <c r="CY33" s="434"/>
      <c r="CZ33" s="434"/>
      <c r="DA33" s="434"/>
      <c r="DB33" s="434"/>
      <c r="DC33" s="434"/>
      <c r="DD33" s="434"/>
      <c r="DE33" s="434"/>
      <c r="DF33" s="434"/>
      <c r="DG33" s="434"/>
      <c r="DH33" s="434"/>
      <c r="DI33" s="434"/>
      <c r="DJ33" s="434"/>
      <c r="DK33" s="434"/>
      <c r="DL33" s="434"/>
      <c r="DM33" s="13"/>
      <c r="DN33" s="13"/>
      <c r="DO33" s="13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</row>
    <row r="34" spans="1:134" s="4" customFormat="1" ht="18.75" hidden="1" thickBot="1" x14ac:dyDescent="0.3">
      <c r="A34" s="2"/>
      <c r="B34" s="3"/>
      <c r="C34" s="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2"/>
      <c r="BK34" s="2"/>
      <c r="BL34" s="2"/>
      <c r="BM34" s="2"/>
      <c r="BN34" s="2"/>
      <c r="BO34" s="2"/>
      <c r="BP34" s="2"/>
      <c r="BQ34" s="2"/>
      <c r="BR34" s="2"/>
      <c r="BS34" s="12"/>
      <c r="BT34" s="12"/>
      <c r="BU34" s="608">
        <v>-1</v>
      </c>
      <c r="BV34" s="619" t="b">
        <f>IF(CH74=-1,-13)</f>
        <v>0</v>
      </c>
      <c r="BW34" s="616"/>
      <c r="BX34" s="616"/>
      <c r="BY34" s="616"/>
      <c r="BZ34" s="616"/>
      <c r="CA34" s="616"/>
      <c r="CB34" s="617"/>
      <c r="CC34" s="616"/>
      <c r="CD34" s="616"/>
      <c r="CE34" s="616"/>
      <c r="CF34" s="616"/>
      <c r="CG34" s="616"/>
      <c r="CH34" s="616"/>
      <c r="CI34" s="616"/>
      <c r="CJ34" s="616"/>
      <c r="CK34" s="616"/>
      <c r="CL34" s="616"/>
      <c r="CM34" s="616"/>
      <c r="CN34" s="617"/>
      <c r="CO34" s="616"/>
      <c r="CP34" s="616"/>
      <c r="CQ34" s="616"/>
      <c r="CR34" s="616"/>
      <c r="CS34" s="616"/>
      <c r="CT34" s="618" t="b">
        <f>IF(CH74=-1,9)</f>
        <v>0</v>
      </c>
      <c r="CU34" s="434"/>
      <c r="CV34" s="434"/>
      <c r="CW34" s="434"/>
      <c r="CX34" s="434"/>
      <c r="CY34" s="434"/>
      <c r="CZ34" s="434"/>
      <c r="DA34" s="434"/>
      <c r="DB34" s="434"/>
      <c r="DC34" s="434"/>
      <c r="DD34" s="434"/>
      <c r="DE34" s="434"/>
      <c r="DF34" s="434"/>
      <c r="DG34" s="434"/>
      <c r="DH34" s="434"/>
      <c r="DI34" s="434"/>
      <c r="DJ34" s="434"/>
      <c r="DK34" s="434"/>
      <c r="DL34" s="434"/>
      <c r="DM34" s="13"/>
      <c r="DN34" s="13"/>
      <c r="DO34" s="13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</row>
    <row r="35" spans="1:134" s="4" customFormat="1" ht="18.75" hidden="1" customHeight="1" thickBot="1" x14ac:dyDescent="0.3">
      <c r="A35" s="2"/>
      <c r="B35" s="3"/>
      <c r="C35" s="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2"/>
      <c r="BK35" s="2"/>
      <c r="BL35" s="2"/>
      <c r="BM35" s="2"/>
      <c r="BN35" s="2"/>
      <c r="BO35" s="2"/>
      <c r="BP35" s="2"/>
      <c r="BQ35" s="2"/>
      <c r="BR35" s="2"/>
      <c r="BS35" s="12"/>
      <c r="BT35" s="12"/>
      <c r="BU35" s="608">
        <v>-2</v>
      </c>
      <c r="BV35" s="608"/>
      <c r="BW35" s="434"/>
      <c r="BX35" s="619" t="b">
        <f>IF(CG74=-2,-11)</f>
        <v>0</v>
      </c>
      <c r="BY35" s="616"/>
      <c r="BZ35" s="617"/>
      <c r="CA35" s="616"/>
      <c r="CB35" s="616"/>
      <c r="CC35" s="616"/>
      <c r="CD35" s="616"/>
      <c r="CE35" s="616"/>
      <c r="CF35" s="616"/>
      <c r="CG35" s="616"/>
      <c r="CH35" s="616"/>
      <c r="CI35" s="616"/>
      <c r="CJ35" s="616"/>
      <c r="CK35" s="616"/>
      <c r="CL35" s="616"/>
      <c r="CM35" s="616"/>
      <c r="CN35" s="617"/>
      <c r="CO35" s="616"/>
      <c r="CP35" s="618" t="b">
        <f>IF(CG74=-2,8)</f>
        <v>0</v>
      </c>
      <c r="CQ35" s="608"/>
      <c r="CR35" s="608"/>
      <c r="CS35" s="608"/>
      <c r="CT35" s="434"/>
      <c r="CU35" s="434"/>
      <c r="CV35" s="434"/>
      <c r="CW35" s="434"/>
      <c r="CX35" s="434"/>
      <c r="CY35" s="434"/>
      <c r="CZ35" s="434"/>
      <c r="DA35" s="434"/>
      <c r="DB35" s="434"/>
      <c r="DC35" s="434"/>
      <c r="DD35" s="434"/>
      <c r="DE35" s="434"/>
      <c r="DF35" s="434"/>
      <c r="DG35" s="434"/>
      <c r="DH35" s="434"/>
      <c r="DI35" s="434"/>
      <c r="DJ35" s="434"/>
      <c r="DK35" s="434"/>
      <c r="DL35" s="434"/>
      <c r="DM35" s="13"/>
      <c r="DN35" s="13"/>
      <c r="DO35" s="13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</row>
    <row r="36" spans="1:134" ht="18.75" hidden="1" thickBot="1" x14ac:dyDescent="0.3">
      <c r="BS36" s="12"/>
      <c r="BT36" s="12"/>
      <c r="BU36" s="608">
        <v>-3</v>
      </c>
      <c r="BV36" s="613" t="b">
        <f>IF(CF74=-3,-13)</f>
        <v>0</v>
      </c>
      <c r="BW36" s="614"/>
      <c r="BX36" s="606"/>
      <c r="BY36" s="614"/>
      <c r="BZ36" s="614"/>
      <c r="CA36" s="614"/>
      <c r="CB36" s="614"/>
      <c r="CC36" s="614"/>
      <c r="CD36" s="614"/>
      <c r="CE36" s="614"/>
      <c r="CF36" s="614"/>
      <c r="CG36" s="614"/>
      <c r="CH36" s="614"/>
      <c r="CI36" s="614"/>
      <c r="CJ36" s="614"/>
      <c r="CK36" s="614"/>
      <c r="CL36" s="614"/>
      <c r="CM36" s="614"/>
      <c r="CN36" s="606"/>
      <c r="CO36" s="606"/>
      <c r="CP36" s="615" t="b">
        <f>IF(CF74=-3,8)</f>
        <v>0</v>
      </c>
      <c r="CQ36" s="608"/>
      <c r="CR36" s="608"/>
      <c r="CS36" s="608"/>
      <c r="CT36" s="434"/>
      <c r="CU36" s="434"/>
      <c r="CV36" s="434"/>
      <c r="CW36" s="434"/>
      <c r="CX36" s="434"/>
      <c r="CY36" s="434"/>
      <c r="CZ36" s="434"/>
      <c r="DA36" s="434"/>
      <c r="DB36" s="434"/>
      <c r="DC36" s="434"/>
      <c r="DD36" s="434"/>
      <c r="DE36" s="434"/>
      <c r="DF36" s="434"/>
      <c r="DG36" s="434"/>
      <c r="DH36" s="434"/>
      <c r="DI36" s="434"/>
      <c r="DJ36" s="434"/>
      <c r="DK36" s="434"/>
      <c r="DL36" s="434"/>
    </row>
    <row r="37" spans="1:134" ht="18.75" hidden="1" customHeight="1" thickBot="1" x14ac:dyDescent="0.3">
      <c r="BS37" s="12"/>
      <c r="BT37" s="12"/>
      <c r="BU37" s="608">
        <v>-4</v>
      </c>
      <c r="BV37" s="619" t="b">
        <f>IF(CE74=-4,-13)</f>
        <v>0</v>
      </c>
      <c r="BW37" s="616"/>
      <c r="BX37" s="616"/>
      <c r="BY37" s="616"/>
      <c r="BZ37" s="616"/>
      <c r="CA37" s="616"/>
      <c r="CB37" s="616"/>
      <c r="CC37" s="616"/>
      <c r="CD37" s="616"/>
      <c r="CE37" s="616"/>
      <c r="CF37" s="616"/>
      <c r="CG37" s="616"/>
      <c r="CH37" s="616"/>
      <c r="CI37" s="616"/>
      <c r="CJ37" s="616"/>
      <c r="CK37" s="616"/>
      <c r="CL37" s="616"/>
      <c r="CM37" s="616"/>
      <c r="CN37" s="618" t="b">
        <f>IF(CE74=-4,6)</f>
        <v>0</v>
      </c>
      <c r="CO37" s="608"/>
      <c r="CP37" s="608"/>
      <c r="CQ37" s="608"/>
      <c r="CR37" s="608"/>
      <c r="CS37" s="608"/>
      <c r="CT37" s="434"/>
      <c r="CU37" s="434"/>
      <c r="CV37" s="434"/>
      <c r="CW37" s="434"/>
      <c r="CX37" s="434"/>
      <c r="CY37" s="434"/>
      <c r="CZ37" s="434"/>
      <c r="DA37" s="434"/>
      <c r="DB37" s="434"/>
      <c r="DC37" s="434"/>
      <c r="DD37" s="434"/>
      <c r="DE37" s="434"/>
      <c r="DF37" s="434"/>
      <c r="DG37" s="434"/>
      <c r="DH37" s="434"/>
      <c r="DI37" s="434"/>
      <c r="DJ37" s="434"/>
      <c r="DK37" s="434"/>
      <c r="DL37" s="434"/>
    </row>
    <row r="38" spans="1:134" ht="18.75" hidden="1" customHeight="1" thickBot="1" x14ac:dyDescent="0.3">
      <c r="BS38" s="12"/>
      <c r="BT38" s="12"/>
      <c r="BU38" s="608">
        <v>-5</v>
      </c>
      <c r="BV38" s="619" t="b">
        <f>IF(CD74=-5,-13)</f>
        <v>0</v>
      </c>
      <c r="BW38" s="616"/>
      <c r="BX38" s="616"/>
      <c r="BY38" s="616"/>
      <c r="BZ38" s="616"/>
      <c r="CA38" s="616"/>
      <c r="CB38" s="616"/>
      <c r="CC38" s="616"/>
      <c r="CD38" s="616"/>
      <c r="CE38" s="616"/>
      <c r="CF38" s="616"/>
      <c r="CG38" s="616"/>
      <c r="CH38" s="616"/>
      <c r="CI38" s="616"/>
      <c r="CJ38" s="616"/>
      <c r="CK38" s="616"/>
      <c r="CL38" s="618" t="b">
        <f>IF(CD74=-5,4)</f>
        <v>0</v>
      </c>
      <c r="CM38" s="608"/>
      <c r="CN38" s="608"/>
      <c r="CO38" s="608"/>
      <c r="CP38" s="608"/>
      <c r="CQ38" s="608"/>
      <c r="CR38" s="608"/>
      <c r="CS38" s="608"/>
      <c r="CT38" s="434"/>
      <c r="CU38" s="434"/>
      <c r="CV38" s="434"/>
      <c r="CW38" s="434"/>
      <c r="CX38" s="434"/>
      <c r="CY38" s="434"/>
      <c r="CZ38" s="434"/>
      <c r="DA38" s="434"/>
      <c r="DB38" s="434"/>
      <c r="DC38" s="434"/>
      <c r="DD38" s="434"/>
      <c r="DE38" s="434"/>
      <c r="DF38" s="434"/>
      <c r="DG38" s="434"/>
      <c r="DH38" s="434"/>
      <c r="DI38" s="434"/>
      <c r="DJ38" s="434"/>
      <c r="DK38" s="434"/>
      <c r="DL38" s="434"/>
    </row>
    <row r="39" spans="1:134" ht="19.5" hidden="1" customHeight="1" thickTop="1" thickBot="1" x14ac:dyDescent="0.3">
      <c r="C39" s="39"/>
      <c r="D39" s="40"/>
      <c r="E39" s="41"/>
      <c r="F39" s="41"/>
      <c r="G39" s="41"/>
      <c r="H39" s="41"/>
      <c r="I39" s="41"/>
      <c r="J39" s="41"/>
      <c r="K39" s="41"/>
      <c r="BS39" s="12"/>
      <c r="BT39" s="12"/>
      <c r="BU39" s="608">
        <v>-6</v>
      </c>
      <c r="BV39" s="619" t="b">
        <f>IF(CC74=-6,-13)</f>
        <v>0</v>
      </c>
      <c r="BW39" s="616"/>
      <c r="BX39" s="616"/>
      <c r="BY39" s="616"/>
      <c r="BZ39" s="616"/>
      <c r="CA39" s="616"/>
      <c r="CB39" s="616"/>
      <c r="CC39" s="616"/>
      <c r="CD39" s="616"/>
      <c r="CE39" s="616"/>
      <c r="CF39" s="616"/>
      <c r="CG39" s="616"/>
      <c r="CH39" s="616"/>
      <c r="CI39" s="616"/>
      <c r="CJ39" s="618" t="b">
        <f>IF(CC74=-6,2)</f>
        <v>0</v>
      </c>
      <c r="CK39" s="608"/>
      <c r="CL39" s="608"/>
      <c r="CM39" s="608"/>
      <c r="CN39" s="608"/>
      <c r="CO39" s="608"/>
      <c r="CP39" s="608"/>
      <c r="CQ39" s="608"/>
      <c r="CR39" s="608"/>
      <c r="CS39" s="608"/>
      <c r="CT39" s="434"/>
      <c r="CU39" s="434"/>
      <c r="CV39" s="434"/>
      <c r="CW39" s="434"/>
      <c r="CX39" s="434"/>
      <c r="CY39" s="434"/>
      <c r="CZ39" s="434"/>
      <c r="DA39" s="434"/>
      <c r="DB39" s="434"/>
      <c r="DC39" s="434"/>
      <c r="DD39" s="434"/>
      <c r="DE39" s="434"/>
      <c r="DF39" s="434"/>
      <c r="DG39" s="434"/>
      <c r="DH39" s="434"/>
      <c r="DI39" s="434"/>
      <c r="DJ39" s="434"/>
      <c r="DK39" s="434"/>
      <c r="DL39" s="434"/>
    </row>
    <row r="40" spans="1:134" ht="18.75" hidden="1" thickBot="1" x14ac:dyDescent="0.3">
      <c r="B40" s="42"/>
      <c r="C40" s="15"/>
      <c r="D40" s="16"/>
      <c r="E40" s="16"/>
      <c r="F40" s="16"/>
      <c r="G40" s="16"/>
      <c r="H40" s="16"/>
      <c r="I40" s="16"/>
      <c r="J40" s="16"/>
      <c r="K40" s="16"/>
      <c r="L40" s="43"/>
      <c r="BS40" s="12"/>
      <c r="BT40" s="12"/>
      <c r="BU40" s="608">
        <v>-7</v>
      </c>
      <c r="BV40" s="619" t="b">
        <f>IF(CB74=-7,-13)</f>
        <v>0</v>
      </c>
      <c r="BW40" s="617"/>
      <c r="BX40" s="616"/>
      <c r="BY40" s="616"/>
      <c r="BZ40" s="616"/>
      <c r="CA40" s="616"/>
      <c r="CB40" s="616"/>
      <c r="CC40" s="616"/>
      <c r="CD40" s="616"/>
      <c r="CE40" s="616"/>
      <c r="CF40" s="617"/>
      <c r="CG40" s="616"/>
      <c r="CH40" s="618" t="b">
        <f>IF(CB74=-7,-1)</f>
        <v>0</v>
      </c>
      <c r="CI40" s="608"/>
      <c r="CJ40" s="608"/>
      <c r="CK40" s="608"/>
      <c r="CL40" s="608"/>
      <c r="CM40" s="608"/>
      <c r="CN40" s="608"/>
      <c r="CO40" s="608"/>
      <c r="CP40" s="608"/>
      <c r="CQ40" s="608"/>
      <c r="CR40" s="608"/>
      <c r="CS40" s="608"/>
      <c r="CT40" s="434"/>
      <c r="CU40" s="434"/>
      <c r="CV40" s="434"/>
      <c r="CW40" s="434"/>
      <c r="CX40" s="434"/>
      <c r="CY40" s="434"/>
      <c r="CZ40" s="434"/>
      <c r="DA40" s="434"/>
      <c r="DB40" s="434"/>
      <c r="DC40" s="434"/>
      <c r="DD40" s="434"/>
      <c r="DE40" s="434"/>
      <c r="DF40" s="434"/>
      <c r="DG40" s="434"/>
      <c r="DH40" s="434"/>
      <c r="DI40" s="434"/>
      <c r="DJ40" s="434"/>
      <c r="DK40" s="434"/>
      <c r="DL40" s="434"/>
    </row>
    <row r="41" spans="1:134" ht="18.75" hidden="1" thickBot="1" x14ac:dyDescent="0.3">
      <c r="B41" s="42"/>
      <c r="C41" s="15"/>
      <c r="D41" s="16"/>
      <c r="E41" s="16"/>
      <c r="F41" s="16"/>
      <c r="G41" s="16"/>
      <c r="H41" s="16"/>
      <c r="I41" s="16"/>
      <c r="J41" s="16"/>
      <c r="K41" s="16"/>
      <c r="L41" s="43"/>
      <c r="BS41" s="12"/>
      <c r="BT41" s="12"/>
      <c r="BU41" s="608">
        <v>-8</v>
      </c>
      <c r="BV41" s="619" t="b">
        <f>IF(CA74=-8,-13)</f>
        <v>0</v>
      </c>
      <c r="BW41" s="616"/>
      <c r="BX41" s="616"/>
      <c r="BY41" s="616"/>
      <c r="BZ41" s="616"/>
      <c r="CA41" s="616"/>
      <c r="CB41" s="616"/>
      <c r="CC41" s="616"/>
      <c r="CD41" s="616"/>
      <c r="CE41" s="616"/>
      <c r="CF41" s="618" t="b">
        <f>IF(CA74=-8,-3)</f>
        <v>0</v>
      </c>
      <c r="CG41" s="434"/>
      <c r="CH41" s="608"/>
      <c r="CI41" s="613" t="b">
        <f>IF(CV74=11,1)</f>
        <v>0</v>
      </c>
      <c r="CJ41" s="614"/>
      <c r="CK41" s="614"/>
      <c r="CL41" s="614"/>
      <c r="CM41" s="614"/>
      <c r="CN41" s="614"/>
      <c r="CO41" s="614"/>
      <c r="CP41" s="614"/>
      <c r="CQ41" s="614"/>
      <c r="CR41" s="614"/>
      <c r="CS41" s="614"/>
      <c r="CT41" s="606"/>
      <c r="CU41" s="606"/>
      <c r="CV41" s="606"/>
      <c r="CW41" s="606"/>
      <c r="CX41" s="606"/>
      <c r="CY41" s="606"/>
      <c r="CZ41" s="606"/>
      <c r="DA41" s="606"/>
      <c r="DB41" s="606"/>
      <c r="DC41" s="606"/>
      <c r="DD41" s="606"/>
      <c r="DE41" s="606"/>
      <c r="DF41" s="606"/>
      <c r="DG41" s="606"/>
      <c r="DH41" s="606"/>
      <c r="DI41" s="615" t="b">
        <f>IF(CV74=11,24)</f>
        <v>0</v>
      </c>
      <c r="DJ41" s="434"/>
      <c r="DK41" s="434"/>
      <c r="DL41" s="434"/>
      <c r="DN41" s="13">
        <v>11</v>
      </c>
    </row>
    <row r="42" spans="1:134" ht="18.75" hidden="1" thickBot="1" x14ac:dyDescent="0.3">
      <c r="B42" s="42"/>
      <c r="C42" s="15"/>
      <c r="D42" s="16"/>
      <c r="E42" s="16"/>
      <c r="F42" s="16"/>
      <c r="G42" s="16"/>
      <c r="H42" s="16"/>
      <c r="I42" s="16"/>
      <c r="J42" s="16"/>
      <c r="K42" s="16"/>
      <c r="L42" s="43"/>
      <c r="BS42" s="12"/>
      <c r="BT42" s="12"/>
      <c r="BU42" s="608">
        <v>-9</v>
      </c>
      <c r="BV42" s="619" t="b">
        <f>IF(BZ74=-9,-13)</f>
        <v>0</v>
      </c>
      <c r="BW42" s="617"/>
      <c r="BX42" s="616"/>
      <c r="BY42" s="616"/>
      <c r="BZ42" s="616"/>
      <c r="CA42" s="616"/>
      <c r="CB42" s="616"/>
      <c r="CC42" s="617"/>
      <c r="CD42" s="618" t="b">
        <f>IF(BZ74=-9,-5)</f>
        <v>0</v>
      </c>
      <c r="CE42" s="608"/>
      <c r="CF42" s="608"/>
      <c r="CG42" s="608"/>
      <c r="CH42" s="608"/>
      <c r="CI42" s="619" t="b">
        <f>IF(CU74=10,1)</f>
        <v>0</v>
      </c>
      <c r="CJ42" s="616"/>
      <c r="CK42" s="616"/>
      <c r="CL42" s="616"/>
      <c r="CM42" s="616"/>
      <c r="CN42" s="616"/>
      <c r="CO42" s="616"/>
      <c r="CP42" s="616"/>
      <c r="CQ42" s="616"/>
      <c r="CR42" s="616"/>
      <c r="CS42" s="616"/>
      <c r="CT42" s="617"/>
      <c r="CU42" s="617"/>
      <c r="CV42" s="617"/>
      <c r="CW42" s="617"/>
      <c r="CX42" s="617"/>
      <c r="CY42" s="617"/>
      <c r="CZ42" s="617"/>
      <c r="DA42" s="617"/>
      <c r="DB42" s="617"/>
      <c r="DC42" s="617"/>
      <c r="DD42" s="617"/>
      <c r="DE42" s="617"/>
      <c r="DF42" s="617"/>
      <c r="DG42" s="618" t="b">
        <f>IF(CU74=10,22)</f>
        <v>0</v>
      </c>
      <c r="DH42" s="434"/>
      <c r="DI42" s="434"/>
      <c r="DJ42" s="434"/>
      <c r="DK42" s="434"/>
      <c r="DL42" s="434"/>
      <c r="DN42" s="13">
        <v>10</v>
      </c>
    </row>
    <row r="43" spans="1:134" ht="18.75" hidden="1" thickBot="1" x14ac:dyDescent="0.3">
      <c r="B43" s="42"/>
      <c r="C43" s="15"/>
      <c r="D43" s="16"/>
      <c r="E43" s="16"/>
      <c r="F43" s="16"/>
      <c r="G43" s="16"/>
      <c r="H43" s="16"/>
      <c r="I43" s="16"/>
      <c r="J43" s="16"/>
      <c r="K43" s="16"/>
      <c r="L43" s="43"/>
      <c r="BS43" s="12"/>
      <c r="BT43" s="12"/>
      <c r="BU43" s="608">
        <v>-10</v>
      </c>
      <c r="BV43" s="619" t="b">
        <f>IF(BY74=-10,-13)</f>
        <v>0</v>
      </c>
      <c r="BW43" s="616"/>
      <c r="BX43" s="616"/>
      <c r="BY43" s="616"/>
      <c r="BZ43" s="616"/>
      <c r="CA43" s="616"/>
      <c r="CB43" s="618" t="b">
        <f>IF(BY74=-10,-7)</f>
        <v>0</v>
      </c>
      <c r="CC43" s="608"/>
      <c r="CD43" s="620"/>
      <c r="CE43" s="620"/>
      <c r="CF43" s="608"/>
      <c r="CG43" s="620"/>
      <c r="CH43" s="608"/>
      <c r="CI43" s="619" t="b">
        <f>IF(CT74=9,1)</f>
        <v>0</v>
      </c>
      <c r="CJ43" s="616"/>
      <c r="CK43" s="616"/>
      <c r="CL43" s="616"/>
      <c r="CM43" s="616"/>
      <c r="CN43" s="616"/>
      <c r="CO43" s="616"/>
      <c r="CP43" s="616"/>
      <c r="CQ43" s="616"/>
      <c r="CR43" s="616"/>
      <c r="CS43" s="616"/>
      <c r="CT43" s="617"/>
      <c r="CU43" s="617"/>
      <c r="CV43" s="617"/>
      <c r="CW43" s="617"/>
      <c r="CX43" s="617"/>
      <c r="CY43" s="617"/>
      <c r="CZ43" s="617"/>
      <c r="DA43" s="617"/>
      <c r="DB43" s="617"/>
      <c r="DC43" s="617"/>
      <c r="DD43" s="617"/>
      <c r="DE43" s="618" t="b">
        <f>IF(CT74=9,20)</f>
        <v>0</v>
      </c>
      <c r="DF43" s="434"/>
      <c r="DG43" s="434"/>
      <c r="DH43" s="434"/>
      <c r="DI43" s="434"/>
      <c r="DJ43" s="434"/>
      <c r="DK43" s="434"/>
      <c r="DL43" s="434"/>
      <c r="DN43" s="13">
        <v>9</v>
      </c>
    </row>
    <row r="44" spans="1:134" ht="18.75" hidden="1" thickBot="1" x14ac:dyDescent="0.3">
      <c r="B44" s="42"/>
      <c r="C44" s="15"/>
      <c r="D44" s="16"/>
      <c r="E44" s="16"/>
      <c r="F44" s="16"/>
      <c r="G44" s="16"/>
      <c r="H44" s="16"/>
      <c r="I44" s="16"/>
      <c r="J44" s="16"/>
      <c r="K44" s="16"/>
      <c r="L44" s="43"/>
      <c r="BS44" s="12"/>
      <c r="BT44" s="12"/>
      <c r="BU44" s="608">
        <v>-11</v>
      </c>
      <c r="BV44" s="619" t="b">
        <f>IF(BX74=-11,-13)</f>
        <v>0</v>
      </c>
      <c r="BW44" s="616"/>
      <c r="BX44" s="616"/>
      <c r="BY44" s="616"/>
      <c r="BZ44" s="618" t="b">
        <f>IF(BX74=-11,-9)</f>
        <v>0</v>
      </c>
      <c r="CA44" s="608"/>
      <c r="CB44" s="608"/>
      <c r="CC44" s="608"/>
      <c r="CD44" s="608"/>
      <c r="CE44" s="608"/>
      <c r="CF44" s="608"/>
      <c r="CG44" s="608"/>
      <c r="CH44" s="608"/>
      <c r="CI44" s="619" t="b">
        <f>IF(CS74=83,1)</f>
        <v>0</v>
      </c>
      <c r="CJ44" s="616"/>
      <c r="CK44" s="617"/>
      <c r="CL44" s="616"/>
      <c r="CM44" s="616"/>
      <c r="CN44" s="616"/>
      <c r="CO44" s="616"/>
      <c r="CP44" s="616"/>
      <c r="CQ44" s="616"/>
      <c r="CR44" s="616"/>
      <c r="CS44" s="617"/>
      <c r="CT44" s="617"/>
      <c r="CU44" s="617"/>
      <c r="CV44" s="617"/>
      <c r="CW44" s="617"/>
      <c r="CX44" s="617"/>
      <c r="CY44" s="617"/>
      <c r="CZ44" s="617"/>
      <c r="DA44" s="617"/>
      <c r="DB44" s="617"/>
      <c r="DC44" s="618" t="b">
        <f>IF(CS74=83,18)</f>
        <v>0</v>
      </c>
      <c r="DD44" s="434"/>
      <c r="DE44" s="434"/>
      <c r="DF44" s="434"/>
      <c r="DG44" s="434"/>
      <c r="DH44" s="434"/>
      <c r="DI44" s="434"/>
      <c r="DJ44" s="434"/>
      <c r="DK44" s="434"/>
      <c r="DL44" s="434"/>
      <c r="DN44" s="18">
        <v>83</v>
      </c>
    </row>
    <row r="45" spans="1:134" ht="18.75" hidden="1" thickBot="1" x14ac:dyDescent="0.3">
      <c r="B45" s="42"/>
      <c r="C45" s="15"/>
      <c r="D45" s="16"/>
      <c r="E45" s="16"/>
      <c r="F45" s="16"/>
      <c r="G45" s="16"/>
      <c r="H45" s="16"/>
      <c r="I45" s="16"/>
      <c r="J45" s="16"/>
      <c r="K45" s="16"/>
      <c r="L45" s="43"/>
      <c r="BS45" s="12"/>
      <c r="BT45" s="12"/>
      <c r="BU45" s="608">
        <v>-12</v>
      </c>
      <c r="BV45" s="619" t="b">
        <f>IF(BW74=-12,-13)</f>
        <v>0</v>
      </c>
      <c r="BW45" s="616"/>
      <c r="BX45" s="618" t="b">
        <f>IF(BW74=-12,-11)</f>
        <v>0</v>
      </c>
      <c r="BY45" s="608"/>
      <c r="BZ45" s="608"/>
      <c r="CA45" s="608"/>
      <c r="CB45" s="608"/>
      <c r="CC45" s="608"/>
      <c r="CD45" s="608"/>
      <c r="CE45" s="608"/>
      <c r="CF45" s="608"/>
      <c r="CG45" s="608"/>
      <c r="CH45" s="608"/>
      <c r="CI45" s="619" t="b">
        <f>IF(CR74=82,1)</f>
        <v>0</v>
      </c>
      <c r="CJ45" s="617"/>
      <c r="CK45" s="616"/>
      <c r="CL45" s="616"/>
      <c r="CM45" s="616"/>
      <c r="CN45" s="616"/>
      <c r="CO45" s="616"/>
      <c r="CP45" s="616"/>
      <c r="CQ45" s="616"/>
      <c r="CR45" s="617"/>
      <c r="CS45" s="616"/>
      <c r="CT45" s="617"/>
      <c r="CU45" s="617"/>
      <c r="CV45" s="617"/>
      <c r="CW45" s="617"/>
      <c r="CX45" s="617"/>
      <c r="CY45" s="617"/>
      <c r="CZ45" s="617"/>
      <c r="DA45" s="618" t="b">
        <f>IF(CR74=82,16)</f>
        <v>0</v>
      </c>
      <c r="DB45" s="434"/>
      <c r="DC45" s="434"/>
      <c r="DD45" s="434"/>
      <c r="DE45" s="434"/>
      <c r="DF45" s="434"/>
      <c r="DG45" s="434"/>
      <c r="DH45" s="434"/>
      <c r="DI45" s="434"/>
      <c r="DJ45" s="434"/>
      <c r="DK45" s="434"/>
      <c r="DL45" s="434"/>
      <c r="DN45" s="18">
        <v>82</v>
      </c>
    </row>
    <row r="46" spans="1:134" ht="11.25" hidden="1" customHeight="1" x14ac:dyDescent="0.25">
      <c r="A46" s="14"/>
      <c r="B46" s="15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S46" s="12"/>
      <c r="BT46" s="12"/>
      <c r="BU46" s="608"/>
      <c r="BV46" s="608"/>
      <c r="BW46" s="608"/>
      <c r="BX46" s="608"/>
      <c r="BY46" s="608"/>
      <c r="BZ46" s="608"/>
      <c r="CA46" s="608"/>
      <c r="CB46" s="608"/>
      <c r="CC46" s="608"/>
      <c r="CD46" s="608"/>
      <c r="CE46" s="608"/>
      <c r="CF46" s="608"/>
      <c r="CG46" s="608"/>
      <c r="CH46" s="608"/>
      <c r="CI46" s="608"/>
      <c r="CJ46" s="608"/>
      <c r="CK46" s="608"/>
      <c r="CL46" s="608"/>
      <c r="CM46" s="608"/>
      <c r="CN46" s="608"/>
      <c r="CO46" s="608"/>
      <c r="CP46" s="608"/>
      <c r="CQ46" s="608"/>
      <c r="CR46" s="608"/>
      <c r="CS46" s="608"/>
      <c r="CT46" s="434"/>
      <c r="CU46" s="434"/>
      <c r="CV46" s="434"/>
      <c r="CW46" s="434"/>
      <c r="CX46" s="434"/>
      <c r="CY46" s="434"/>
      <c r="CZ46" s="434"/>
      <c r="DA46" s="434"/>
      <c r="DB46" s="434"/>
      <c r="DC46" s="434"/>
      <c r="DD46" s="434"/>
      <c r="DE46" s="434"/>
      <c r="DF46" s="434"/>
      <c r="DG46" s="434"/>
      <c r="DH46" s="434"/>
      <c r="DI46" s="434"/>
      <c r="DJ46" s="434"/>
      <c r="DK46" s="434"/>
      <c r="DL46" s="434"/>
    </row>
    <row r="47" spans="1:134" ht="36" hidden="1" x14ac:dyDescent="0.25">
      <c r="A47" s="14"/>
      <c r="B47" s="15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S47" s="12"/>
      <c r="BT47" s="12"/>
      <c r="BU47" s="621" t="s">
        <v>81</v>
      </c>
      <c r="BV47" s="622">
        <f t="shared" ref="BV47:DL47" si="0">SUM(BV8:BV45)</f>
        <v>0</v>
      </c>
      <c r="BW47" s="622">
        <f t="shared" si="0"/>
        <v>0</v>
      </c>
      <c r="BX47" s="622">
        <f t="shared" si="0"/>
        <v>0</v>
      </c>
      <c r="BY47" s="622">
        <f t="shared" si="0"/>
        <v>-10</v>
      </c>
      <c r="BZ47" s="622">
        <f t="shared" si="0"/>
        <v>0</v>
      </c>
      <c r="CA47" s="622">
        <f t="shared" si="0"/>
        <v>0</v>
      </c>
      <c r="CB47" s="622">
        <f t="shared" si="0"/>
        <v>0</v>
      </c>
      <c r="CC47" s="622">
        <f t="shared" si="0"/>
        <v>0</v>
      </c>
      <c r="CD47" s="622">
        <f t="shared" si="0"/>
        <v>0</v>
      </c>
      <c r="CE47" s="622">
        <f t="shared" si="0"/>
        <v>0</v>
      </c>
      <c r="CF47" s="622">
        <f t="shared" si="0"/>
        <v>0</v>
      </c>
      <c r="CG47" s="622">
        <f t="shared" si="0"/>
        <v>0</v>
      </c>
      <c r="CH47" s="622">
        <f t="shared" si="0"/>
        <v>0</v>
      </c>
      <c r="CI47" s="622">
        <f t="shared" si="0"/>
        <v>0</v>
      </c>
      <c r="CJ47" s="622">
        <f t="shared" si="0"/>
        <v>0</v>
      </c>
      <c r="CK47" s="622">
        <f t="shared" si="0"/>
        <v>0</v>
      </c>
      <c r="CL47" s="622">
        <f t="shared" si="0"/>
        <v>0</v>
      </c>
      <c r="CM47" s="622">
        <f t="shared" si="0"/>
        <v>0</v>
      </c>
      <c r="CN47" s="622">
        <f t="shared" si="0"/>
        <v>0</v>
      </c>
      <c r="CO47" s="622">
        <f t="shared" si="0"/>
        <v>0</v>
      </c>
      <c r="CP47" s="622">
        <f t="shared" si="0"/>
        <v>0</v>
      </c>
      <c r="CQ47" s="622">
        <f t="shared" si="0"/>
        <v>0</v>
      </c>
      <c r="CR47" s="622">
        <f t="shared" si="0"/>
        <v>0</v>
      </c>
      <c r="CS47" s="622">
        <f t="shared" si="0"/>
        <v>0</v>
      </c>
      <c r="CT47" s="622">
        <f t="shared" si="0"/>
        <v>0</v>
      </c>
      <c r="CU47" s="622">
        <f t="shared" si="0"/>
        <v>0</v>
      </c>
      <c r="CV47" s="622">
        <f t="shared" si="0"/>
        <v>0</v>
      </c>
      <c r="CW47" s="622">
        <f t="shared" si="0"/>
        <v>0</v>
      </c>
      <c r="CX47" s="622">
        <f t="shared" si="0"/>
        <v>0</v>
      </c>
      <c r="CY47" s="622">
        <f t="shared" si="0"/>
        <v>14</v>
      </c>
      <c r="CZ47" s="622">
        <f t="shared" si="0"/>
        <v>0</v>
      </c>
      <c r="DA47" s="622">
        <f t="shared" si="0"/>
        <v>0</v>
      </c>
      <c r="DB47" s="622">
        <f t="shared" si="0"/>
        <v>0</v>
      </c>
      <c r="DC47" s="622">
        <f t="shared" si="0"/>
        <v>0</v>
      </c>
      <c r="DD47" s="622">
        <f t="shared" si="0"/>
        <v>0</v>
      </c>
      <c r="DE47" s="622">
        <f t="shared" si="0"/>
        <v>0</v>
      </c>
      <c r="DF47" s="622">
        <f t="shared" si="0"/>
        <v>0</v>
      </c>
      <c r="DG47" s="622">
        <f t="shared" si="0"/>
        <v>0</v>
      </c>
      <c r="DH47" s="622">
        <f t="shared" si="0"/>
        <v>0</v>
      </c>
      <c r="DI47" s="622">
        <f t="shared" si="0"/>
        <v>0</v>
      </c>
      <c r="DJ47" s="622">
        <f t="shared" si="0"/>
        <v>0</v>
      </c>
      <c r="DK47" s="622">
        <f t="shared" si="0"/>
        <v>0</v>
      </c>
      <c r="DL47" s="622">
        <f t="shared" si="0"/>
        <v>0</v>
      </c>
    </row>
    <row r="48" spans="1:134" ht="18.75" thickBot="1" x14ac:dyDescent="0.3">
      <c r="A48" s="14"/>
      <c r="B48" s="15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S48" s="12"/>
      <c r="BT48" s="12"/>
      <c r="BU48" s="621"/>
      <c r="BV48" s="622"/>
      <c r="BW48" s="622"/>
      <c r="BX48" s="622"/>
      <c r="BY48" s="622"/>
      <c r="BZ48" s="622"/>
      <c r="CA48" s="622"/>
      <c r="CB48" s="622"/>
      <c r="CC48" s="622"/>
      <c r="CD48" s="622"/>
      <c r="CE48" s="622"/>
      <c r="CF48" s="622"/>
      <c r="CG48" s="622"/>
      <c r="CH48" s="622"/>
      <c r="CI48" s="622"/>
      <c r="CJ48" s="622"/>
      <c r="CK48" s="622"/>
      <c r="CL48" s="622"/>
      <c r="CM48" s="622"/>
      <c r="CN48" s="622"/>
      <c r="CO48" s="622"/>
      <c r="CP48" s="622"/>
      <c r="CQ48" s="622"/>
      <c r="CR48" s="622"/>
      <c r="CS48" s="622"/>
      <c r="CT48" s="622"/>
      <c r="CU48" s="622"/>
      <c r="CV48" s="622"/>
      <c r="CW48" s="622"/>
      <c r="CX48" s="622"/>
      <c r="CY48" s="622"/>
      <c r="CZ48" s="622"/>
      <c r="DA48" s="622"/>
      <c r="DB48" s="622"/>
      <c r="DC48" s="622"/>
      <c r="DD48" s="622"/>
      <c r="DE48" s="622"/>
      <c r="DF48" s="622"/>
      <c r="DG48" s="622"/>
      <c r="DH48" s="622"/>
      <c r="DI48" s="622"/>
      <c r="DJ48" s="622"/>
      <c r="DK48" s="622"/>
      <c r="DL48" s="622"/>
    </row>
    <row r="49" spans="1:134" ht="38.25" thickBot="1" x14ac:dyDescent="0.4">
      <c r="A49" s="14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S49" s="12"/>
      <c r="BT49" s="12"/>
      <c r="BU49" s="623" t="s">
        <v>102</v>
      </c>
      <c r="BV49" s="674" t="str">
        <f>IF(BV47=-13,"A ","")</f>
        <v/>
      </c>
      <c r="BW49" s="675" t="str">
        <f>IF(BW47=-12,"B ","")</f>
        <v/>
      </c>
      <c r="BX49" s="675" t="str">
        <f>IF(BX47=-11,"C ","")</f>
        <v/>
      </c>
      <c r="BY49" s="675" t="str">
        <f>IF(BY47=-10,"D ","")</f>
        <v xml:space="preserve">D </v>
      </c>
      <c r="BZ49" s="675" t="str">
        <f>IF(BZ47=-9,"E ","")</f>
        <v/>
      </c>
      <c r="CA49" s="675" t="str">
        <f>IF(CA47=-8,"F ","")</f>
        <v/>
      </c>
      <c r="CB49" s="675" t="str">
        <f>IF(CB47=-7,"G ","")</f>
        <v/>
      </c>
      <c r="CC49" s="675" t="str">
        <f>IF(CC47=-6,"H ","")</f>
        <v/>
      </c>
      <c r="CD49" s="675" t="str">
        <f>IF(CD47=-5,"I ","")</f>
        <v/>
      </c>
      <c r="CE49" s="675" t="str">
        <f>IF(CE47=-4,"J ","")</f>
        <v/>
      </c>
      <c r="CF49" s="675" t="str">
        <f>IF(CF47=-3,"K ","")</f>
        <v/>
      </c>
      <c r="CG49" s="675" t="str">
        <f>IF(CG47=-2,"L ","")</f>
        <v/>
      </c>
      <c r="CH49" s="675" t="str">
        <f>IF(CH47=-1,"M ","")</f>
        <v/>
      </c>
      <c r="CI49" s="675">
        <f t="shared" ref="CI49:CP49" si="1">+CI47</f>
        <v>0</v>
      </c>
      <c r="CJ49" s="675">
        <f t="shared" si="1"/>
        <v>0</v>
      </c>
      <c r="CK49" s="675">
        <f t="shared" si="1"/>
        <v>0</v>
      </c>
      <c r="CL49" s="675">
        <f t="shared" si="1"/>
        <v>0</v>
      </c>
      <c r="CM49" s="675">
        <f t="shared" si="1"/>
        <v>0</v>
      </c>
      <c r="CN49" s="675">
        <f t="shared" si="1"/>
        <v>0</v>
      </c>
      <c r="CO49" s="675">
        <f t="shared" si="1"/>
        <v>0</v>
      </c>
      <c r="CP49" s="675">
        <f t="shared" si="1"/>
        <v>0</v>
      </c>
      <c r="CQ49" s="675" t="str">
        <f>IF(CQ47=81,"L ","")</f>
        <v/>
      </c>
      <c r="CR49" s="675" t="str">
        <f>IF(CR47=82,"K ","")</f>
        <v/>
      </c>
      <c r="CS49" s="675" t="str">
        <f>IF(CS47=83,"J ","")</f>
        <v/>
      </c>
      <c r="CT49" s="675">
        <f t="shared" ref="CT49:CY49" si="2">+CT47</f>
        <v>0</v>
      </c>
      <c r="CU49" s="675">
        <f t="shared" si="2"/>
        <v>0</v>
      </c>
      <c r="CV49" s="675">
        <f t="shared" si="2"/>
        <v>0</v>
      </c>
      <c r="CW49" s="675">
        <f t="shared" si="2"/>
        <v>0</v>
      </c>
      <c r="CX49" s="675">
        <f t="shared" si="2"/>
        <v>0</v>
      </c>
      <c r="CY49" s="675">
        <f t="shared" si="2"/>
        <v>14</v>
      </c>
      <c r="CZ49" s="675" t="str">
        <f>IF(CZ47=15,"M ","")</f>
        <v/>
      </c>
      <c r="DA49" s="675" t="str">
        <f>IF(DA47=16,"L ","")</f>
        <v/>
      </c>
      <c r="DB49" s="675" t="str">
        <f>IF(DB47=17,"K ","")</f>
        <v/>
      </c>
      <c r="DC49" s="675" t="str">
        <f>IF(DC47=18,"J ","")</f>
        <v/>
      </c>
      <c r="DD49" s="675" t="str">
        <f>IF(DD47=19,"I ","")</f>
        <v/>
      </c>
      <c r="DE49" s="675" t="str">
        <f>IF(DE47=20,"H ","")</f>
        <v/>
      </c>
      <c r="DF49" s="675" t="str">
        <f>IF(DF47=21,"G ","")</f>
        <v/>
      </c>
      <c r="DG49" s="675" t="str">
        <f>IF(DG47=22,"F ","")</f>
        <v/>
      </c>
      <c r="DH49" s="675" t="str">
        <f>IF(DH47=23,"E ","")</f>
        <v/>
      </c>
      <c r="DI49" s="675" t="str">
        <f>IF(DI47=24,"D ","")</f>
        <v/>
      </c>
      <c r="DJ49" s="675" t="str">
        <f>IF(DJ47=25,"C ","")</f>
        <v/>
      </c>
      <c r="DK49" s="675" t="str">
        <f>IF(DK47=26,"B ","")</f>
        <v/>
      </c>
      <c r="DL49" s="676" t="str">
        <f>IF(DL47=27,"A ","")</f>
        <v/>
      </c>
    </row>
    <row r="50" spans="1:134" ht="11.25" customHeight="1" thickBot="1" x14ac:dyDescent="0.3">
      <c r="A50" s="14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S50" s="12"/>
      <c r="BT50" s="12"/>
      <c r="BU50" s="434"/>
      <c r="BV50" s="434"/>
      <c r="BW50" s="434"/>
      <c r="BX50" s="434"/>
      <c r="BY50" s="434"/>
      <c r="BZ50" s="434"/>
      <c r="CA50" s="434"/>
      <c r="CB50" s="434"/>
      <c r="CC50" s="434"/>
      <c r="CD50" s="434"/>
      <c r="CE50" s="434"/>
      <c r="CF50" s="434"/>
      <c r="CG50" s="434"/>
      <c r="CH50" s="434"/>
      <c r="CI50" s="434"/>
      <c r="CJ50" s="434"/>
      <c r="CK50" s="434"/>
      <c r="CL50" s="434"/>
      <c r="CM50" s="434"/>
      <c r="CN50" s="434"/>
      <c r="CO50" s="624"/>
      <c r="CP50" s="624"/>
      <c r="CQ50" s="624"/>
      <c r="CR50" s="624"/>
      <c r="CS50" s="625"/>
      <c r="CT50" s="434"/>
      <c r="CU50" s="434"/>
      <c r="CV50" s="434"/>
      <c r="CW50" s="434"/>
      <c r="CX50" s="434"/>
      <c r="CY50" s="434"/>
      <c r="CZ50" s="434"/>
      <c r="DA50" s="434"/>
      <c r="DB50" s="434"/>
      <c r="DC50" s="434"/>
      <c r="DD50" s="434"/>
      <c r="DE50" s="434"/>
      <c r="DF50" s="434"/>
      <c r="DG50" s="434"/>
      <c r="DH50" s="434"/>
      <c r="DI50" s="434"/>
      <c r="DJ50" s="434"/>
      <c r="DK50" s="434"/>
      <c r="DL50" s="434"/>
    </row>
    <row r="51" spans="1:134" s="5" customFormat="1" ht="22.5" customHeight="1" x14ac:dyDescent="0.25">
      <c r="A51" s="17"/>
      <c r="B51" s="44"/>
      <c r="C51" s="44"/>
      <c r="D51" s="17"/>
      <c r="E51" s="17"/>
      <c r="F51" s="17"/>
      <c r="G51" s="17"/>
      <c r="H51" s="17"/>
      <c r="I51" s="17"/>
      <c r="J51" s="17"/>
      <c r="K51" s="17"/>
      <c r="L51" s="45"/>
      <c r="M51" s="45"/>
      <c r="N51" s="45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K51" s="46"/>
      <c r="BL51" s="17"/>
      <c r="BM51" s="47"/>
      <c r="BN51" s="47"/>
      <c r="BO51" s="47"/>
      <c r="BP51" s="47"/>
      <c r="BQ51" s="47"/>
      <c r="BR51" s="47"/>
      <c r="BS51" s="12"/>
      <c r="BT51" s="12"/>
      <c r="BU51" s="626" t="s">
        <v>29</v>
      </c>
      <c r="BV51" s="587"/>
      <c r="BW51" s="588"/>
      <c r="BX51" s="588"/>
      <c r="BY51" s="588"/>
      <c r="BZ51" s="588"/>
      <c r="CA51" s="588"/>
      <c r="CB51" s="588"/>
      <c r="CC51" s="588"/>
      <c r="CD51" s="588"/>
      <c r="CE51" s="588"/>
      <c r="CF51" s="588"/>
      <c r="CG51" s="588"/>
      <c r="CH51" s="589"/>
      <c r="CI51" s="627" t="s">
        <v>30</v>
      </c>
      <c r="CJ51" s="628"/>
      <c r="CK51" s="628"/>
      <c r="CL51" s="628"/>
      <c r="CM51" s="628"/>
      <c r="CN51" s="584"/>
      <c r="CO51" s="600"/>
      <c r="CP51" s="600"/>
      <c r="CQ51" s="600"/>
      <c r="CR51" s="600"/>
      <c r="CS51" s="584"/>
      <c r="CT51" s="584"/>
      <c r="CU51" s="584"/>
      <c r="CV51" s="584"/>
      <c r="CW51" s="584"/>
      <c r="CX51" s="584"/>
      <c r="CY51" s="629" t="s">
        <v>31</v>
      </c>
      <c r="CZ51" s="587"/>
      <c r="DA51" s="588"/>
      <c r="DB51" s="588"/>
      <c r="DC51" s="588"/>
      <c r="DD51" s="588"/>
      <c r="DE51" s="588"/>
      <c r="DF51" s="588"/>
      <c r="DG51" s="588"/>
      <c r="DH51" s="588"/>
      <c r="DI51" s="588"/>
      <c r="DJ51" s="588"/>
      <c r="DK51" s="588"/>
      <c r="DL51" s="589"/>
      <c r="DM51" s="13"/>
      <c r="DN51" s="13"/>
      <c r="DO51" s="13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</row>
    <row r="52" spans="1:134" ht="22.5" customHeight="1" thickBot="1" x14ac:dyDescent="0.4">
      <c r="A52" s="14"/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48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K52" s="49"/>
      <c r="BM52" s="4"/>
      <c r="BN52" s="4"/>
      <c r="BO52" s="49"/>
      <c r="BP52" s="49"/>
      <c r="BQ52" s="49"/>
      <c r="BR52" s="683" t="s">
        <v>163</v>
      </c>
      <c r="BS52" s="683">
        <f>+MAX(BT3,BT6,BT52)</f>
        <v>70.177612713692625</v>
      </c>
      <c r="BT52" s="684">
        <f>+IF(AND(CX52&gt;0,CI52&gt;0),CI52)</f>
        <v>62.359423043567872</v>
      </c>
      <c r="BU52" s="630" t="s">
        <v>101</v>
      </c>
      <c r="BV52" s="595"/>
      <c r="BW52" s="596"/>
      <c r="BX52" s="596"/>
      <c r="BY52" s="596"/>
      <c r="BZ52" s="596"/>
      <c r="CA52" s="596"/>
      <c r="CB52" s="596"/>
      <c r="CC52" s="596"/>
      <c r="CD52" s="596"/>
      <c r="CE52" s="596"/>
      <c r="CF52" s="596"/>
      <c r="CG52" s="596"/>
      <c r="CH52" s="597"/>
      <c r="CI52" s="737">
        <f>+((D8-D9)/D8)*C14</f>
        <v>62.359423043567872</v>
      </c>
      <c r="CJ52" s="738"/>
      <c r="CK52" s="631"/>
      <c r="CL52" s="631"/>
      <c r="CM52" s="631"/>
      <c r="CN52" s="592"/>
      <c r="CO52" s="604"/>
      <c r="CP52" s="604"/>
      <c r="CQ52" s="604"/>
      <c r="CR52" s="604"/>
      <c r="CS52" s="592"/>
      <c r="CT52" s="592"/>
      <c r="CU52" s="592"/>
      <c r="CV52" s="592"/>
      <c r="CW52" s="592"/>
      <c r="CX52" s="739">
        <f>+(D9/D8)*C14</f>
        <v>17.440576956432114</v>
      </c>
      <c r="CY52" s="740"/>
      <c r="CZ52" s="595"/>
      <c r="DA52" s="596"/>
      <c r="DB52" s="596"/>
      <c r="DC52" s="596"/>
      <c r="DD52" s="596"/>
      <c r="DE52" s="596"/>
      <c r="DF52" s="596"/>
      <c r="DG52" s="596"/>
      <c r="DH52" s="596"/>
      <c r="DI52" s="596"/>
      <c r="DJ52" s="596"/>
      <c r="DK52" s="596"/>
      <c r="DL52" s="597"/>
      <c r="DM52" s="684">
        <f>+IF(AND(CI52&gt;0,CX52&gt;0),CX52)</f>
        <v>17.440576956432114</v>
      </c>
      <c r="DN52" s="683">
        <f>+MAX(DM3,DM6,DM52)</f>
        <v>45.394801079410819</v>
      </c>
      <c r="DO52" s="683" t="s">
        <v>164</v>
      </c>
    </row>
    <row r="53" spans="1:134" ht="12" customHeight="1" thickBot="1" x14ac:dyDescent="0.4">
      <c r="A53" s="14"/>
      <c r="B53" s="15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M53" s="4"/>
      <c r="BN53" s="4"/>
      <c r="BO53" s="49"/>
      <c r="BP53" s="49"/>
      <c r="BQ53" s="49"/>
      <c r="BR53" s="49"/>
      <c r="BS53" s="12"/>
      <c r="BT53" s="12"/>
      <c r="BU53" s="632"/>
      <c r="BV53" s="632"/>
      <c r="BW53" s="633"/>
      <c r="BX53" s="632"/>
      <c r="BY53" s="632"/>
      <c r="BZ53" s="632"/>
      <c r="CA53" s="633"/>
      <c r="CB53" s="632"/>
      <c r="CC53" s="632"/>
      <c r="CD53" s="632"/>
      <c r="CE53" s="632"/>
      <c r="CF53" s="632"/>
      <c r="CG53" s="632"/>
      <c r="CH53" s="632"/>
      <c r="CI53" s="632"/>
      <c r="CJ53" s="632"/>
      <c r="CK53" s="632"/>
      <c r="CL53" s="632"/>
      <c r="CM53" s="632"/>
      <c r="CN53" s="633"/>
      <c r="CO53" s="624"/>
      <c r="CP53" s="624"/>
      <c r="CQ53" s="624"/>
      <c r="CR53" s="624"/>
      <c r="CS53" s="601"/>
      <c r="CT53" s="434"/>
      <c r="CU53" s="434"/>
      <c r="CV53" s="434"/>
      <c r="CW53" s="434"/>
      <c r="CX53" s="434"/>
      <c r="CY53" s="434"/>
      <c r="CZ53" s="434"/>
      <c r="DA53" s="434"/>
      <c r="DB53" s="434"/>
      <c r="DC53" s="434"/>
      <c r="DD53" s="434"/>
      <c r="DE53" s="434"/>
      <c r="DF53" s="434"/>
      <c r="DG53" s="434"/>
      <c r="DH53" s="434"/>
      <c r="DI53" s="434"/>
      <c r="DJ53" s="434"/>
      <c r="DK53" s="434"/>
      <c r="DL53" s="434"/>
    </row>
    <row r="54" spans="1:134" ht="26.25" hidden="1" thickBot="1" x14ac:dyDescent="0.4">
      <c r="A54" s="14"/>
      <c r="B54" s="15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51"/>
      <c r="N54" s="51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M54" s="4"/>
      <c r="BN54" s="4"/>
      <c r="BO54" s="49"/>
      <c r="BP54" s="49"/>
      <c r="BQ54" s="49"/>
      <c r="BR54" s="49"/>
      <c r="BS54" s="12"/>
      <c r="BT54" s="12"/>
      <c r="BU54" s="632"/>
      <c r="BV54" s="632"/>
      <c r="BW54" s="633"/>
      <c r="BX54" s="632"/>
      <c r="BY54" s="632"/>
      <c r="BZ54" s="632"/>
      <c r="CA54" s="633"/>
      <c r="CB54" s="632"/>
      <c r="CC54" s="632"/>
      <c r="CD54" s="632"/>
      <c r="CE54" s="632"/>
      <c r="CF54" s="632"/>
      <c r="CG54" s="632"/>
      <c r="CH54" s="632"/>
      <c r="CI54" s="632"/>
      <c r="CJ54" s="632"/>
      <c r="CK54" s="632"/>
      <c r="CL54" s="632"/>
      <c r="CM54" s="632"/>
      <c r="CN54" s="633"/>
      <c r="CO54" s="624"/>
      <c r="CP54" s="624"/>
      <c r="CQ54" s="624"/>
      <c r="CR54" s="624"/>
      <c r="CS54" s="601"/>
      <c r="CT54" s="434"/>
      <c r="CU54" s="434"/>
      <c r="CV54" s="434"/>
      <c r="CW54" s="613" t="b">
        <f>IF(CX74=13,12)</f>
        <v>0</v>
      </c>
      <c r="CX54" s="606"/>
      <c r="CY54" s="615" t="b">
        <f>IF(CX74=13,14)</f>
        <v>0</v>
      </c>
      <c r="CZ54" s="434"/>
      <c r="DA54" s="434"/>
      <c r="DB54" s="434"/>
      <c r="DC54" s="434"/>
      <c r="DD54" s="434"/>
      <c r="DE54" s="434"/>
      <c r="DF54" s="434"/>
      <c r="DG54" s="434"/>
      <c r="DH54" s="434"/>
      <c r="DI54" s="434"/>
      <c r="DJ54" s="434"/>
      <c r="DK54" s="434"/>
      <c r="DL54" s="434"/>
    </row>
    <row r="55" spans="1:134" ht="18.75" hidden="1" thickBot="1" x14ac:dyDescent="0.3">
      <c r="A55" s="14"/>
      <c r="B55" s="15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7"/>
      <c r="BJ55" s="4"/>
      <c r="BM55" s="4"/>
      <c r="BN55" s="4"/>
      <c r="BO55" s="4"/>
      <c r="BP55" s="4"/>
      <c r="BQ55" s="4"/>
      <c r="BR55" s="4"/>
      <c r="BS55" s="12"/>
      <c r="BT55" s="12"/>
      <c r="BU55" s="632"/>
      <c r="BV55" s="632"/>
      <c r="BW55" s="633"/>
      <c r="BX55" s="632"/>
      <c r="BY55" s="632"/>
      <c r="BZ55" s="632"/>
      <c r="CA55" s="633"/>
      <c r="CB55" s="632"/>
      <c r="CC55" s="632"/>
      <c r="CD55" s="632"/>
      <c r="CE55" s="632"/>
      <c r="CF55" s="632"/>
      <c r="CG55" s="632"/>
      <c r="CH55" s="632"/>
      <c r="CI55" s="632"/>
      <c r="CJ55" s="632"/>
      <c r="CK55" s="632"/>
      <c r="CL55" s="632"/>
      <c r="CM55" s="632"/>
      <c r="CN55" s="633"/>
      <c r="CO55" s="624"/>
      <c r="CP55" s="624"/>
      <c r="CQ55" s="624"/>
      <c r="CR55" s="624"/>
      <c r="CS55" s="601"/>
      <c r="CT55" s="613" t="b">
        <f>IF(CW74=12,10)</f>
        <v>0</v>
      </c>
      <c r="CU55" s="606"/>
      <c r="CV55" s="606"/>
      <c r="CW55" s="617"/>
      <c r="CX55" s="617"/>
      <c r="CY55" s="618" t="b">
        <f>IF(CW74=12,14)</f>
        <v>0</v>
      </c>
      <c r="CZ55" s="434"/>
      <c r="DA55" s="434"/>
      <c r="DB55" s="434"/>
      <c r="DC55" s="434"/>
      <c r="DD55" s="434"/>
      <c r="DE55" s="434"/>
      <c r="DF55" s="434"/>
      <c r="DG55" s="434"/>
      <c r="DH55" s="434"/>
      <c r="DI55" s="434"/>
      <c r="DJ55" s="434"/>
      <c r="DK55" s="434"/>
      <c r="DL55" s="434"/>
    </row>
    <row r="56" spans="1:134" ht="18.75" hidden="1" thickBot="1" x14ac:dyDescent="0.3">
      <c r="A56" s="14"/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7"/>
      <c r="BJ56" s="4"/>
      <c r="BM56" s="4"/>
      <c r="BN56" s="4"/>
      <c r="BO56" s="48"/>
      <c r="BP56" s="48"/>
      <c r="BQ56" s="48"/>
      <c r="BR56" s="48"/>
      <c r="BS56" s="12"/>
      <c r="BT56" s="12"/>
      <c r="BU56" s="632"/>
      <c r="BV56" s="632"/>
      <c r="BW56" s="633"/>
      <c r="BX56" s="632"/>
      <c r="BY56" s="632"/>
      <c r="BZ56" s="632"/>
      <c r="CA56" s="633"/>
      <c r="CB56" s="632"/>
      <c r="CC56" s="632"/>
      <c r="CD56" s="632"/>
      <c r="CE56" s="632"/>
      <c r="CF56" s="632"/>
      <c r="CG56" s="632"/>
      <c r="CH56" s="632"/>
      <c r="CI56" s="632"/>
      <c r="CJ56" s="632"/>
      <c r="CK56" s="632"/>
      <c r="CL56" s="632"/>
      <c r="CM56" s="632"/>
      <c r="CN56" s="633"/>
      <c r="CO56" s="624"/>
      <c r="CP56" s="624"/>
      <c r="CQ56" s="624"/>
      <c r="CR56" s="624"/>
      <c r="CS56" s="613" t="b">
        <f>IF(CV74=11,9)</f>
        <v>0</v>
      </c>
      <c r="CT56" s="617"/>
      <c r="CU56" s="617"/>
      <c r="CV56" s="617"/>
      <c r="CW56" s="617"/>
      <c r="CX56" s="618" t="b">
        <f>IF(CV74=11,14)</f>
        <v>0</v>
      </c>
      <c r="CY56" s="434"/>
      <c r="CZ56" s="434"/>
      <c r="DA56" s="434"/>
      <c r="DB56" s="434"/>
      <c r="DC56" s="434"/>
      <c r="DD56" s="434"/>
      <c r="DE56" s="434"/>
      <c r="DF56" s="434"/>
      <c r="DG56" s="434"/>
      <c r="DH56" s="434"/>
      <c r="DI56" s="434"/>
      <c r="DJ56" s="434"/>
      <c r="DK56" s="434"/>
      <c r="DL56" s="434"/>
    </row>
    <row r="57" spans="1:134" ht="18.75" hidden="1" thickBot="1" x14ac:dyDescent="0.3">
      <c r="A57" s="14"/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28"/>
      <c r="N57" s="2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7"/>
      <c r="BJ57" s="4"/>
      <c r="BM57" s="4"/>
      <c r="BN57" s="4"/>
      <c r="BO57" s="52"/>
      <c r="BP57" s="52"/>
      <c r="BQ57" s="52"/>
      <c r="BR57" s="52"/>
      <c r="BS57" s="12"/>
      <c r="BT57" s="12"/>
      <c r="BU57" s="632"/>
      <c r="BV57" s="632"/>
      <c r="BW57" s="633"/>
      <c r="BX57" s="632"/>
      <c r="BY57" s="632"/>
      <c r="BZ57" s="632"/>
      <c r="CA57" s="633"/>
      <c r="CB57" s="632"/>
      <c r="CC57" s="632"/>
      <c r="CD57" s="632"/>
      <c r="CE57" s="632"/>
      <c r="CF57" s="632"/>
      <c r="CG57" s="632"/>
      <c r="CH57" s="632"/>
      <c r="CI57" s="632"/>
      <c r="CJ57" s="632"/>
      <c r="CK57" s="632"/>
      <c r="CL57" s="608"/>
      <c r="CM57" s="632"/>
      <c r="CN57" s="608"/>
      <c r="CO57" s="624"/>
      <c r="CP57" s="624"/>
      <c r="CQ57" s="624"/>
      <c r="CR57" s="624"/>
      <c r="CS57" s="434"/>
      <c r="CT57" s="634" t="b">
        <f>IF(CU74=10,9)</f>
        <v>0</v>
      </c>
      <c r="CU57" s="635"/>
      <c r="CV57" s="636" t="b">
        <f>IF(CU74=10,11)</f>
        <v>0</v>
      </c>
      <c r="CW57" s="434"/>
      <c r="CX57" s="434"/>
      <c r="CY57" s="434"/>
      <c r="CZ57" s="434"/>
      <c r="DA57" s="434"/>
      <c r="DB57" s="434"/>
      <c r="DC57" s="434"/>
      <c r="DD57" s="434"/>
      <c r="DE57" s="434"/>
      <c r="DF57" s="434"/>
      <c r="DG57" s="434"/>
      <c r="DH57" s="434"/>
      <c r="DI57" s="434"/>
      <c r="DJ57" s="434"/>
      <c r="DK57" s="434"/>
      <c r="DL57" s="434"/>
    </row>
    <row r="58" spans="1:134" ht="18.75" hidden="1" thickBot="1" x14ac:dyDescent="0.3">
      <c r="A58" s="14"/>
      <c r="B58" s="15"/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28"/>
      <c r="N58" s="28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7"/>
      <c r="BJ58" s="4"/>
      <c r="BO58" s="53"/>
      <c r="BP58" s="53"/>
      <c r="BQ58" s="53"/>
      <c r="BR58" s="53"/>
      <c r="BS58" s="12"/>
      <c r="BT58" s="12"/>
      <c r="BU58" s="632"/>
      <c r="BV58" s="632"/>
      <c r="BW58" s="633"/>
      <c r="BX58" s="632"/>
      <c r="BY58" s="632"/>
      <c r="BZ58" s="632"/>
      <c r="CA58" s="633"/>
      <c r="CB58" s="632"/>
      <c r="CC58" s="632"/>
      <c r="CD58" s="632"/>
      <c r="CE58" s="632"/>
      <c r="CF58" s="632"/>
      <c r="CG58" s="632"/>
      <c r="CH58" s="632"/>
      <c r="CI58" s="632"/>
      <c r="CJ58" s="608"/>
      <c r="CK58" s="632"/>
      <c r="CL58" s="632"/>
      <c r="CM58" s="632"/>
      <c r="CN58" s="608"/>
      <c r="CO58" s="613" t="b">
        <f>IF(CT74=9,7)</f>
        <v>0</v>
      </c>
      <c r="CP58" s="637"/>
      <c r="CQ58" s="637"/>
      <c r="CR58" s="637"/>
      <c r="CS58" s="606"/>
      <c r="CT58" s="606"/>
      <c r="CU58" s="606"/>
      <c r="CV58" s="606"/>
      <c r="CW58" s="606"/>
      <c r="CX58" s="606"/>
      <c r="CY58" s="615" t="b">
        <f>IF(CT74=9,14)</f>
        <v>0</v>
      </c>
      <c r="CZ58" s="434"/>
      <c r="DA58" s="638"/>
      <c r="DB58" s="638"/>
      <c r="DC58" s="638"/>
      <c r="DD58" s="434"/>
      <c r="DE58" s="434"/>
      <c r="DF58" s="434"/>
      <c r="DG58" s="434"/>
      <c r="DH58" s="434"/>
      <c r="DI58" s="434"/>
      <c r="DJ58" s="434"/>
      <c r="DK58" s="434"/>
      <c r="DL58" s="434"/>
    </row>
    <row r="59" spans="1:134" ht="18.75" hidden="1" thickBot="1" x14ac:dyDescent="0.3">
      <c r="A59" s="14"/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28"/>
      <c r="N59" s="2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7"/>
      <c r="BJ59" s="4"/>
      <c r="BO59" s="53"/>
      <c r="BP59" s="53"/>
      <c r="BQ59" s="53"/>
      <c r="BR59" s="53"/>
      <c r="BS59" s="12"/>
      <c r="BT59" s="12"/>
      <c r="BU59" s="632"/>
      <c r="BV59" s="632"/>
      <c r="BW59" s="633"/>
      <c r="BX59" s="632"/>
      <c r="BY59" s="632"/>
      <c r="BZ59" s="632"/>
      <c r="CA59" s="633"/>
      <c r="CB59" s="632"/>
      <c r="CC59" s="632"/>
      <c r="CD59" s="632"/>
      <c r="CE59" s="632"/>
      <c r="CF59" s="632"/>
      <c r="CG59" s="632"/>
      <c r="CH59" s="632"/>
      <c r="CI59" s="632"/>
      <c r="CJ59" s="608"/>
      <c r="CK59" s="632"/>
      <c r="CL59" s="434"/>
      <c r="CM59" s="613" t="b">
        <f>IF(CS74=83,5)</f>
        <v>0</v>
      </c>
      <c r="CN59" s="614"/>
      <c r="CO59" s="637"/>
      <c r="CP59" s="637"/>
      <c r="CQ59" s="637"/>
      <c r="CR59" s="637"/>
      <c r="CS59" s="606"/>
      <c r="CT59" s="606"/>
      <c r="CU59" s="606"/>
      <c r="CV59" s="606"/>
      <c r="CW59" s="606"/>
      <c r="CX59" s="606"/>
      <c r="CY59" s="615" t="b">
        <f>IF(CS74=83,14)</f>
        <v>0</v>
      </c>
      <c r="CZ59" s="434"/>
      <c r="DA59" s="434"/>
      <c r="DB59" s="434"/>
      <c r="DC59" s="434"/>
      <c r="DD59" s="434"/>
      <c r="DE59" s="434"/>
      <c r="DF59" s="434"/>
      <c r="DG59" s="434"/>
      <c r="DH59" s="434"/>
      <c r="DI59" s="434"/>
      <c r="DJ59" s="434"/>
      <c r="DK59" s="434"/>
      <c r="DL59" s="434"/>
    </row>
    <row r="60" spans="1:134" ht="18.75" hidden="1" thickBot="1" x14ac:dyDescent="0.3">
      <c r="A60" s="14"/>
      <c r="B60" s="15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28"/>
      <c r="N60" s="28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7"/>
      <c r="BJ60" s="4"/>
      <c r="BO60" s="53"/>
      <c r="BP60" s="53"/>
      <c r="BQ60" s="53"/>
      <c r="BR60" s="53"/>
      <c r="BS60" s="12"/>
      <c r="BT60" s="12"/>
      <c r="BU60" s="632"/>
      <c r="BV60" s="632"/>
      <c r="BW60" s="633"/>
      <c r="BX60" s="632"/>
      <c r="BY60" s="632"/>
      <c r="BZ60" s="632"/>
      <c r="CA60" s="633"/>
      <c r="CB60" s="632"/>
      <c r="CC60" s="632"/>
      <c r="CD60" s="632"/>
      <c r="CE60" s="632"/>
      <c r="CF60" s="608"/>
      <c r="CG60" s="632"/>
      <c r="CH60" s="632"/>
      <c r="CI60" s="434"/>
      <c r="CJ60" s="639"/>
      <c r="CK60" s="613" t="b">
        <f>IF(CR74=82,3)</f>
        <v>0</v>
      </c>
      <c r="CL60" s="640"/>
      <c r="CM60" s="640"/>
      <c r="CN60" s="614"/>
      <c r="CO60" s="637"/>
      <c r="CP60" s="637"/>
      <c r="CQ60" s="637"/>
      <c r="CR60" s="637"/>
      <c r="CS60" s="606"/>
      <c r="CT60" s="606"/>
      <c r="CU60" s="606"/>
      <c r="CV60" s="606"/>
      <c r="CW60" s="606"/>
      <c r="CX60" s="606"/>
      <c r="CY60" s="615" t="b">
        <f>IF(CR74=82,14)</f>
        <v>0</v>
      </c>
      <c r="CZ60" s="434"/>
      <c r="DA60" s="434"/>
      <c r="DB60" s="434"/>
      <c r="DC60" s="434"/>
      <c r="DD60" s="434"/>
      <c r="DE60" s="434"/>
      <c r="DF60" s="434"/>
      <c r="DG60" s="434"/>
      <c r="DH60" s="434"/>
      <c r="DI60" s="434"/>
      <c r="DJ60" s="434"/>
      <c r="DK60" s="434"/>
      <c r="DL60" s="434"/>
    </row>
    <row r="61" spans="1:134" ht="18.75" hidden="1" customHeight="1" thickBot="1" x14ac:dyDescent="0.3">
      <c r="A61" s="14"/>
      <c r="B61" s="15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28"/>
      <c r="N61" s="2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7"/>
      <c r="BJ61" s="4"/>
      <c r="BO61" s="53"/>
      <c r="BP61" s="53"/>
      <c r="BQ61" s="53"/>
      <c r="BR61" s="53"/>
      <c r="BS61" s="12"/>
      <c r="BT61" s="12"/>
      <c r="BU61" s="632"/>
      <c r="BV61" s="632"/>
      <c r="BW61" s="633"/>
      <c r="BX61" s="632"/>
      <c r="BY61" s="632"/>
      <c r="BZ61" s="632"/>
      <c r="CA61" s="633"/>
      <c r="CB61" s="632"/>
      <c r="CC61" s="632"/>
      <c r="CD61" s="608"/>
      <c r="CE61" s="632"/>
      <c r="CF61" s="632"/>
      <c r="CG61" s="632"/>
      <c r="CH61" s="632"/>
      <c r="CI61" s="613" t="b">
        <f>IF(CQ74=81,1)</f>
        <v>0</v>
      </c>
      <c r="CJ61" s="640"/>
      <c r="CK61" s="640"/>
      <c r="CL61" s="640"/>
      <c r="CM61" s="640"/>
      <c r="CN61" s="614"/>
      <c r="CO61" s="637"/>
      <c r="CP61" s="637"/>
      <c r="CQ61" s="637"/>
      <c r="CR61" s="637"/>
      <c r="CS61" s="606"/>
      <c r="CT61" s="606"/>
      <c r="CU61" s="606"/>
      <c r="CV61" s="606"/>
      <c r="CW61" s="606"/>
      <c r="CX61" s="606"/>
      <c r="CY61" s="615" t="b">
        <f>IF(CQ74=81,14)</f>
        <v>0</v>
      </c>
      <c r="CZ61" s="434"/>
      <c r="DA61" s="434"/>
      <c r="DB61" s="434"/>
      <c r="DC61" s="434"/>
      <c r="DD61" s="434"/>
      <c r="DE61" s="434"/>
      <c r="DF61" s="434"/>
      <c r="DG61" s="434"/>
      <c r="DH61" s="434"/>
      <c r="DI61" s="434"/>
      <c r="DJ61" s="434"/>
      <c r="DK61" s="434"/>
      <c r="DL61" s="434"/>
    </row>
    <row r="62" spans="1:134" ht="18.75" hidden="1" thickBot="1" x14ac:dyDescent="0.3">
      <c r="A62" s="14"/>
      <c r="B62" s="15"/>
      <c r="C62" s="15"/>
      <c r="D62" s="16"/>
      <c r="E62" s="16"/>
      <c r="F62" s="16"/>
      <c r="G62" s="16"/>
      <c r="H62" s="16"/>
      <c r="I62" s="16"/>
      <c r="J62" s="16"/>
      <c r="K62" s="16"/>
      <c r="L62" s="28"/>
      <c r="M62" s="28"/>
      <c r="N62" s="28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7"/>
      <c r="BJ62" s="4"/>
      <c r="BO62" s="53"/>
      <c r="BP62" s="53"/>
      <c r="BQ62" s="53"/>
      <c r="BR62" s="53"/>
      <c r="BS62" s="12"/>
      <c r="BT62" s="12"/>
      <c r="BU62" s="632"/>
      <c r="BV62" s="632"/>
      <c r="BW62" s="633"/>
      <c r="BX62" s="632"/>
      <c r="BY62" s="632"/>
      <c r="BZ62" s="632"/>
      <c r="CA62" s="633"/>
      <c r="CB62" s="608"/>
      <c r="CC62" s="632"/>
      <c r="CD62" s="632"/>
      <c r="CE62" s="632"/>
      <c r="CF62" s="632"/>
      <c r="CG62" s="632"/>
      <c r="CH62" s="632"/>
      <c r="CI62" s="619" t="b">
        <f>IF(CP74=8,1)</f>
        <v>0</v>
      </c>
      <c r="CJ62" s="641"/>
      <c r="CK62" s="641"/>
      <c r="CL62" s="641"/>
      <c r="CM62" s="641"/>
      <c r="CN62" s="616"/>
      <c r="CO62" s="642"/>
      <c r="CP62" s="642"/>
      <c r="CQ62" s="642"/>
      <c r="CR62" s="642"/>
      <c r="CS62" s="617"/>
      <c r="CT62" s="617"/>
      <c r="CU62" s="617"/>
      <c r="CV62" s="617"/>
      <c r="CW62" s="618" t="b">
        <f>IF(CP74=8,12)</f>
        <v>0</v>
      </c>
      <c r="CX62" s="434"/>
      <c r="CY62" s="434"/>
      <c r="CZ62" s="434"/>
      <c r="DA62" s="434"/>
      <c r="DB62" s="434"/>
      <c r="DC62" s="434"/>
      <c r="DD62" s="434"/>
      <c r="DE62" s="434"/>
      <c r="DF62" s="434"/>
      <c r="DG62" s="434"/>
      <c r="DH62" s="434"/>
      <c r="DI62" s="434"/>
      <c r="DJ62" s="434"/>
      <c r="DK62" s="434"/>
      <c r="DL62" s="434"/>
    </row>
    <row r="63" spans="1:134" ht="18.75" hidden="1" thickBot="1" x14ac:dyDescent="0.3">
      <c r="A63" s="14"/>
      <c r="B63" s="15"/>
      <c r="C63" s="15"/>
      <c r="D63" s="16"/>
      <c r="E63" s="16"/>
      <c r="F63" s="16"/>
      <c r="G63" s="16"/>
      <c r="H63" s="16"/>
      <c r="I63" s="16"/>
      <c r="J63" s="16"/>
      <c r="K63" s="16"/>
      <c r="L63" s="28"/>
      <c r="M63" s="28"/>
      <c r="N63" s="28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7"/>
      <c r="BJ63" s="4"/>
      <c r="BO63" s="53"/>
      <c r="BP63" s="53"/>
      <c r="BQ63" s="53"/>
      <c r="BR63" s="53"/>
      <c r="BS63" s="12"/>
      <c r="BT63" s="12"/>
      <c r="BU63" s="632"/>
      <c r="BV63" s="632"/>
      <c r="BW63" s="633"/>
      <c r="BX63" s="632"/>
      <c r="BY63" s="632"/>
      <c r="BZ63" s="632"/>
      <c r="CA63" s="608"/>
      <c r="CB63" s="632"/>
      <c r="CC63" s="632"/>
      <c r="CD63" s="632"/>
      <c r="CE63" s="632"/>
      <c r="CF63" s="632"/>
      <c r="CG63" s="632"/>
      <c r="CH63" s="632"/>
      <c r="CI63" s="619" t="b">
        <f>IF(CO74=7,1)</f>
        <v>0</v>
      </c>
      <c r="CJ63" s="641"/>
      <c r="CK63" s="641"/>
      <c r="CL63" s="617"/>
      <c r="CM63" s="617"/>
      <c r="CN63" s="643"/>
      <c r="CO63" s="617"/>
      <c r="CP63" s="617"/>
      <c r="CQ63" s="642"/>
      <c r="CR63" s="642"/>
      <c r="CS63" s="617"/>
      <c r="CT63" s="617"/>
      <c r="CU63" s="618" t="b">
        <f>IF(CO74=7,10)</f>
        <v>0</v>
      </c>
      <c r="CV63" s="434"/>
      <c r="CW63" s="434"/>
      <c r="CX63" s="434"/>
      <c r="CY63" s="434"/>
      <c r="CZ63" s="434"/>
      <c r="DA63" s="434"/>
      <c r="DB63" s="434"/>
      <c r="DC63" s="434"/>
      <c r="DD63" s="434"/>
      <c r="DE63" s="434"/>
      <c r="DF63" s="434"/>
      <c r="DG63" s="434"/>
      <c r="DH63" s="434"/>
      <c r="DI63" s="434"/>
      <c r="DJ63" s="434"/>
      <c r="DK63" s="434"/>
      <c r="DL63" s="434"/>
    </row>
    <row r="64" spans="1:134" ht="18.75" hidden="1" thickBot="1" x14ac:dyDescent="0.3">
      <c r="A64" s="14"/>
      <c r="B64" s="15"/>
      <c r="C64" s="15"/>
      <c r="D64" s="16"/>
      <c r="E64" s="16"/>
      <c r="F64" s="16"/>
      <c r="G64" s="16"/>
      <c r="H64" s="16"/>
      <c r="I64" s="16"/>
      <c r="J64" s="16"/>
      <c r="K64" s="16"/>
      <c r="L64" s="28"/>
      <c r="M64" s="28"/>
      <c r="N64" s="28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7"/>
      <c r="BJ64" s="4"/>
      <c r="BO64" s="53"/>
      <c r="BP64" s="53"/>
      <c r="BQ64" s="53"/>
      <c r="BR64" s="53"/>
      <c r="BS64" s="12"/>
      <c r="BT64" s="12"/>
      <c r="BU64" s="632"/>
      <c r="BV64" s="632"/>
      <c r="BW64" s="633"/>
      <c r="BX64" s="632"/>
      <c r="BY64" s="632"/>
      <c r="BZ64" s="632"/>
      <c r="CA64" s="608"/>
      <c r="CB64" s="632"/>
      <c r="CC64" s="632"/>
      <c r="CD64" s="632"/>
      <c r="CE64" s="632"/>
      <c r="CF64" s="632"/>
      <c r="CG64" s="632"/>
      <c r="CH64" s="632"/>
      <c r="CI64" s="632"/>
      <c r="CJ64" s="434"/>
      <c r="CK64" s="632"/>
      <c r="CL64" s="619" t="b">
        <f>IF(CN74=6,4)</f>
        <v>0</v>
      </c>
      <c r="CM64" s="617"/>
      <c r="CN64" s="643"/>
      <c r="CO64" s="617"/>
      <c r="CP64" s="618" t="b">
        <f>IF(CN74=6,8)</f>
        <v>0</v>
      </c>
      <c r="CQ64" s="624"/>
      <c r="CR64" s="624"/>
      <c r="CS64" s="601"/>
      <c r="CT64" s="434"/>
      <c r="CU64" s="434"/>
      <c r="CV64" s="434"/>
      <c r="CW64" s="434"/>
      <c r="CX64" s="434"/>
      <c r="CY64" s="434"/>
      <c r="CZ64" s="434"/>
      <c r="DA64" s="434"/>
      <c r="DB64" s="434"/>
      <c r="DC64" s="434"/>
      <c r="DD64" s="434"/>
      <c r="DE64" s="434"/>
      <c r="DF64" s="434"/>
      <c r="DG64" s="434"/>
      <c r="DH64" s="434"/>
      <c r="DI64" s="434"/>
      <c r="DJ64" s="434"/>
      <c r="DK64" s="434"/>
      <c r="DL64" s="434"/>
    </row>
    <row r="65" spans="1:116" ht="18.75" hidden="1" thickBot="1" x14ac:dyDescent="0.3">
      <c r="A65" s="14"/>
      <c r="B65" s="15"/>
      <c r="C65" s="15"/>
      <c r="D65" s="16"/>
      <c r="E65" s="16"/>
      <c r="F65" s="16"/>
      <c r="G65" s="16"/>
      <c r="H65" s="16"/>
      <c r="I65" s="16"/>
      <c r="J65" s="16"/>
      <c r="K65" s="16"/>
      <c r="L65" s="28"/>
      <c r="M65" s="28"/>
      <c r="N65" s="28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7"/>
      <c r="BJ65" s="4"/>
      <c r="BO65" s="53"/>
      <c r="BP65" s="53"/>
      <c r="BQ65" s="53"/>
      <c r="BR65" s="53"/>
      <c r="BS65" s="12"/>
      <c r="BT65" s="12"/>
      <c r="BU65" s="632"/>
      <c r="BV65" s="632"/>
      <c r="BW65" s="633"/>
      <c r="BX65" s="632"/>
      <c r="BY65" s="632"/>
      <c r="BZ65" s="632"/>
      <c r="CA65" s="633"/>
      <c r="CB65" s="632"/>
      <c r="CC65" s="632"/>
      <c r="CD65" s="608"/>
      <c r="CE65" s="632"/>
      <c r="CF65" s="608"/>
      <c r="CG65" s="632"/>
      <c r="CH65" s="632"/>
      <c r="CI65" s="434"/>
      <c r="CJ65" s="613" t="b">
        <f>IF(CM74=5,2)</f>
        <v>0</v>
      </c>
      <c r="CK65" s="606"/>
      <c r="CL65" s="641"/>
      <c r="CM65" s="617"/>
      <c r="CN65" s="643"/>
      <c r="CO65" s="644"/>
      <c r="CP65" s="618" t="b">
        <f>IF(CM74=5,8)</f>
        <v>0</v>
      </c>
      <c r="CQ65" s="624"/>
      <c r="CR65" s="624"/>
      <c r="CS65" s="601"/>
      <c r="CT65" s="434"/>
      <c r="CU65" s="434"/>
      <c r="CV65" s="434"/>
      <c r="CW65" s="434"/>
      <c r="CX65" s="434"/>
      <c r="CY65" s="434"/>
      <c r="CZ65" s="434"/>
      <c r="DA65" s="434"/>
      <c r="DB65" s="434"/>
      <c r="DC65" s="434"/>
      <c r="DD65" s="434"/>
      <c r="DE65" s="434"/>
      <c r="DF65" s="434"/>
      <c r="DG65" s="434"/>
      <c r="DH65" s="434"/>
      <c r="DI65" s="434"/>
      <c r="DJ65" s="434"/>
      <c r="DK65" s="434"/>
      <c r="DL65" s="434"/>
    </row>
    <row r="66" spans="1:116" ht="18.75" hidden="1" thickBot="1" x14ac:dyDescent="0.3">
      <c r="A66" s="14"/>
      <c r="B66" s="15"/>
      <c r="C66" s="15"/>
      <c r="D66" s="16"/>
      <c r="E66" s="16"/>
      <c r="F66" s="16"/>
      <c r="G66" s="16"/>
      <c r="H66" s="16"/>
      <c r="I66" s="16"/>
      <c r="J66" s="16"/>
      <c r="K66" s="16"/>
      <c r="L66" s="28"/>
      <c r="M66" s="28"/>
      <c r="N66" s="28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7"/>
      <c r="BJ66" s="4"/>
      <c r="BO66" s="53"/>
      <c r="BP66" s="53"/>
      <c r="BQ66" s="53"/>
      <c r="BR66" s="53"/>
      <c r="BS66" s="12"/>
      <c r="BT66" s="12"/>
      <c r="BU66" s="632"/>
      <c r="BV66" s="632"/>
      <c r="BW66" s="633"/>
      <c r="BX66" s="632"/>
      <c r="BY66" s="632"/>
      <c r="BZ66" s="632"/>
      <c r="CA66" s="633"/>
      <c r="CB66" s="608"/>
      <c r="CC66" s="632"/>
      <c r="CD66" s="632"/>
      <c r="CE66" s="632"/>
      <c r="CF66" s="608"/>
      <c r="CG66" s="632"/>
      <c r="CH66" s="632"/>
      <c r="CI66" s="613">
        <f>IF(CL74=4,1)</f>
        <v>1</v>
      </c>
      <c r="CJ66" s="640"/>
      <c r="CK66" s="606"/>
      <c r="CL66" s="640"/>
      <c r="CM66" s="606"/>
      <c r="CN66" s="645"/>
      <c r="CO66" s="615">
        <f>IF(CL74=4,7)</f>
        <v>7</v>
      </c>
      <c r="CP66" s="624"/>
      <c r="CQ66" s="624"/>
      <c r="CR66" s="624"/>
      <c r="CS66" s="601"/>
      <c r="CT66" s="434"/>
      <c r="CU66" s="434"/>
      <c r="CV66" s="434"/>
      <c r="CW66" s="434"/>
      <c r="CX66" s="434"/>
      <c r="CY66" s="434"/>
      <c r="CZ66" s="434"/>
      <c r="DA66" s="434"/>
      <c r="DB66" s="434"/>
      <c r="DC66" s="434"/>
      <c r="DD66" s="434"/>
      <c r="DE66" s="434"/>
      <c r="DF66" s="434"/>
      <c r="DG66" s="434"/>
      <c r="DH66" s="434"/>
      <c r="DI66" s="434"/>
      <c r="DJ66" s="434"/>
      <c r="DK66" s="434"/>
      <c r="DL66" s="434"/>
    </row>
    <row r="67" spans="1:116" ht="18.75" hidden="1" thickBot="1" x14ac:dyDescent="0.3">
      <c r="A67" s="14"/>
      <c r="B67" s="15"/>
      <c r="C67" s="15"/>
      <c r="D67" s="16"/>
      <c r="E67" s="16"/>
      <c r="F67" s="16"/>
      <c r="G67" s="16"/>
      <c r="H67" s="16"/>
      <c r="I67" s="16"/>
      <c r="J67" s="16"/>
      <c r="K67" s="16"/>
      <c r="L67" s="28"/>
      <c r="M67" s="28"/>
      <c r="N67" s="28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7"/>
      <c r="BJ67" s="4"/>
      <c r="BO67" s="53"/>
      <c r="BP67" s="53"/>
      <c r="BQ67" s="53"/>
      <c r="BR67" s="53"/>
      <c r="BS67" s="12"/>
      <c r="BT67" s="12"/>
      <c r="BU67" s="632"/>
      <c r="BV67" s="632"/>
      <c r="BW67" s="633"/>
      <c r="BX67" s="632"/>
      <c r="BY67" s="632"/>
      <c r="BZ67" s="632"/>
      <c r="CA67" s="608"/>
      <c r="CB67" s="632"/>
      <c r="CC67" s="632"/>
      <c r="CD67" s="632"/>
      <c r="CE67" s="608"/>
      <c r="CF67" s="632"/>
      <c r="CG67" s="632"/>
      <c r="CH67" s="632"/>
      <c r="CI67" s="619" t="b">
        <f>IF(CK74=3,1)</f>
        <v>0</v>
      </c>
      <c r="CJ67" s="641"/>
      <c r="CK67" s="617"/>
      <c r="CL67" s="641"/>
      <c r="CM67" s="618" t="b">
        <f>IF(CK74=3,5)</f>
        <v>0</v>
      </c>
      <c r="CN67" s="633"/>
      <c r="CO67" s="624"/>
      <c r="CP67" s="624"/>
      <c r="CQ67" s="624"/>
      <c r="CR67" s="624"/>
      <c r="CS67" s="601"/>
      <c r="CT67" s="434"/>
      <c r="CU67" s="434"/>
      <c r="CV67" s="434"/>
      <c r="CW67" s="434"/>
      <c r="CX67" s="434"/>
      <c r="CY67" s="434"/>
      <c r="CZ67" s="434"/>
      <c r="DA67" s="434"/>
      <c r="DB67" s="434"/>
      <c r="DC67" s="434"/>
      <c r="DD67" s="434"/>
      <c r="DE67" s="434"/>
      <c r="DF67" s="434"/>
      <c r="DG67" s="434"/>
      <c r="DH67" s="434"/>
      <c r="DI67" s="434"/>
      <c r="DJ67" s="434"/>
      <c r="DK67" s="434"/>
      <c r="DL67" s="434"/>
    </row>
    <row r="68" spans="1:116" ht="18.75" hidden="1" thickBot="1" x14ac:dyDescent="0.3">
      <c r="A68" s="14"/>
      <c r="B68" s="15"/>
      <c r="C68" s="15"/>
      <c r="D68" s="16"/>
      <c r="E68" s="16"/>
      <c r="F68" s="16"/>
      <c r="G68" s="16"/>
      <c r="H68" s="16"/>
      <c r="I68" s="16"/>
      <c r="J68" s="16"/>
      <c r="K68" s="16"/>
      <c r="L68" s="28"/>
      <c r="M68" s="28"/>
      <c r="N68" s="28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7"/>
      <c r="BJ68" s="4"/>
      <c r="BO68" s="53"/>
      <c r="BP68" s="53"/>
      <c r="BQ68" s="53"/>
      <c r="BR68" s="53"/>
      <c r="BS68" s="12"/>
      <c r="BT68" s="12"/>
      <c r="BU68" s="632"/>
      <c r="BV68" s="434"/>
      <c r="BW68" s="434"/>
      <c r="BX68" s="434"/>
      <c r="BY68" s="632"/>
      <c r="BZ68" s="632"/>
      <c r="CA68" s="601"/>
      <c r="CB68" s="601"/>
      <c r="CC68" s="601"/>
      <c r="CD68" s="632"/>
      <c r="CE68" s="632"/>
      <c r="CF68" s="632"/>
      <c r="CG68" s="632"/>
      <c r="CH68" s="632"/>
      <c r="CI68" s="619" t="b">
        <f>IF(CJ74=2,1)</f>
        <v>0</v>
      </c>
      <c r="CJ68" s="641"/>
      <c r="CK68" s="618" t="b">
        <f>IF(CJ74=2,3)</f>
        <v>0</v>
      </c>
      <c r="CL68" s="632"/>
      <c r="CM68" s="632"/>
      <c r="CN68" s="633"/>
      <c r="CO68" s="624"/>
      <c r="CP68" s="624"/>
      <c r="CQ68" s="624"/>
      <c r="CR68" s="624"/>
      <c r="CS68" s="601"/>
      <c r="CT68" s="434"/>
      <c r="CU68" s="434"/>
      <c r="CV68" s="434"/>
      <c r="CW68" s="434"/>
      <c r="CX68" s="434"/>
      <c r="CY68" s="434"/>
      <c r="CZ68" s="434"/>
      <c r="DA68" s="434"/>
      <c r="DB68" s="434"/>
      <c r="DC68" s="434"/>
      <c r="DD68" s="434"/>
      <c r="DE68" s="434"/>
      <c r="DF68" s="434"/>
      <c r="DG68" s="434"/>
      <c r="DH68" s="434"/>
      <c r="DI68" s="434"/>
      <c r="DJ68" s="434"/>
      <c r="DK68" s="434"/>
      <c r="DL68" s="434"/>
    </row>
    <row r="69" spans="1:116" hidden="1" x14ac:dyDescent="0.25">
      <c r="A69" s="14"/>
      <c r="B69" s="15"/>
      <c r="C69" s="15"/>
      <c r="D69" s="16"/>
      <c r="E69" s="16"/>
      <c r="F69" s="16"/>
      <c r="G69" s="16"/>
      <c r="H69" s="16"/>
      <c r="I69" s="16"/>
      <c r="J69" s="16"/>
      <c r="K69" s="16"/>
      <c r="L69" s="28"/>
      <c r="M69" s="28"/>
      <c r="N69" s="28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7"/>
      <c r="BJ69" s="4"/>
      <c r="BO69" s="53"/>
      <c r="BP69" s="53"/>
      <c r="BQ69" s="53"/>
      <c r="BR69" s="53"/>
      <c r="BS69" s="12"/>
      <c r="BT69" s="12"/>
      <c r="BU69" s="632"/>
      <c r="BV69" s="632"/>
      <c r="BW69" s="633"/>
      <c r="BX69" s="632"/>
      <c r="BY69" s="632"/>
      <c r="BZ69" s="632"/>
      <c r="CA69" s="608"/>
      <c r="CB69" s="632"/>
      <c r="CC69" s="632"/>
      <c r="CD69" s="632"/>
      <c r="CE69" s="632"/>
      <c r="CF69" s="632"/>
      <c r="CG69" s="632"/>
      <c r="CH69" s="632"/>
      <c r="CI69" s="632"/>
      <c r="CJ69" s="632"/>
      <c r="CK69" s="632"/>
      <c r="CL69" s="632"/>
      <c r="CM69" s="632"/>
      <c r="CN69" s="633"/>
      <c r="CO69" s="624"/>
      <c r="CP69" s="624"/>
      <c r="CQ69" s="624"/>
      <c r="CR69" s="624"/>
      <c r="CS69" s="601"/>
      <c r="CT69" s="434"/>
      <c r="CU69" s="434"/>
      <c r="CV69" s="434"/>
      <c r="CW69" s="434"/>
      <c r="CX69" s="434"/>
      <c r="CY69" s="434"/>
      <c r="CZ69" s="434"/>
      <c r="DA69" s="434"/>
      <c r="DB69" s="434"/>
      <c r="DC69" s="434"/>
      <c r="DD69" s="434"/>
      <c r="DE69" s="434"/>
      <c r="DF69" s="434"/>
      <c r="DG69" s="434"/>
      <c r="DH69" s="434"/>
      <c r="DI69" s="434"/>
      <c r="DJ69" s="434"/>
      <c r="DK69" s="434"/>
      <c r="DL69" s="434"/>
    </row>
    <row r="70" spans="1:116" ht="18.75" hidden="1" thickBot="1" x14ac:dyDescent="0.3">
      <c r="A70" s="14"/>
      <c r="B70" s="15"/>
      <c r="C70" s="15"/>
      <c r="D70" s="16"/>
      <c r="E70" s="16"/>
      <c r="F70" s="16"/>
      <c r="G70" s="16"/>
      <c r="H70" s="16"/>
      <c r="I70" s="16"/>
      <c r="J70" s="16"/>
      <c r="K70" s="16"/>
      <c r="L70" s="28"/>
      <c r="M70" s="28"/>
      <c r="N70" s="28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7"/>
      <c r="BJ70" s="4"/>
      <c r="BO70" s="53"/>
      <c r="BP70" s="53"/>
      <c r="BQ70" s="53"/>
      <c r="BR70" s="53"/>
      <c r="BS70" s="12"/>
      <c r="BT70" s="12"/>
      <c r="BU70" s="632"/>
      <c r="BV70" s="632"/>
      <c r="BW70" s="633"/>
      <c r="BX70" s="632"/>
      <c r="BY70" s="632"/>
      <c r="BZ70" s="632"/>
      <c r="CA70" s="608"/>
      <c r="CB70" s="632"/>
      <c r="CC70" s="632"/>
      <c r="CD70" s="632"/>
      <c r="CE70" s="632"/>
      <c r="CF70" s="632"/>
      <c r="CG70" s="632"/>
      <c r="CH70" s="632"/>
      <c r="CI70" s="632"/>
      <c r="CJ70" s="632"/>
      <c r="CK70" s="632"/>
      <c r="CL70" s="632"/>
      <c r="CM70" s="632"/>
      <c r="CN70" s="633"/>
      <c r="CO70" s="624"/>
      <c r="CP70" s="624"/>
      <c r="CQ70" s="624"/>
      <c r="CR70" s="624"/>
      <c r="CS70" s="601"/>
      <c r="CT70" s="434"/>
      <c r="CU70" s="434"/>
      <c r="CV70" s="434"/>
      <c r="CW70" s="434"/>
      <c r="CX70" s="434"/>
      <c r="CY70" s="434"/>
      <c r="CZ70" s="434"/>
      <c r="DA70" s="434"/>
      <c r="DB70" s="434"/>
      <c r="DC70" s="434"/>
      <c r="DD70" s="434"/>
      <c r="DE70" s="434"/>
      <c r="DF70" s="434"/>
      <c r="DG70" s="434"/>
      <c r="DH70" s="434"/>
      <c r="DI70" s="434"/>
      <c r="DJ70" s="434"/>
      <c r="DK70" s="434"/>
      <c r="DL70" s="434"/>
    </row>
    <row r="71" spans="1:116" ht="38.25" thickBot="1" x14ac:dyDescent="0.4">
      <c r="A71" s="14"/>
      <c r="B71" s="15"/>
      <c r="C71" s="15"/>
      <c r="D71" s="16"/>
      <c r="E71" s="16"/>
      <c r="F71" s="16"/>
      <c r="G71" s="16"/>
      <c r="H71" s="16"/>
      <c r="I71" s="16"/>
      <c r="J71" s="16"/>
      <c r="K71" s="16"/>
      <c r="L71" s="28"/>
      <c r="M71" s="28"/>
      <c r="N71" s="28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7"/>
      <c r="BJ71" s="4"/>
      <c r="BO71" s="53"/>
      <c r="BP71" s="53"/>
      <c r="BQ71" s="53"/>
      <c r="BR71" s="53"/>
      <c r="BS71" s="12"/>
      <c r="BT71" s="12"/>
      <c r="BU71" s="646" t="s">
        <v>100</v>
      </c>
      <c r="BV71" s="647"/>
      <c r="BW71" s="648"/>
      <c r="BX71" s="648"/>
      <c r="BY71" s="648"/>
      <c r="BZ71" s="648"/>
      <c r="CA71" s="648"/>
      <c r="CB71" s="648"/>
      <c r="CC71" s="648"/>
      <c r="CD71" s="648"/>
      <c r="CE71" s="648"/>
      <c r="CF71" s="648"/>
      <c r="CG71" s="648"/>
      <c r="CH71" s="648"/>
      <c r="CI71" s="674">
        <f>SUM(CI54:CI69)</f>
        <v>1</v>
      </c>
      <c r="CJ71" s="675">
        <f t="shared" ref="CJ71:CY71" si="3">SUM(CJ54:CJ69)</f>
        <v>0</v>
      </c>
      <c r="CK71" s="675">
        <f t="shared" si="3"/>
        <v>0</v>
      </c>
      <c r="CL71" s="675">
        <f t="shared" si="3"/>
        <v>0</v>
      </c>
      <c r="CM71" s="675">
        <f t="shared" si="3"/>
        <v>0</v>
      </c>
      <c r="CN71" s="675">
        <f t="shared" si="3"/>
        <v>0</v>
      </c>
      <c r="CO71" s="675">
        <f t="shared" si="3"/>
        <v>7</v>
      </c>
      <c r="CP71" s="675">
        <f t="shared" si="3"/>
        <v>0</v>
      </c>
      <c r="CQ71" s="675">
        <f t="shared" si="3"/>
        <v>0</v>
      </c>
      <c r="CR71" s="675">
        <f t="shared" si="3"/>
        <v>0</v>
      </c>
      <c r="CS71" s="675">
        <f t="shared" si="3"/>
        <v>0</v>
      </c>
      <c r="CT71" s="675">
        <f t="shared" si="3"/>
        <v>0</v>
      </c>
      <c r="CU71" s="675">
        <f t="shared" si="3"/>
        <v>0</v>
      </c>
      <c r="CV71" s="675">
        <f t="shared" si="3"/>
        <v>0</v>
      </c>
      <c r="CW71" s="675">
        <f t="shared" si="3"/>
        <v>0</v>
      </c>
      <c r="CX71" s="675">
        <f t="shared" si="3"/>
        <v>0</v>
      </c>
      <c r="CY71" s="675">
        <f t="shared" si="3"/>
        <v>0</v>
      </c>
      <c r="CZ71" s="647"/>
      <c r="DA71" s="648"/>
      <c r="DB71" s="648"/>
      <c r="DC71" s="648"/>
      <c r="DD71" s="648"/>
      <c r="DE71" s="648"/>
      <c r="DF71" s="648"/>
      <c r="DG71" s="648"/>
      <c r="DH71" s="648"/>
      <c r="DI71" s="648"/>
      <c r="DJ71" s="648"/>
      <c r="DK71" s="648"/>
      <c r="DL71" s="649"/>
    </row>
    <row r="72" spans="1:116" ht="11.25" customHeight="1" thickBot="1" x14ac:dyDescent="0.3">
      <c r="A72" s="14"/>
      <c r="B72" s="15"/>
      <c r="C72" s="15"/>
      <c r="D72" s="16"/>
      <c r="E72" s="16"/>
      <c r="F72" s="16"/>
      <c r="G72" s="16"/>
      <c r="H72" s="16"/>
      <c r="I72" s="16"/>
      <c r="J72" s="16"/>
      <c r="K72" s="16"/>
      <c r="L72" s="28"/>
      <c r="M72" s="28"/>
      <c r="N72" s="28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7"/>
      <c r="BJ72" s="4"/>
      <c r="BO72" s="53"/>
      <c r="BP72" s="53"/>
      <c r="BQ72" s="53"/>
      <c r="BR72" s="53"/>
      <c r="BS72" s="12"/>
      <c r="BT72" s="12"/>
      <c r="BU72" s="650"/>
      <c r="BV72" s="651"/>
      <c r="BW72" s="651"/>
      <c r="BX72" s="651"/>
      <c r="BY72" s="651"/>
      <c r="BZ72" s="651"/>
      <c r="CA72" s="651"/>
      <c r="CB72" s="651"/>
      <c r="CC72" s="651"/>
      <c r="CD72" s="651"/>
      <c r="CE72" s="651"/>
      <c r="CF72" s="651"/>
      <c r="CG72" s="651"/>
      <c r="CH72" s="651"/>
      <c r="CI72" s="651"/>
      <c r="CJ72" s="651"/>
      <c r="CK72" s="651"/>
      <c r="CL72" s="651"/>
      <c r="CM72" s="651"/>
      <c r="CN72" s="651"/>
      <c r="CO72" s="624"/>
      <c r="CP72" s="624"/>
      <c r="CQ72" s="624"/>
      <c r="CR72" s="624"/>
      <c r="CS72" s="601"/>
      <c r="CT72" s="434"/>
      <c r="CU72" s="434"/>
      <c r="CV72" s="434"/>
      <c r="CW72" s="434"/>
      <c r="CX72" s="434"/>
      <c r="CY72" s="434"/>
      <c r="CZ72" s="434"/>
      <c r="DA72" s="434"/>
      <c r="DB72" s="434"/>
      <c r="DC72" s="434"/>
      <c r="DD72" s="434"/>
      <c r="DE72" s="434"/>
      <c r="DF72" s="434"/>
      <c r="DG72" s="434"/>
      <c r="DH72" s="434"/>
      <c r="DI72" s="434"/>
      <c r="DJ72" s="434"/>
      <c r="DK72" s="434"/>
      <c r="DL72" s="434"/>
    </row>
    <row r="73" spans="1:116" hidden="1" x14ac:dyDescent="0.25">
      <c r="A73" s="14"/>
      <c r="B73" s="15"/>
      <c r="C73" s="15"/>
      <c r="D73" s="16"/>
      <c r="E73" s="16"/>
      <c r="F73" s="16"/>
      <c r="G73" s="16"/>
      <c r="H73" s="16"/>
      <c r="I73" s="16"/>
      <c r="J73" s="16"/>
      <c r="K73" s="16"/>
      <c r="L73" s="28"/>
      <c r="M73" s="28"/>
      <c r="N73" s="28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7"/>
      <c r="BJ73" s="4"/>
      <c r="BO73" s="53"/>
      <c r="BP73" s="53"/>
      <c r="BQ73" s="53"/>
      <c r="BR73" s="53"/>
      <c r="BS73" s="12"/>
      <c r="BT73" s="12"/>
      <c r="BU73" s="650"/>
      <c r="BV73" s="624"/>
      <c r="BW73" s="625"/>
      <c r="BX73" s="624"/>
      <c r="BY73" s="624"/>
      <c r="BZ73" s="624"/>
      <c r="CA73" s="625"/>
      <c r="CB73" s="624"/>
      <c r="CC73" s="624"/>
      <c r="CD73" s="624"/>
      <c r="CE73" s="624"/>
      <c r="CF73" s="624"/>
      <c r="CG73" s="624"/>
      <c r="CH73" s="624"/>
      <c r="CI73" s="624"/>
      <c r="CJ73" s="624"/>
      <c r="CK73" s="624"/>
      <c r="CL73" s="624"/>
      <c r="CM73" s="624"/>
      <c r="CN73" s="624"/>
      <c r="CO73" s="624"/>
      <c r="CP73" s="624"/>
      <c r="CQ73" s="624"/>
      <c r="CR73" s="624"/>
      <c r="CS73" s="601"/>
      <c r="CT73" s="434"/>
      <c r="CU73" s="434"/>
      <c r="CV73" s="434"/>
      <c r="CW73" s="434"/>
      <c r="CX73" s="434"/>
      <c r="CY73" s="434"/>
      <c r="CZ73" s="434"/>
      <c r="DA73" s="434"/>
      <c r="DB73" s="434"/>
      <c r="DC73" s="434"/>
      <c r="DD73" s="434"/>
      <c r="DE73" s="434"/>
      <c r="DF73" s="434"/>
      <c r="DG73" s="434"/>
      <c r="DH73" s="434"/>
      <c r="DI73" s="434"/>
      <c r="DJ73" s="434"/>
      <c r="DK73" s="434"/>
      <c r="DL73" s="434"/>
    </row>
    <row r="74" spans="1:116" hidden="1" x14ac:dyDescent="0.25">
      <c r="A74" s="14"/>
      <c r="B74" s="15"/>
      <c r="C74" s="15"/>
      <c r="D74" s="16"/>
      <c r="E74" s="16"/>
      <c r="F74" s="16"/>
      <c r="G74" s="16"/>
      <c r="H74" s="16"/>
      <c r="I74" s="16"/>
      <c r="J74" s="16"/>
      <c r="K74" s="16"/>
      <c r="L74" s="28"/>
      <c r="M74" s="28"/>
      <c r="N74" s="28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7"/>
      <c r="BJ74" s="4"/>
      <c r="BO74" s="53"/>
      <c r="BP74" s="53"/>
      <c r="BQ74" s="53"/>
      <c r="BR74" s="53"/>
      <c r="BS74" s="12"/>
      <c r="BT74" s="12"/>
      <c r="BU74" s="608"/>
      <c r="BV74" s="652" t="b">
        <f>+BR131</f>
        <v>0</v>
      </c>
      <c r="BW74" s="652" t="b">
        <f>+BR132</f>
        <v>0</v>
      </c>
      <c r="BX74" s="652" t="b">
        <f>+BR133</f>
        <v>0</v>
      </c>
      <c r="BY74" s="652" t="b">
        <f>+BR134</f>
        <v>0</v>
      </c>
      <c r="BZ74" s="652" t="b">
        <f>+BR135</f>
        <v>0</v>
      </c>
      <c r="CA74" s="652" t="b">
        <f>+BR136</f>
        <v>0</v>
      </c>
      <c r="CB74" s="652" t="b">
        <f>+BR137</f>
        <v>0</v>
      </c>
      <c r="CC74" s="652" t="b">
        <f>+BR138</f>
        <v>0</v>
      </c>
      <c r="CD74" s="652" t="b">
        <f>+BR139</f>
        <v>0</v>
      </c>
      <c r="CE74" s="652" t="b">
        <f>+BR140</f>
        <v>0</v>
      </c>
      <c r="CF74" s="652" t="b">
        <f>+BR141</f>
        <v>0</v>
      </c>
      <c r="CG74" s="652" t="b">
        <f>+BR142</f>
        <v>0</v>
      </c>
      <c r="CH74" s="652" t="b">
        <f>+BR143</f>
        <v>0</v>
      </c>
      <c r="CI74" s="652" t="b">
        <f>+BR144</f>
        <v>0</v>
      </c>
      <c r="CJ74" s="652" t="b">
        <f>+BR145</f>
        <v>0</v>
      </c>
      <c r="CK74" s="652" t="b">
        <f>+BR146</f>
        <v>0</v>
      </c>
      <c r="CL74" s="652">
        <f>+BR147</f>
        <v>4</v>
      </c>
      <c r="CM74" s="652" t="b">
        <f>+BR148</f>
        <v>0</v>
      </c>
      <c r="CN74" s="652" t="b">
        <f>+BR149</f>
        <v>0</v>
      </c>
      <c r="CO74" s="652" t="b">
        <f>+BR150</f>
        <v>0</v>
      </c>
      <c r="CP74" s="652" t="b">
        <f>+BR151</f>
        <v>0</v>
      </c>
      <c r="CQ74" s="652" t="b">
        <f>+BR152</f>
        <v>0</v>
      </c>
      <c r="CR74" s="652" t="b">
        <f>+BR153</f>
        <v>0</v>
      </c>
      <c r="CS74" s="652" t="b">
        <f>+BR154</f>
        <v>0</v>
      </c>
      <c r="CT74" s="652" t="b">
        <f>+BR155</f>
        <v>0</v>
      </c>
      <c r="CU74" s="652" t="b">
        <f>+BR156</f>
        <v>0</v>
      </c>
      <c r="CV74" s="652" t="b">
        <f>+BR157</f>
        <v>0</v>
      </c>
      <c r="CW74" s="652" t="b">
        <f>+BR158</f>
        <v>0</v>
      </c>
      <c r="CX74" s="652" t="b">
        <f>+BR159</f>
        <v>0</v>
      </c>
      <c r="CY74" s="652" t="b">
        <f>+BR160</f>
        <v>0</v>
      </c>
      <c r="CZ74" s="652" t="b">
        <f>+BR161</f>
        <v>0</v>
      </c>
      <c r="DA74" s="652" t="b">
        <f>+BR162</f>
        <v>0</v>
      </c>
      <c r="DB74" s="652" t="b">
        <f>+BR163</f>
        <v>0</v>
      </c>
      <c r="DC74" s="652" t="b">
        <f>+BR164</f>
        <v>0</v>
      </c>
      <c r="DD74" s="652" t="b">
        <f>+BR165</f>
        <v>0</v>
      </c>
      <c r="DE74" s="652" t="b">
        <f>+BR166</f>
        <v>0</v>
      </c>
      <c r="DF74" s="652" t="b">
        <f>+BR167</f>
        <v>0</v>
      </c>
      <c r="DG74" s="652" t="b">
        <f>+BR168</f>
        <v>0</v>
      </c>
      <c r="DH74" s="652" t="b">
        <f>+BR169</f>
        <v>0</v>
      </c>
      <c r="DI74" s="652" t="b">
        <f>+BR170</f>
        <v>0</v>
      </c>
      <c r="DJ74" s="652" t="b">
        <f>+BR171</f>
        <v>0</v>
      </c>
      <c r="DK74" s="652" t="b">
        <f>+BR172</f>
        <v>0</v>
      </c>
      <c r="DL74" s="652" t="b">
        <f>+BR173</f>
        <v>0</v>
      </c>
    </row>
    <row r="75" spans="1:116" hidden="1" x14ac:dyDescent="0.25">
      <c r="A75" s="14"/>
      <c r="B75" s="15"/>
      <c r="C75" s="15"/>
      <c r="D75" s="16"/>
      <c r="E75" s="16"/>
      <c r="F75" s="16"/>
      <c r="G75" s="16"/>
      <c r="H75" s="16"/>
      <c r="I75" s="16"/>
      <c r="J75" s="16"/>
      <c r="K75" s="16"/>
      <c r="L75" s="28"/>
      <c r="M75" s="28"/>
      <c r="N75" s="28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8"/>
      <c r="AC75" s="45"/>
      <c r="AD75" s="45"/>
      <c r="AE75" s="45"/>
      <c r="AF75" s="45"/>
      <c r="AG75" s="45"/>
      <c r="AH75" s="45"/>
      <c r="AI75" s="48"/>
      <c r="AJ75" s="48"/>
      <c r="AK75" s="48"/>
      <c r="AL75" s="48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7"/>
      <c r="BJ75" s="4"/>
      <c r="BO75" s="53"/>
      <c r="BP75" s="53"/>
      <c r="BQ75" s="53"/>
      <c r="BR75" s="53"/>
      <c r="BS75" s="12"/>
      <c r="BT75" s="12"/>
      <c r="BU75" s="601" t="s">
        <v>26</v>
      </c>
      <c r="BV75" s="652" t="b">
        <f>+BV74</f>
        <v>0</v>
      </c>
      <c r="BW75" s="652" t="b">
        <f t="shared" ref="BW75:CN75" si="4">+BW74</f>
        <v>0</v>
      </c>
      <c r="BX75" s="652" t="b">
        <f t="shared" si="4"/>
        <v>0</v>
      </c>
      <c r="BY75" s="652" t="b">
        <f t="shared" si="4"/>
        <v>0</v>
      </c>
      <c r="BZ75" s="652" t="b">
        <f t="shared" si="4"/>
        <v>0</v>
      </c>
      <c r="CA75" s="652" t="b">
        <f t="shared" si="4"/>
        <v>0</v>
      </c>
      <c r="CB75" s="652" t="b">
        <f t="shared" si="4"/>
        <v>0</v>
      </c>
      <c r="CC75" s="652" t="b">
        <f t="shared" si="4"/>
        <v>0</v>
      </c>
      <c r="CD75" s="652" t="b">
        <f t="shared" si="4"/>
        <v>0</v>
      </c>
      <c r="CE75" s="652" t="b">
        <f t="shared" si="4"/>
        <v>0</v>
      </c>
      <c r="CF75" s="652" t="b">
        <f t="shared" si="4"/>
        <v>0</v>
      </c>
      <c r="CG75" s="652" t="b">
        <f>+CG74</f>
        <v>0</v>
      </c>
      <c r="CH75" s="652" t="b">
        <f>+CH74</f>
        <v>0</v>
      </c>
      <c r="CI75" s="652" t="b">
        <f>+CI74</f>
        <v>0</v>
      </c>
      <c r="CJ75" s="652" t="b">
        <f>+CJ74</f>
        <v>0</v>
      </c>
      <c r="CK75" s="652" t="b">
        <f>+CK74</f>
        <v>0</v>
      </c>
      <c r="CL75" s="652">
        <f t="shared" si="4"/>
        <v>4</v>
      </c>
      <c r="CM75" s="652" t="b">
        <f>+CM74</f>
        <v>0</v>
      </c>
      <c r="CN75" s="652" t="b">
        <f t="shared" si="4"/>
        <v>0</v>
      </c>
      <c r="CO75" s="652" t="b">
        <f>+CO74</f>
        <v>0</v>
      </c>
      <c r="CP75" s="652" t="b">
        <f>+CP74</f>
        <v>0</v>
      </c>
      <c r="CQ75" s="652" t="b">
        <f>+CQ74</f>
        <v>0</v>
      </c>
      <c r="CR75" s="652" t="b">
        <f>+CR74</f>
        <v>0</v>
      </c>
      <c r="CS75" s="652" t="b">
        <f>+CS74</f>
        <v>0</v>
      </c>
      <c r="CT75" s="652" t="b">
        <f t="shared" ref="CT75:DL75" si="5">+CT74</f>
        <v>0</v>
      </c>
      <c r="CU75" s="652" t="b">
        <f t="shared" si="5"/>
        <v>0</v>
      </c>
      <c r="CV75" s="652" t="b">
        <f t="shared" si="5"/>
        <v>0</v>
      </c>
      <c r="CW75" s="652" t="b">
        <f t="shared" si="5"/>
        <v>0</v>
      </c>
      <c r="CX75" s="652" t="b">
        <f t="shared" si="5"/>
        <v>0</v>
      </c>
      <c r="CY75" s="652" t="b">
        <f t="shared" si="5"/>
        <v>0</v>
      </c>
      <c r="CZ75" s="652" t="b">
        <f t="shared" si="5"/>
        <v>0</v>
      </c>
      <c r="DA75" s="652" t="b">
        <f t="shared" si="5"/>
        <v>0</v>
      </c>
      <c r="DB75" s="652" t="b">
        <f t="shared" si="5"/>
        <v>0</v>
      </c>
      <c r="DC75" s="652" t="b">
        <f t="shared" si="5"/>
        <v>0</v>
      </c>
      <c r="DD75" s="652" t="b">
        <f t="shared" si="5"/>
        <v>0</v>
      </c>
      <c r="DE75" s="652" t="b">
        <f t="shared" si="5"/>
        <v>0</v>
      </c>
      <c r="DF75" s="652" t="b">
        <f t="shared" si="5"/>
        <v>0</v>
      </c>
      <c r="DG75" s="652" t="b">
        <f t="shared" si="5"/>
        <v>0</v>
      </c>
      <c r="DH75" s="652" t="b">
        <f t="shared" si="5"/>
        <v>0</v>
      </c>
      <c r="DI75" s="652" t="b">
        <f t="shared" si="5"/>
        <v>0</v>
      </c>
      <c r="DJ75" s="652" t="b">
        <f t="shared" si="5"/>
        <v>0</v>
      </c>
      <c r="DK75" s="652" t="b">
        <f t="shared" si="5"/>
        <v>0</v>
      </c>
      <c r="DL75" s="652" t="b">
        <f t="shared" si="5"/>
        <v>0</v>
      </c>
    </row>
    <row r="76" spans="1:116" hidden="1" x14ac:dyDescent="0.25">
      <c r="A76" s="14"/>
      <c r="B76" s="15"/>
      <c r="C76" s="15"/>
      <c r="D76" s="16"/>
      <c r="E76" s="16"/>
      <c r="F76" s="16"/>
      <c r="G76" s="16"/>
      <c r="H76" s="16"/>
      <c r="I76" s="16"/>
      <c r="J76" s="16"/>
      <c r="K76" s="16"/>
      <c r="L76" s="28"/>
      <c r="M76" s="28"/>
      <c r="N76" s="28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7"/>
      <c r="BJ76" s="4"/>
      <c r="BO76" s="53"/>
      <c r="BP76" s="53"/>
      <c r="BQ76" s="53"/>
      <c r="BR76" s="53"/>
      <c r="BS76" s="12"/>
      <c r="BT76" s="12"/>
      <c r="BU76" s="601"/>
      <c r="BV76" s="653"/>
      <c r="BW76" s="653"/>
      <c r="BX76" s="653"/>
      <c r="BY76" s="653"/>
      <c r="BZ76" s="653"/>
      <c r="CA76" s="653"/>
      <c r="CB76" s="653"/>
      <c r="CC76" s="653"/>
      <c r="CD76" s="653"/>
      <c r="CE76" s="653"/>
      <c r="CF76" s="653"/>
      <c r="CG76" s="653"/>
      <c r="CH76" s="653"/>
      <c r="CI76" s="653"/>
      <c r="CJ76" s="653"/>
      <c r="CK76" s="653"/>
      <c r="CL76" s="653"/>
      <c r="CM76" s="653"/>
      <c r="CN76" s="653"/>
      <c r="CO76" s="653"/>
      <c r="CP76" s="653"/>
      <c r="CQ76" s="653"/>
      <c r="CR76" s="653"/>
      <c r="CS76" s="653"/>
      <c r="CT76" s="654"/>
      <c r="CU76" s="654"/>
      <c r="CV76" s="654"/>
      <c r="CW76" s="654"/>
      <c r="CX76" s="654"/>
      <c r="CY76" s="654"/>
      <c r="CZ76" s="654"/>
      <c r="DA76" s="654"/>
      <c r="DB76" s="654"/>
      <c r="DC76" s="654"/>
      <c r="DD76" s="654"/>
      <c r="DE76" s="654"/>
      <c r="DF76" s="654"/>
      <c r="DG76" s="654"/>
      <c r="DH76" s="654"/>
      <c r="DI76" s="654"/>
      <c r="DJ76" s="654"/>
      <c r="DK76" s="654"/>
      <c r="DL76" s="654"/>
    </row>
    <row r="77" spans="1:116" ht="18.75" hidden="1" thickBot="1" x14ac:dyDescent="0.3">
      <c r="A77" s="14"/>
      <c r="B77" s="15"/>
      <c r="C77" s="15"/>
      <c r="D77" s="16"/>
      <c r="E77" s="16"/>
      <c r="F77" s="16"/>
      <c r="G77" s="16"/>
      <c r="H77" s="16"/>
      <c r="I77" s="16"/>
      <c r="J77" s="16"/>
      <c r="K77" s="16"/>
      <c r="L77" s="28"/>
      <c r="M77" s="28"/>
      <c r="N77" s="2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56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7"/>
      <c r="BJ77" s="4"/>
      <c r="BO77" s="53"/>
      <c r="BP77" s="53"/>
      <c r="BQ77" s="53"/>
      <c r="BR77" s="53"/>
      <c r="BS77" s="12"/>
      <c r="BT77" s="12"/>
      <c r="BU77" s="601"/>
      <c r="BV77" s="653"/>
      <c r="BW77" s="653"/>
      <c r="BX77" s="653"/>
      <c r="BY77" s="653"/>
      <c r="BZ77" s="653"/>
      <c r="CA77" s="653"/>
      <c r="CB77" s="653"/>
      <c r="CC77" s="653"/>
      <c r="CD77" s="653"/>
      <c r="CE77" s="653"/>
      <c r="CF77" s="653"/>
      <c r="CG77" s="653"/>
      <c r="CH77" s="653"/>
      <c r="CI77" s="653"/>
      <c r="CJ77" s="653"/>
      <c r="CK77" s="653"/>
      <c r="CL77" s="653"/>
      <c r="CM77" s="653"/>
      <c r="CN77" s="653"/>
      <c r="CO77" s="653"/>
      <c r="CP77" s="653"/>
      <c r="CQ77" s="653"/>
      <c r="CR77" s="653"/>
      <c r="CS77" s="653"/>
      <c r="CT77" s="654"/>
      <c r="CU77" s="654"/>
      <c r="CV77" s="654"/>
      <c r="CW77" s="654"/>
      <c r="CX77" s="654"/>
      <c r="CY77" s="654"/>
      <c r="CZ77" s="654"/>
      <c r="DA77" s="654"/>
      <c r="DB77" s="654"/>
      <c r="DC77" s="654"/>
      <c r="DD77" s="654"/>
      <c r="DE77" s="654"/>
      <c r="DF77" s="654"/>
      <c r="DG77" s="654"/>
      <c r="DH77" s="654"/>
      <c r="DI77" s="654"/>
      <c r="DJ77" s="654"/>
      <c r="DK77" s="654"/>
      <c r="DL77" s="654"/>
    </row>
    <row r="78" spans="1:116" ht="32.25" customHeight="1" thickBot="1" x14ac:dyDescent="0.4">
      <c r="A78" s="14"/>
      <c r="B78" s="15"/>
      <c r="C78" s="15"/>
      <c r="D78" s="16"/>
      <c r="E78" s="16"/>
      <c r="F78" s="16"/>
      <c r="G78" s="16"/>
      <c r="H78" s="16"/>
      <c r="I78" s="16"/>
      <c r="J78" s="16"/>
      <c r="K78" s="16"/>
      <c r="L78" s="28"/>
      <c r="M78" s="28"/>
      <c r="N78" s="28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8"/>
      <c r="AC78" s="45"/>
      <c r="AD78" s="45"/>
      <c r="AE78" s="45"/>
      <c r="AF78" s="45"/>
      <c r="AG78" s="45"/>
      <c r="AH78" s="45"/>
      <c r="AI78" s="48"/>
      <c r="AJ78" s="48"/>
      <c r="AK78" s="48"/>
      <c r="AL78" s="48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7"/>
      <c r="BJ78" s="4"/>
      <c r="BO78" s="53"/>
      <c r="BP78" s="53"/>
      <c r="BQ78" s="53"/>
      <c r="BR78" s="53"/>
      <c r="BS78" s="12"/>
      <c r="BT78" s="12"/>
      <c r="BU78" s="655" t="s">
        <v>26</v>
      </c>
      <c r="BV78" s="677" t="str">
        <f>IF(BV75=-13,"A ","")</f>
        <v/>
      </c>
      <c r="BW78" s="678" t="str">
        <f>IF(BW75=-12,"B ","")</f>
        <v/>
      </c>
      <c r="BX78" s="678" t="str">
        <f>IF(BX75=-11,"C ","")</f>
        <v/>
      </c>
      <c r="BY78" s="678" t="str">
        <f>IF(BY75=-10,"D ","")</f>
        <v/>
      </c>
      <c r="BZ78" s="678" t="str">
        <f>IF(BZ75=-9,"E ","")</f>
        <v/>
      </c>
      <c r="CA78" s="678" t="str">
        <f>IF(CA75=-8,"F ","")</f>
        <v/>
      </c>
      <c r="CB78" s="678" t="str">
        <f>IF(CB75=-7,"G ","")</f>
        <v/>
      </c>
      <c r="CC78" s="678" t="str">
        <f>IF(CC75=-6,"H ","")</f>
        <v/>
      </c>
      <c r="CD78" s="678" t="str">
        <f>IF(CD75=-5,"I ","")</f>
        <v/>
      </c>
      <c r="CE78" s="678" t="str">
        <f>IF(CE75=-4,"J ","")</f>
        <v/>
      </c>
      <c r="CF78" s="678" t="str">
        <f>IF(CF75=-3,"K ","")</f>
        <v/>
      </c>
      <c r="CG78" s="678" t="str">
        <f>IF(CG75=-2,"L ","")</f>
        <v/>
      </c>
      <c r="CH78" s="678" t="str">
        <f>IF(CH75=-1,"M ","")</f>
        <v/>
      </c>
      <c r="CI78" s="679" t="b">
        <f>+CI75</f>
        <v>0</v>
      </c>
      <c r="CJ78" s="679" t="b">
        <f t="shared" ref="CJ78:CK78" si="6">+CJ75</f>
        <v>0</v>
      </c>
      <c r="CK78" s="679" t="b">
        <f t="shared" si="6"/>
        <v>0</v>
      </c>
      <c r="CL78" s="679">
        <f>+CL75</f>
        <v>4</v>
      </c>
      <c r="CM78" s="679" t="b">
        <f t="shared" ref="CM78:CP78" si="7">+CM75</f>
        <v>0</v>
      </c>
      <c r="CN78" s="679" t="b">
        <f t="shared" si="7"/>
        <v>0</v>
      </c>
      <c r="CO78" s="679" t="b">
        <f t="shared" si="7"/>
        <v>0</v>
      </c>
      <c r="CP78" s="679" t="b">
        <f t="shared" si="7"/>
        <v>0</v>
      </c>
      <c r="CQ78" s="678" t="str">
        <f>IF(CQ75=81,"L ","")</f>
        <v/>
      </c>
      <c r="CR78" s="678" t="str">
        <f>IF(CR75=82,"K ","")</f>
        <v/>
      </c>
      <c r="CS78" s="678" t="str">
        <f>IF(CS75=83,"J ","")</f>
        <v/>
      </c>
      <c r="CT78" s="679" t="b">
        <f t="shared" ref="CT78:CY78" si="8">+CT75</f>
        <v>0</v>
      </c>
      <c r="CU78" s="679" t="b">
        <f t="shared" si="8"/>
        <v>0</v>
      </c>
      <c r="CV78" s="679" t="b">
        <f t="shared" si="8"/>
        <v>0</v>
      </c>
      <c r="CW78" s="679" t="b">
        <f t="shared" si="8"/>
        <v>0</v>
      </c>
      <c r="CX78" s="679" t="b">
        <f t="shared" si="8"/>
        <v>0</v>
      </c>
      <c r="CY78" s="679" t="b">
        <f t="shared" si="8"/>
        <v>0</v>
      </c>
      <c r="CZ78" s="678" t="str">
        <f>IF(CZ75=15,"M ","")</f>
        <v/>
      </c>
      <c r="DA78" s="678" t="str">
        <f>IF(DA75=16,"L ","")</f>
        <v/>
      </c>
      <c r="DB78" s="678" t="str">
        <f>IF(DB75=17,"K ","")</f>
        <v/>
      </c>
      <c r="DC78" s="678" t="str">
        <f>IF(DC75=18,"J ","")</f>
        <v/>
      </c>
      <c r="DD78" s="678" t="str">
        <f>IF(DD75=19,"I ","")</f>
        <v/>
      </c>
      <c r="DE78" s="678" t="str">
        <f>IF(DE75=20,"H ","")</f>
        <v/>
      </c>
      <c r="DF78" s="678" t="str">
        <f>IF(DF75=21,"G ","")</f>
        <v/>
      </c>
      <c r="DG78" s="678" t="str">
        <f>IF(DG75=22,"F ","")</f>
        <v/>
      </c>
      <c r="DH78" s="678" t="str">
        <f>IF(DH75=23,"E ","")</f>
        <v/>
      </c>
      <c r="DI78" s="678" t="str">
        <f>IF(DI75=24,"D ","")</f>
        <v/>
      </c>
      <c r="DJ78" s="678" t="str">
        <f>IF(DJ75=25,"C ","")</f>
        <v/>
      </c>
      <c r="DK78" s="678" t="str">
        <f>IF(DK75=26,"B ","")</f>
        <v/>
      </c>
      <c r="DL78" s="680" t="str">
        <f>IF(DL75=27,"A ","")</f>
        <v/>
      </c>
    </row>
    <row r="79" spans="1:116" hidden="1" x14ac:dyDescent="0.25">
      <c r="A79" s="14"/>
      <c r="B79" s="15"/>
      <c r="C79" s="15"/>
      <c r="D79" s="16"/>
      <c r="E79" s="16"/>
      <c r="F79" s="16"/>
      <c r="G79" s="16"/>
      <c r="H79" s="16"/>
      <c r="I79" s="16"/>
      <c r="J79" s="16"/>
      <c r="K79" s="16"/>
      <c r="L79" s="28"/>
      <c r="M79" s="28"/>
      <c r="N79" s="28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17"/>
      <c r="AA79" s="17"/>
      <c r="AB79" s="48"/>
      <c r="AC79" s="45"/>
      <c r="AD79" s="45"/>
      <c r="AE79" s="45"/>
      <c r="AF79" s="45"/>
      <c r="AG79" s="45"/>
      <c r="AH79" s="45"/>
      <c r="AI79" s="48"/>
      <c r="AJ79" s="48"/>
      <c r="AK79" s="48"/>
      <c r="AL79" s="48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7"/>
      <c r="BJ79" s="4"/>
      <c r="BO79" s="53"/>
      <c r="BP79" s="53"/>
      <c r="BQ79" s="53"/>
      <c r="BR79" s="53"/>
      <c r="BS79" s="12"/>
      <c r="BT79" s="12"/>
      <c r="BV79" s="57">
        <v>-13</v>
      </c>
      <c r="BW79" s="57">
        <v>-12</v>
      </c>
      <c r="BX79" s="57">
        <v>-11</v>
      </c>
      <c r="BY79" s="57">
        <v>-10</v>
      </c>
      <c r="BZ79" s="57">
        <v>-9</v>
      </c>
      <c r="CA79" s="57">
        <v>-8</v>
      </c>
      <c r="CB79" s="57">
        <v>-7</v>
      </c>
      <c r="CC79" s="57">
        <v>-6</v>
      </c>
      <c r="CD79" s="57">
        <v>-5</v>
      </c>
      <c r="CE79" s="57">
        <v>-4</v>
      </c>
      <c r="CF79" s="57">
        <v>-3</v>
      </c>
      <c r="CG79" s="57">
        <v>-2</v>
      </c>
      <c r="CH79" s="57">
        <v>-1</v>
      </c>
      <c r="CI79" s="57">
        <v>1</v>
      </c>
      <c r="CJ79" s="22">
        <v>2</v>
      </c>
      <c r="CK79" s="22">
        <v>3</v>
      </c>
      <c r="CL79" s="22">
        <v>4</v>
      </c>
      <c r="CM79" s="22">
        <v>5</v>
      </c>
      <c r="CN79" s="22">
        <v>6</v>
      </c>
      <c r="CO79" s="22">
        <v>7</v>
      </c>
      <c r="CP79" s="22">
        <v>8</v>
      </c>
      <c r="CQ79" s="58">
        <v>81</v>
      </c>
      <c r="CR79" s="58">
        <v>82</v>
      </c>
      <c r="CS79" s="58">
        <v>83</v>
      </c>
      <c r="CT79" s="13">
        <v>9</v>
      </c>
      <c r="CU79" s="13">
        <v>10</v>
      </c>
      <c r="CV79" s="13">
        <v>11</v>
      </c>
      <c r="CW79" s="13">
        <v>12</v>
      </c>
      <c r="CX79" s="13">
        <v>13</v>
      </c>
      <c r="CY79" s="13">
        <v>14</v>
      </c>
      <c r="CZ79" s="13">
        <v>15</v>
      </c>
      <c r="DA79" s="13">
        <v>16</v>
      </c>
      <c r="DB79" s="13">
        <v>17</v>
      </c>
      <c r="DC79" s="13">
        <v>18</v>
      </c>
      <c r="DD79" s="13">
        <v>19</v>
      </c>
      <c r="DE79" s="13">
        <v>20</v>
      </c>
      <c r="DF79" s="13">
        <v>21</v>
      </c>
      <c r="DG79" s="13">
        <v>22</v>
      </c>
      <c r="DH79" s="13">
        <v>23</v>
      </c>
      <c r="DI79" s="13">
        <v>24</v>
      </c>
      <c r="DJ79" s="13">
        <v>25</v>
      </c>
      <c r="DK79" s="13">
        <v>26</v>
      </c>
      <c r="DL79" s="13">
        <v>27</v>
      </c>
    </row>
    <row r="80" spans="1:116" hidden="1" x14ac:dyDescent="0.25">
      <c r="A80" s="14"/>
      <c r="B80" s="15"/>
      <c r="C80" s="15"/>
      <c r="D80" s="16"/>
      <c r="E80" s="16"/>
      <c r="F80" s="16"/>
      <c r="G80" s="16"/>
      <c r="H80" s="16"/>
      <c r="I80" s="16"/>
      <c r="J80" s="16"/>
      <c r="K80" s="16"/>
      <c r="L80" s="28"/>
      <c r="M80" s="28"/>
      <c r="N80" s="28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17"/>
      <c r="AA80" s="17"/>
      <c r="AB80" s="48"/>
      <c r="AC80" s="45"/>
      <c r="AD80" s="45"/>
      <c r="AE80" s="45"/>
      <c r="AF80" s="45"/>
      <c r="AG80" s="45"/>
      <c r="AH80" s="45"/>
      <c r="AI80" s="48"/>
      <c r="AJ80" s="48"/>
      <c r="AK80" s="48"/>
      <c r="AL80" s="48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7"/>
      <c r="BJ80" s="4"/>
      <c r="BO80" s="53"/>
      <c r="BP80" s="53"/>
      <c r="BQ80" s="53"/>
      <c r="BR80" s="53"/>
      <c r="BS80" s="12"/>
      <c r="BT80" s="12"/>
      <c r="BV80" s="57"/>
      <c r="BW80" s="57"/>
      <c r="BX80" s="57"/>
      <c r="BY80" s="57"/>
      <c r="BZ80" s="57"/>
      <c r="CA80" s="57"/>
      <c r="CB80" s="22"/>
      <c r="CC80" s="22"/>
      <c r="CD80" s="22"/>
      <c r="CE80" s="22"/>
      <c r="CF80" s="22"/>
      <c r="CG80" s="57"/>
      <c r="CH80" s="57"/>
      <c r="CI80" s="57"/>
      <c r="CJ80" s="22"/>
      <c r="CK80" s="22"/>
      <c r="CL80" s="22"/>
      <c r="CM80" s="22"/>
      <c r="CN80" s="22"/>
      <c r="CO80" s="22"/>
      <c r="CP80" s="22"/>
      <c r="CQ80" s="58"/>
      <c r="CR80" s="58"/>
      <c r="CS80" s="58"/>
    </row>
    <row r="81" spans="1:119" hidden="1" x14ac:dyDescent="0.25">
      <c r="A81" s="14"/>
      <c r="B81" s="15"/>
      <c r="C81" s="15"/>
      <c r="D81" s="16"/>
      <c r="E81" s="16"/>
      <c r="F81" s="16"/>
      <c r="G81" s="16"/>
      <c r="H81" s="16"/>
      <c r="I81" s="16"/>
      <c r="J81" s="16"/>
      <c r="K81" s="16"/>
      <c r="L81" s="28"/>
      <c r="M81" s="28"/>
      <c r="N81" s="28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17"/>
      <c r="AA81" s="17"/>
      <c r="AB81" s="48"/>
      <c r="AC81" s="45"/>
      <c r="AD81" s="45"/>
      <c r="AE81" s="45"/>
      <c r="AF81" s="45"/>
      <c r="AG81" s="45"/>
      <c r="AH81" s="45"/>
      <c r="AI81" s="48"/>
      <c r="AJ81" s="48"/>
      <c r="AK81" s="48"/>
      <c r="AL81" s="48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7"/>
      <c r="BJ81" s="4"/>
      <c r="BO81" s="53"/>
      <c r="BP81" s="53"/>
      <c r="BQ81" s="53"/>
      <c r="BR81" s="53"/>
      <c r="BS81" s="12"/>
      <c r="BT81" s="12"/>
      <c r="BV81" s="57"/>
      <c r="BW81" s="57"/>
      <c r="BX81" s="57"/>
      <c r="BY81" s="57"/>
      <c r="BZ81" s="57"/>
      <c r="CA81" s="57"/>
      <c r="CB81" s="22"/>
      <c r="CC81" s="22"/>
      <c r="CD81" s="22"/>
      <c r="CE81" s="22"/>
      <c r="CF81" s="22"/>
      <c r="CG81" s="57"/>
      <c r="CH81" s="57"/>
      <c r="CI81" s="57"/>
      <c r="CJ81" s="22"/>
      <c r="CK81" s="22"/>
      <c r="CL81" s="22"/>
      <c r="CM81" s="22"/>
      <c r="CN81" s="22"/>
      <c r="CO81" s="22"/>
      <c r="CP81" s="22"/>
      <c r="CQ81" s="58"/>
      <c r="CR81" s="58"/>
      <c r="CS81" s="58"/>
    </row>
    <row r="82" spans="1:119" ht="18.75" hidden="1" thickBot="1" x14ac:dyDescent="0.3">
      <c r="A82" s="14"/>
      <c r="B82" s="15"/>
      <c r="C82" s="15"/>
      <c r="D82" s="16"/>
      <c r="E82" s="16"/>
      <c r="F82" s="16"/>
      <c r="G82" s="16"/>
      <c r="H82" s="16"/>
      <c r="I82" s="16"/>
      <c r="J82" s="16"/>
      <c r="K82" s="16"/>
      <c r="L82" s="28"/>
      <c r="M82" s="28"/>
      <c r="N82" s="28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8"/>
      <c r="AC82" s="45"/>
      <c r="AD82" s="45"/>
      <c r="AE82" s="45"/>
      <c r="AF82" s="45"/>
      <c r="AG82" s="45"/>
      <c r="AH82" s="45"/>
      <c r="AI82" s="48"/>
      <c r="AJ82" s="48"/>
      <c r="AK82" s="48"/>
      <c r="AL82" s="48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7"/>
      <c r="BJ82" s="4"/>
      <c r="BO82" s="53"/>
      <c r="BP82" s="53"/>
      <c r="BQ82" s="53"/>
      <c r="BR82" s="53"/>
      <c r="BS82" s="12"/>
      <c r="BT82" s="12"/>
      <c r="BV82" s="57" t="s">
        <v>32</v>
      </c>
      <c r="BW82" s="57" t="s">
        <v>33</v>
      </c>
      <c r="BX82" s="57" t="s">
        <v>34</v>
      </c>
      <c r="BY82" s="57" t="s">
        <v>35</v>
      </c>
      <c r="BZ82" s="57" t="s">
        <v>36</v>
      </c>
      <c r="CA82" s="57" t="s">
        <v>55</v>
      </c>
      <c r="CB82" s="57" t="s">
        <v>16</v>
      </c>
      <c r="CC82" s="57" t="s">
        <v>56</v>
      </c>
      <c r="CD82" s="57" t="s">
        <v>57</v>
      </c>
      <c r="CE82" s="57" t="s">
        <v>58</v>
      </c>
      <c r="CF82" s="57" t="s">
        <v>59</v>
      </c>
      <c r="CG82" s="57" t="s">
        <v>15</v>
      </c>
      <c r="CH82" s="57" t="s">
        <v>60</v>
      </c>
      <c r="CI82" s="57">
        <v>1</v>
      </c>
      <c r="CJ82" s="57">
        <v>2</v>
      </c>
      <c r="CK82" s="57">
        <v>3</v>
      </c>
      <c r="CL82" s="57">
        <v>4</v>
      </c>
      <c r="CM82" s="57">
        <v>5</v>
      </c>
      <c r="CN82" s="57">
        <v>6</v>
      </c>
      <c r="CO82" s="57">
        <v>7</v>
      </c>
      <c r="CP82" s="57">
        <v>8</v>
      </c>
      <c r="CQ82" s="59" t="s">
        <v>15</v>
      </c>
      <c r="CR82" s="59" t="s">
        <v>59</v>
      </c>
      <c r="CS82" s="59" t="s">
        <v>58</v>
      </c>
      <c r="CT82" s="13">
        <v>9</v>
      </c>
      <c r="CU82" s="13">
        <v>10</v>
      </c>
      <c r="CV82" s="13">
        <v>11</v>
      </c>
      <c r="CW82" s="13">
        <v>12</v>
      </c>
      <c r="CX82" s="13">
        <v>13</v>
      </c>
      <c r="CY82" s="13">
        <v>14</v>
      </c>
      <c r="CZ82" s="60" t="s">
        <v>60</v>
      </c>
      <c r="DA82" s="60" t="s">
        <v>15</v>
      </c>
      <c r="DB82" s="60" t="s">
        <v>59</v>
      </c>
      <c r="DC82" s="60" t="s">
        <v>58</v>
      </c>
      <c r="DD82" s="60" t="s">
        <v>57</v>
      </c>
      <c r="DE82" s="60" t="s">
        <v>56</v>
      </c>
      <c r="DF82" s="60" t="s">
        <v>16</v>
      </c>
      <c r="DG82" s="60" t="s">
        <v>55</v>
      </c>
      <c r="DH82" s="60" t="s">
        <v>36</v>
      </c>
      <c r="DI82" s="60" t="s">
        <v>35</v>
      </c>
      <c r="DJ82" s="60" t="s">
        <v>34</v>
      </c>
      <c r="DK82" s="60" t="s">
        <v>33</v>
      </c>
      <c r="DL82" s="60" t="s">
        <v>32</v>
      </c>
    </row>
    <row r="83" spans="1:119" ht="24" customHeight="1" thickTop="1" thickBot="1" x14ac:dyDescent="0.3">
      <c r="A83" s="14"/>
      <c r="B83" s="61" t="s">
        <v>87</v>
      </c>
      <c r="C83" s="62"/>
      <c r="D83" s="62"/>
      <c r="E83" s="786" t="s">
        <v>86</v>
      </c>
      <c r="F83" s="787"/>
      <c r="G83" s="787"/>
      <c r="H83" s="787"/>
      <c r="I83" s="787"/>
      <c r="J83" s="787"/>
      <c r="K83" s="788"/>
      <c r="M83" s="28"/>
      <c r="N83" s="28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8"/>
      <c r="AC83" s="45"/>
      <c r="AD83" s="45"/>
      <c r="AE83" s="45"/>
      <c r="AF83" s="45"/>
      <c r="AG83" s="45"/>
      <c r="AH83" s="45"/>
      <c r="AI83" s="48"/>
      <c r="AJ83" s="48"/>
      <c r="AK83" s="48"/>
      <c r="AL83" s="48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7"/>
      <c r="BJ83" s="4"/>
      <c r="BO83" s="53"/>
      <c r="BP83" s="53"/>
      <c r="BQ83" s="53"/>
      <c r="BR83" s="53"/>
      <c r="BS83" s="12"/>
      <c r="BT83" s="12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</row>
    <row r="84" spans="1:119" ht="31.5" thickTop="1" thickBot="1" x14ac:dyDescent="0.3">
      <c r="A84" s="14"/>
      <c r="B84" s="535" t="str">
        <f>IF(B87=TRUE,"O K ","OVERLOAD")</f>
        <v xml:space="preserve">O K </v>
      </c>
      <c r="C84" s="63"/>
      <c r="D84" s="64"/>
      <c r="E84" s="789" t="str">
        <f>IF(E87=TRUE,"O K ","OVERLOAD")</f>
        <v xml:space="preserve">O K </v>
      </c>
      <c r="F84" s="790"/>
      <c r="G84" s="790"/>
      <c r="H84" s="790"/>
      <c r="I84" s="790"/>
      <c r="J84" s="790"/>
      <c r="K84" s="791"/>
      <c r="M84" s="28"/>
      <c r="N84" s="28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8"/>
      <c r="AC84" s="45"/>
      <c r="AD84" s="45"/>
      <c r="AE84" s="45"/>
      <c r="AF84" s="45"/>
      <c r="AG84" s="45"/>
      <c r="AH84" s="45"/>
      <c r="AI84" s="48"/>
      <c r="AJ84" s="48"/>
      <c r="AK84" s="48"/>
      <c r="AL84" s="48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7"/>
      <c r="BJ84" s="4"/>
      <c r="BO84" s="53"/>
      <c r="BP84" s="53"/>
      <c r="BQ84" s="53"/>
      <c r="BR84" s="53"/>
      <c r="BS84" s="12"/>
      <c r="BT84" s="12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</row>
    <row r="85" spans="1:119" ht="19.5" hidden="1" thickTop="1" thickBot="1" x14ac:dyDescent="0.3">
      <c r="A85" s="14"/>
      <c r="B85" s="63"/>
      <c r="C85" s="28"/>
      <c r="D85" s="28"/>
      <c r="E85" s="28"/>
      <c r="F85" s="28"/>
      <c r="G85" s="28"/>
      <c r="H85" s="28"/>
      <c r="I85" s="28"/>
      <c r="J85" s="28"/>
      <c r="K85" s="663"/>
      <c r="M85" s="28"/>
      <c r="N85" s="28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8"/>
      <c r="AC85" s="45"/>
      <c r="AD85" s="45"/>
      <c r="AE85" s="45"/>
      <c r="AF85" s="45"/>
      <c r="AG85" s="45"/>
      <c r="AH85" s="45"/>
      <c r="AI85" s="48"/>
      <c r="AJ85" s="48"/>
      <c r="AK85" s="48"/>
      <c r="AL85" s="48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7"/>
      <c r="BJ85" s="4"/>
      <c r="BO85" s="53"/>
      <c r="BP85" s="53"/>
      <c r="BQ85" s="53"/>
      <c r="BR85" s="53"/>
      <c r="BS85" s="12"/>
      <c r="BT85" s="12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</row>
    <row r="86" spans="1:119" ht="19.5" hidden="1" thickTop="1" thickBot="1" x14ac:dyDescent="0.3">
      <c r="A86" s="14"/>
      <c r="B86" s="65"/>
      <c r="C86" s="28"/>
      <c r="D86" s="28"/>
      <c r="E86" s="28"/>
      <c r="F86" s="28"/>
      <c r="G86" s="28"/>
      <c r="H86" s="28"/>
      <c r="I86" s="28"/>
      <c r="J86" s="28"/>
      <c r="K86" s="663"/>
      <c r="M86" s="28"/>
      <c r="N86" s="28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8"/>
      <c r="AC86" s="45"/>
      <c r="AD86" s="45"/>
      <c r="AE86" s="45"/>
      <c r="AF86" s="45"/>
      <c r="AG86" s="45"/>
      <c r="AH86" s="45"/>
      <c r="AI86" s="48"/>
      <c r="AJ86" s="48"/>
      <c r="AK86" s="48"/>
      <c r="AL86" s="48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7"/>
      <c r="BJ86" s="4"/>
      <c r="BO86" s="53"/>
      <c r="BP86" s="53"/>
      <c r="BQ86" s="53"/>
      <c r="BR86" s="53"/>
      <c r="BS86" s="12"/>
      <c r="BT86" s="12"/>
      <c r="BU86" s="18"/>
      <c r="BV86" s="18"/>
      <c r="BW86" s="18"/>
      <c r="BX86" s="18"/>
      <c r="BY86" s="18"/>
      <c r="BZ86" s="18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50"/>
    </row>
    <row r="87" spans="1:119" ht="24.75" hidden="1" thickTop="1" thickBot="1" x14ac:dyDescent="0.4">
      <c r="A87" s="14"/>
      <c r="B87" s="578" t="b">
        <f>AND(B93&gt;=10,D93&gt;=10,BH133&gt;=10,BI133&gt;=10,BH166&gt;=10, BI166&gt;=10,BH187&gt;=10,BI187&gt;=10)</f>
        <v>1</v>
      </c>
      <c r="C87" s="28"/>
      <c r="D87" s="28"/>
      <c r="E87" s="577" t="b">
        <f>AND(B93&gt;=10,D93&gt;=10,E93&gt;=10,BH133&gt;=10,BI133&gt;=10,BH166&gt;=10,BI166&gt;=10,BH187&gt;=10,BI187&gt;=10)</f>
        <v>1</v>
      </c>
      <c r="F87" s="28"/>
      <c r="G87" s="28"/>
      <c r="H87" s="28"/>
      <c r="I87" s="28"/>
      <c r="J87" s="28"/>
      <c r="K87" s="664"/>
      <c r="M87" s="28"/>
      <c r="N87" s="28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8"/>
      <c r="AC87" s="45"/>
      <c r="AD87" s="45"/>
      <c r="AE87" s="45"/>
      <c r="AF87" s="45"/>
      <c r="AG87" s="45"/>
      <c r="AH87" s="45"/>
      <c r="AI87" s="48"/>
      <c r="AJ87" s="48"/>
      <c r="AK87" s="48"/>
      <c r="AL87" s="48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7"/>
      <c r="BJ87" s="4"/>
      <c r="BO87" s="53"/>
      <c r="BP87" s="53"/>
      <c r="BQ87" s="53"/>
      <c r="BR87" s="53"/>
      <c r="BS87" s="12"/>
      <c r="BT87" s="12"/>
      <c r="BU87" s="18"/>
      <c r="BV87" s="18"/>
      <c r="BW87" s="18"/>
      <c r="BX87" s="18"/>
      <c r="BY87" s="18"/>
      <c r="BZ87" s="18"/>
      <c r="CA87" s="66"/>
      <c r="CI87" s="66"/>
      <c r="CJ87" s="66"/>
      <c r="CK87" s="66"/>
      <c r="CL87" s="66"/>
      <c r="CM87" s="66"/>
      <c r="CN87" s="66"/>
      <c r="CO87" s="50"/>
    </row>
    <row r="88" spans="1:119" ht="19.5" hidden="1" thickTop="1" thickBot="1" x14ac:dyDescent="0.3">
      <c r="A88" s="14"/>
      <c r="B88" s="65"/>
      <c r="C88" s="65"/>
      <c r="D88" s="64"/>
      <c r="E88" s="64"/>
      <c r="F88" s="64"/>
      <c r="G88" s="64"/>
      <c r="H88" s="64"/>
      <c r="I88" s="64"/>
      <c r="J88" s="64"/>
      <c r="K88" s="64"/>
      <c r="M88" s="28"/>
      <c r="N88" s="28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8"/>
      <c r="AC88" s="45"/>
      <c r="AD88" s="45"/>
      <c r="AE88" s="45"/>
      <c r="AF88" s="45"/>
      <c r="AG88" s="45"/>
      <c r="AH88" s="45"/>
      <c r="AI88" s="48"/>
      <c r="AJ88" s="48"/>
      <c r="AK88" s="48"/>
      <c r="AL88" s="48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7"/>
      <c r="BJ88" s="4"/>
      <c r="BO88" s="53"/>
      <c r="BP88" s="53"/>
      <c r="BQ88" s="53"/>
      <c r="BR88" s="53"/>
      <c r="BS88" s="67" t="s">
        <v>64</v>
      </c>
      <c r="BT88" s="68">
        <f>-+BO131</f>
        <v>420.66986714566798</v>
      </c>
      <c r="BU88" s="18"/>
      <c r="BV88" s="18"/>
      <c r="BW88" s="18"/>
      <c r="BX88" s="18"/>
      <c r="BY88" s="18"/>
      <c r="BZ88" s="18"/>
      <c r="CA88" s="66"/>
      <c r="CI88" s="66"/>
      <c r="CJ88" s="66"/>
      <c r="CK88" s="66"/>
      <c r="CL88" s="66"/>
      <c r="CM88" s="66"/>
      <c r="CN88" s="66"/>
      <c r="CO88" s="50"/>
      <c r="DM88" s="69" t="s">
        <v>64</v>
      </c>
      <c r="DN88" s="70">
        <f>+-BO173</f>
        <v>-650.33013285433208</v>
      </c>
      <c r="DO88" s="71" t="s">
        <v>85</v>
      </c>
    </row>
    <row r="89" spans="1:119" ht="18.75" thickTop="1" x14ac:dyDescent="0.25">
      <c r="A89" s="14"/>
      <c r="B89" s="792" t="s">
        <v>137</v>
      </c>
      <c r="C89" s="793"/>
      <c r="D89" s="793"/>
      <c r="E89" s="793"/>
      <c r="F89" s="793"/>
      <c r="G89" s="793"/>
      <c r="H89" s="793"/>
      <c r="I89" s="793"/>
      <c r="J89" s="793"/>
      <c r="K89" s="794"/>
      <c r="M89" s="28"/>
      <c r="N89" s="28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8"/>
      <c r="AC89" s="45"/>
      <c r="AD89" s="45"/>
      <c r="AE89" s="45"/>
      <c r="AF89" s="45"/>
      <c r="AG89" s="45"/>
      <c r="AH89" s="45"/>
      <c r="AI89" s="48"/>
      <c r="AJ89" s="48"/>
      <c r="AK89" s="48"/>
      <c r="AL89" s="48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7"/>
      <c r="BJ89" s="4"/>
      <c r="BO89" s="53"/>
      <c r="BP89" s="53"/>
      <c r="BQ89" s="53"/>
      <c r="BR89" s="53"/>
      <c r="BS89" s="12"/>
      <c r="BT89" s="12"/>
      <c r="BU89" s="18"/>
      <c r="BV89" s="18"/>
      <c r="BW89" s="18"/>
      <c r="BX89" s="18"/>
      <c r="BY89" s="18"/>
      <c r="BZ89" s="18"/>
      <c r="CA89" s="66"/>
      <c r="CI89" s="66"/>
      <c r="CJ89" s="66"/>
      <c r="CK89" s="66"/>
      <c r="CL89" s="66"/>
      <c r="CM89" s="66"/>
      <c r="CN89" s="66"/>
      <c r="CO89" s="50"/>
    </row>
    <row r="90" spans="1:119" ht="15" customHeight="1" thickBot="1" x14ac:dyDescent="0.3">
      <c r="B90" s="795"/>
      <c r="C90" s="796"/>
      <c r="D90" s="796"/>
      <c r="E90" s="796"/>
      <c r="F90" s="796"/>
      <c r="G90" s="796"/>
      <c r="H90" s="796"/>
      <c r="I90" s="796"/>
      <c r="J90" s="796"/>
      <c r="K90" s="797"/>
      <c r="M90" s="28"/>
      <c r="N90" s="28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8"/>
      <c r="AC90" s="47"/>
      <c r="AD90" s="47"/>
      <c r="AE90" s="47"/>
      <c r="AF90" s="47"/>
      <c r="AG90" s="47"/>
      <c r="AH90" s="47"/>
      <c r="AI90" s="48"/>
      <c r="AJ90" s="48"/>
      <c r="AK90" s="48"/>
      <c r="AL90" s="48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"/>
      <c r="BO90" s="53"/>
      <c r="BP90" s="53"/>
      <c r="BQ90" s="53"/>
      <c r="BR90" s="53"/>
      <c r="BS90" s="12"/>
      <c r="BT90" s="12"/>
      <c r="BU90" s="18"/>
      <c r="BV90" s="18"/>
      <c r="BW90" s="18"/>
      <c r="BX90" s="18"/>
      <c r="BY90" s="18"/>
      <c r="BZ90" s="18"/>
      <c r="CA90" s="66"/>
      <c r="CI90" s="66"/>
      <c r="CJ90" s="66"/>
      <c r="CK90" s="66"/>
      <c r="CL90" s="66"/>
      <c r="CM90" s="66"/>
      <c r="CN90" s="66"/>
      <c r="CO90" s="50"/>
    </row>
    <row r="91" spans="1:119" ht="30" customHeight="1" thickTop="1" thickBot="1" x14ac:dyDescent="0.3">
      <c r="B91" s="536" t="s">
        <v>89</v>
      </c>
      <c r="C91" s="72"/>
      <c r="D91" s="536" t="s">
        <v>90</v>
      </c>
      <c r="E91" s="798" t="s">
        <v>88</v>
      </c>
      <c r="F91" s="799"/>
      <c r="G91" s="799"/>
      <c r="H91" s="799"/>
      <c r="I91" s="799"/>
      <c r="J91" s="799"/>
      <c r="K91" s="800"/>
      <c r="M91" s="28"/>
      <c r="N91" s="28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8"/>
      <c r="AC91" s="47"/>
      <c r="AD91" s="47"/>
      <c r="AE91" s="47"/>
      <c r="AF91" s="47"/>
      <c r="AG91" s="47"/>
      <c r="AH91" s="47"/>
      <c r="AI91" s="48"/>
      <c r="AJ91" s="48"/>
      <c r="AK91" s="48"/>
      <c r="AL91" s="48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"/>
      <c r="BO91" s="53"/>
      <c r="BP91" s="53"/>
      <c r="BQ91" s="53"/>
      <c r="BR91" s="53"/>
      <c r="BS91" s="12"/>
      <c r="BT91" s="12"/>
      <c r="BU91" s="18"/>
      <c r="BV91" s="18"/>
      <c r="BW91" s="18"/>
      <c r="BX91" s="18"/>
      <c r="BY91" s="18"/>
      <c r="BZ91" s="18"/>
      <c r="CA91" s="66"/>
      <c r="CI91" s="66"/>
      <c r="CJ91" s="66"/>
      <c r="CK91" s="66"/>
      <c r="CL91" s="66"/>
      <c r="CM91" s="66"/>
      <c r="CN91" s="66"/>
      <c r="CO91" s="50"/>
    </row>
    <row r="92" spans="1:119" ht="19.5" hidden="1" thickTop="1" thickBot="1" x14ac:dyDescent="0.3">
      <c r="B92" s="73">
        <f>+C26/BS52</f>
        <v>61.273101687612844</v>
      </c>
      <c r="C92" s="72"/>
      <c r="D92" s="74">
        <f>+D26/D28</f>
        <v>118.69495284977664</v>
      </c>
      <c r="E92" s="804">
        <f>+D26/BV1</f>
        <v>62.656641604010026</v>
      </c>
      <c r="F92" s="805"/>
      <c r="G92" s="805"/>
      <c r="H92" s="805"/>
      <c r="I92" s="805"/>
      <c r="J92" s="805"/>
      <c r="K92" s="806"/>
      <c r="M92" s="28"/>
      <c r="N92" s="28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8"/>
      <c r="AC92" s="47"/>
      <c r="AD92" s="47"/>
      <c r="AE92" s="47"/>
      <c r="AF92" s="47"/>
      <c r="AG92" s="47"/>
      <c r="AH92" s="47"/>
      <c r="AI92" s="48"/>
      <c r="AJ92" s="48"/>
      <c r="AK92" s="48"/>
      <c r="AL92" s="48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"/>
      <c r="BM92" s="76"/>
      <c r="BN92" s="76"/>
      <c r="BO92" s="77"/>
      <c r="BP92" s="77"/>
      <c r="BQ92" s="78"/>
      <c r="BR92" s="78"/>
      <c r="BT92" s="79"/>
      <c r="BU92" s="54"/>
    </row>
    <row r="93" spans="1:119" ht="19.5" thickTop="1" thickBot="1" x14ac:dyDescent="0.3">
      <c r="B93" s="537">
        <f>ABS(B92)</f>
        <v>61.273101687612844</v>
      </c>
      <c r="C93" s="72"/>
      <c r="D93" s="537">
        <f>+IF(B92&lt;&gt;TRUE,ABS(D92))</f>
        <v>118.69495284977664</v>
      </c>
      <c r="E93" s="801">
        <f t="shared" ref="E93:K93" si="9">+IF(AND(D92&lt;&gt;TRUE,B92&lt;&gt;TRUE),E92)</f>
        <v>62.656641604010026</v>
      </c>
      <c r="F93" s="802">
        <f t="shared" si="9"/>
        <v>0</v>
      </c>
      <c r="G93" s="802">
        <f t="shared" si="9"/>
        <v>0</v>
      </c>
      <c r="H93" s="802">
        <f t="shared" si="9"/>
        <v>0</v>
      </c>
      <c r="I93" s="802">
        <f t="shared" si="9"/>
        <v>0</v>
      </c>
      <c r="J93" s="802">
        <f t="shared" si="9"/>
        <v>0</v>
      </c>
      <c r="K93" s="803">
        <f t="shared" si="9"/>
        <v>0</v>
      </c>
      <c r="M93" s="28"/>
      <c r="N93" s="28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8"/>
      <c r="AC93" s="47"/>
      <c r="AD93" s="47"/>
      <c r="AE93" s="47"/>
      <c r="AF93" s="47"/>
      <c r="AG93" s="47"/>
      <c r="AH93" s="47"/>
      <c r="AI93" s="48"/>
      <c r="AJ93" s="48"/>
      <c r="AK93" s="48"/>
      <c r="AL93" s="48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"/>
      <c r="BM93" s="76"/>
      <c r="BN93" s="76"/>
      <c r="BO93" s="77"/>
      <c r="BP93" s="77"/>
      <c r="BQ93" s="78"/>
      <c r="BR93" s="78"/>
      <c r="BT93" s="79"/>
      <c r="BU93" s="54"/>
    </row>
    <row r="94" spans="1:119" ht="19.5" thickTop="1" thickBot="1" x14ac:dyDescent="0.3">
      <c r="B94" s="80"/>
      <c r="C94" s="80"/>
      <c r="D94" s="81"/>
      <c r="E94" s="81"/>
      <c r="F94" s="81"/>
      <c r="G94" s="81"/>
      <c r="H94" s="81"/>
      <c r="I94" s="81"/>
      <c r="J94" s="81"/>
      <c r="K94" s="81"/>
      <c r="M94" s="28"/>
      <c r="N94" s="28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8"/>
      <c r="AC94" s="47"/>
      <c r="AD94" s="47"/>
      <c r="AE94" s="47"/>
      <c r="AF94" s="47"/>
      <c r="AG94" s="47"/>
      <c r="AH94" s="47"/>
      <c r="AI94" s="48"/>
      <c r="AJ94" s="48"/>
      <c r="AK94" s="48"/>
      <c r="AL94" s="48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"/>
      <c r="BM94" s="76"/>
      <c r="BN94" s="76"/>
      <c r="BO94" s="77"/>
      <c r="BP94" s="77"/>
      <c r="BQ94" s="78"/>
      <c r="BR94" s="78"/>
      <c r="BT94" s="79"/>
      <c r="BU94" s="54"/>
    </row>
    <row r="95" spans="1:119" ht="18.75" hidden="1" thickBot="1" x14ac:dyDescent="0.3">
      <c r="B95" s="82"/>
      <c r="C95" s="31"/>
      <c r="D95" s="28"/>
      <c r="E95" s="28"/>
      <c r="F95" s="28"/>
      <c r="G95" s="28"/>
      <c r="H95" s="28"/>
      <c r="I95" s="28"/>
      <c r="J95" s="28"/>
      <c r="K95" s="28"/>
      <c r="L95" s="83"/>
      <c r="M95" s="28"/>
      <c r="N95" s="28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8"/>
      <c r="AC95" s="47"/>
      <c r="AD95" s="47"/>
      <c r="AE95" s="47"/>
      <c r="AF95" s="47"/>
      <c r="AG95" s="47"/>
      <c r="AH95" s="47"/>
      <c r="AI95" s="48"/>
      <c r="AJ95" s="48"/>
      <c r="AK95" s="48"/>
      <c r="AL95" s="48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"/>
      <c r="BM95" s="76"/>
      <c r="BN95" s="76"/>
      <c r="BO95" s="77"/>
      <c r="BP95" s="77"/>
      <c r="BQ95" s="78"/>
      <c r="BR95" s="78"/>
      <c r="BT95" s="79"/>
      <c r="BU95" s="54"/>
    </row>
    <row r="96" spans="1:119" ht="18.75" hidden="1" thickBot="1" x14ac:dyDescent="0.3">
      <c r="B96" s="82"/>
      <c r="C96" s="31"/>
      <c r="D96" s="28"/>
      <c r="E96" s="28"/>
      <c r="F96" s="28"/>
      <c r="G96" s="28"/>
      <c r="H96" s="28"/>
      <c r="I96" s="28"/>
      <c r="J96" s="28"/>
      <c r="K96" s="28"/>
      <c r="L96" s="83"/>
      <c r="M96" s="28"/>
      <c r="N96" s="28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8"/>
      <c r="AC96" s="47"/>
      <c r="AD96" s="47"/>
      <c r="AE96" s="47"/>
      <c r="AF96" s="47"/>
      <c r="AG96" s="47"/>
      <c r="AH96" s="47"/>
      <c r="AI96" s="48"/>
      <c r="AJ96" s="48"/>
      <c r="AK96" s="48"/>
      <c r="AL96" s="48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"/>
      <c r="BM96" s="76"/>
      <c r="BN96" s="76"/>
      <c r="BO96" s="77"/>
      <c r="BP96" s="77"/>
      <c r="BQ96" s="78"/>
      <c r="BR96" s="78"/>
      <c r="BT96" s="79"/>
      <c r="BU96" s="54"/>
    </row>
    <row r="97" spans="2:92" ht="18.75" hidden="1" thickBot="1" x14ac:dyDescent="0.3">
      <c r="B97" s="82"/>
      <c r="C97" s="31"/>
      <c r="D97" s="28"/>
      <c r="E97" s="28"/>
      <c r="F97" s="28"/>
      <c r="G97" s="28"/>
      <c r="H97" s="28"/>
      <c r="I97" s="28"/>
      <c r="J97" s="28"/>
      <c r="K97" s="28"/>
      <c r="L97" s="83"/>
      <c r="M97" s="28"/>
      <c r="N97" s="28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8"/>
      <c r="AC97" s="47"/>
      <c r="AD97" s="47"/>
      <c r="AE97" s="47"/>
      <c r="AF97" s="47"/>
      <c r="AG97" s="47"/>
      <c r="AH97" s="47"/>
      <c r="AI97" s="48"/>
      <c r="AJ97" s="48"/>
      <c r="AK97" s="48"/>
      <c r="AL97" s="48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"/>
      <c r="BM97" s="76"/>
      <c r="BN97" s="76"/>
      <c r="BO97" s="77"/>
      <c r="BP97" s="77"/>
      <c r="BQ97" s="78"/>
      <c r="BR97" s="78"/>
      <c r="BT97" s="79"/>
      <c r="BU97" s="54"/>
    </row>
    <row r="98" spans="2:92" ht="18.75" hidden="1" thickBot="1" x14ac:dyDescent="0.3">
      <c r="B98" s="82"/>
      <c r="C98" s="31"/>
      <c r="D98" s="28"/>
      <c r="E98" s="28"/>
      <c r="F98" s="28"/>
      <c r="G98" s="28"/>
      <c r="H98" s="28"/>
      <c r="I98" s="28"/>
      <c r="J98" s="28"/>
      <c r="K98" s="28"/>
      <c r="L98" s="83"/>
      <c r="M98" s="28"/>
      <c r="N98" s="28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8"/>
      <c r="AC98" s="47"/>
      <c r="AD98" s="47"/>
      <c r="AE98" s="47"/>
      <c r="AF98" s="47"/>
      <c r="AG98" s="47"/>
      <c r="AH98" s="47"/>
      <c r="AI98" s="48"/>
      <c r="AJ98" s="48"/>
      <c r="AK98" s="48"/>
      <c r="AL98" s="48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"/>
      <c r="BM98" s="76"/>
      <c r="BN98" s="76"/>
      <c r="BO98" s="77"/>
      <c r="BP98" s="77"/>
      <c r="BQ98" s="78"/>
      <c r="BR98" s="78"/>
      <c r="BT98" s="79"/>
    </row>
    <row r="99" spans="2:92" ht="18.75" hidden="1" thickBot="1" x14ac:dyDescent="0.3">
      <c r="B99" s="82"/>
      <c r="C99" s="31"/>
      <c r="D99" s="28"/>
      <c r="E99" s="28"/>
      <c r="F99" s="28"/>
      <c r="G99" s="28"/>
      <c r="H99" s="28"/>
      <c r="I99" s="28"/>
      <c r="J99" s="28"/>
      <c r="K99" s="28"/>
      <c r="L99" s="83"/>
      <c r="M99" s="28"/>
      <c r="N99" s="28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8"/>
      <c r="AC99" s="47"/>
      <c r="AD99" s="47"/>
      <c r="AE99" s="47"/>
      <c r="AF99" s="47"/>
      <c r="AG99" s="47"/>
      <c r="AH99" s="47"/>
      <c r="AI99" s="48"/>
      <c r="AJ99" s="48"/>
      <c r="AK99" s="48"/>
      <c r="AL99" s="48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"/>
      <c r="BM99" s="84"/>
      <c r="BN99" s="84"/>
      <c r="BO99" s="77"/>
      <c r="BP99" s="77"/>
      <c r="BQ99" s="78"/>
      <c r="BR99" s="78"/>
      <c r="BT99" s="79"/>
    </row>
    <row r="100" spans="2:92" ht="18.75" hidden="1" thickBot="1" x14ac:dyDescent="0.3">
      <c r="B100" s="82"/>
      <c r="C100" s="31"/>
      <c r="D100" s="28"/>
      <c r="E100" s="28"/>
      <c r="F100" s="28"/>
      <c r="G100" s="28"/>
      <c r="H100" s="28"/>
      <c r="I100" s="28"/>
      <c r="J100" s="28"/>
      <c r="K100" s="28"/>
      <c r="L100" s="83"/>
      <c r="M100" s="28"/>
      <c r="N100" s="28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8"/>
      <c r="AC100" s="47"/>
      <c r="AD100" s="47"/>
      <c r="AE100" s="47"/>
      <c r="AF100" s="47"/>
      <c r="AG100" s="47"/>
      <c r="AH100" s="47"/>
      <c r="AI100" s="48"/>
      <c r="AJ100" s="48"/>
      <c r="AK100" s="48"/>
      <c r="AL100" s="48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"/>
      <c r="BM100" s="77"/>
      <c r="BN100" s="77"/>
      <c r="BO100" s="77"/>
      <c r="BP100" s="77"/>
      <c r="BQ100" s="78"/>
      <c r="BR100" s="78"/>
    </row>
    <row r="101" spans="2:92" ht="18.75" hidden="1" thickBot="1" x14ac:dyDescent="0.3">
      <c r="B101" s="82"/>
      <c r="C101" s="31"/>
      <c r="D101" s="28"/>
      <c r="E101" s="28"/>
      <c r="F101" s="28"/>
      <c r="G101" s="28"/>
      <c r="H101" s="28"/>
      <c r="I101" s="28"/>
      <c r="J101" s="28"/>
      <c r="K101" s="28"/>
      <c r="L101" s="83"/>
      <c r="M101" s="28"/>
      <c r="N101" s="28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8"/>
      <c r="AC101" s="47"/>
      <c r="AD101" s="47"/>
      <c r="AE101" s="47"/>
      <c r="AF101" s="47"/>
      <c r="AG101" s="47"/>
      <c r="AH101" s="47"/>
      <c r="AI101" s="48"/>
      <c r="AJ101" s="48"/>
      <c r="AK101" s="48"/>
      <c r="AL101" s="48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"/>
      <c r="BM101" s="77"/>
      <c r="BN101" s="77"/>
      <c r="BO101" s="77"/>
      <c r="BP101" s="77"/>
      <c r="BQ101" s="78"/>
      <c r="BR101" s="78"/>
    </row>
    <row r="102" spans="2:92" ht="18.75" hidden="1" thickBot="1" x14ac:dyDescent="0.3">
      <c r="B102" s="82"/>
      <c r="C102" s="31"/>
      <c r="D102" s="28"/>
      <c r="E102" s="28"/>
      <c r="F102" s="28"/>
      <c r="G102" s="28"/>
      <c r="H102" s="28"/>
      <c r="I102" s="28"/>
      <c r="J102" s="28"/>
      <c r="K102" s="28"/>
      <c r="L102" s="83"/>
      <c r="M102" s="28"/>
      <c r="N102" s="28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8"/>
      <c r="AC102" s="47"/>
      <c r="AD102" s="47"/>
      <c r="AE102" s="47"/>
      <c r="AF102" s="47"/>
      <c r="AG102" s="47"/>
      <c r="AH102" s="47"/>
      <c r="AI102" s="48"/>
      <c r="AJ102" s="48"/>
      <c r="AK102" s="48"/>
      <c r="AL102" s="48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"/>
      <c r="BM102" s="77"/>
      <c r="BN102" s="77"/>
      <c r="BO102" s="77"/>
      <c r="BP102" s="77"/>
      <c r="BQ102" s="78"/>
      <c r="BR102" s="78"/>
      <c r="BU102" s="50"/>
      <c r="BV102" s="50"/>
      <c r="BW102" s="50"/>
      <c r="BX102" s="50"/>
      <c r="BY102" s="50"/>
      <c r="BZ102" s="50"/>
      <c r="CH102" s="50"/>
      <c r="CI102" s="50"/>
      <c r="CJ102" s="50"/>
      <c r="CK102" s="50"/>
      <c r="CL102" s="50"/>
      <c r="CM102" s="50"/>
      <c r="CN102" s="50"/>
    </row>
    <row r="103" spans="2:92" ht="18.75" hidden="1" thickBot="1" x14ac:dyDescent="0.3">
      <c r="B103" s="82"/>
      <c r="C103" s="31"/>
      <c r="D103" s="28"/>
      <c r="E103" s="28"/>
      <c r="F103" s="28"/>
      <c r="G103" s="28"/>
      <c r="H103" s="28"/>
      <c r="I103" s="28"/>
      <c r="J103" s="28"/>
      <c r="K103" s="28"/>
      <c r="L103" s="83"/>
      <c r="M103" s="28"/>
      <c r="N103" s="28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8"/>
      <c r="AC103" s="47"/>
      <c r="AD103" s="47"/>
      <c r="AE103" s="47"/>
      <c r="AF103" s="47"/>
      <c r="AG103" s="47"/>
      <c r="AH103" s="47"/>
      <c r="AI103" s="48"/>
      <c r="AJ103" s="48"/>
      <c r="AK103" s="48"/>
      <c r="AL103" s="48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"/>
      <c r="BM103" s="77"/>
      <c r="BN103" s="77"/>
      <c r="BO103" s="77"/>
      <c r="BP103" s="77"/>
      <c r="BQ103" s="78"/>
      <c r="BR103" s="78"/>
      <c r="BU103" s="50"/>
      <c r="BV103" s="50"/>
      <c r="BW103" s="50"/>
      <c r="BX103" s="50"/>
      <c r="BY103" s="50"/>
      <c r="BZ103" s="50"/>
      <c r="CL103" s="50"/>
      <c r="CM103" s="50"/>
      <c r="CN103" s="50"/>
    </row>
    <row r="104" spans="2:92" ht="20.25" hidden="1" customHeight="1" x14ac:dyDescent="0.25">
      <c r="B104" s="82"/>
      <c r="C104" s="31"/>
      <c r="D104" s="28"/>
      <c r="E104" s="28"/>
      <c r="F104" s="28"/>
      <c r="G104" s="28"/>
      <c r="H104" s="28"/>
      <c r="I104" s="28"/>
      <c r="J104" s="28"/>
      <c r="K104" s="28"/>
      <c r="L104" s="83"/>
      <c r="M104" s="28"/>
      <c r="N104" s="28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8"/>
      <c r="AC104" s="47"/>
      <c r="AD104" s="47"/>
      <c r="AE104" s="47"/>
      <c r="AF104" s="47"/>
      <c r="AG104" s="47"/>
      <c r="AH104" s="47"/>
      <c r="AI104" s="48"/>
      <c r="AJ104" s="48"/>
      <c r="AK104" s="48"/>
      <c r="AL104" s="48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"/>
      <c r="BM104" s="77"/>
      <c r="BN104" s="77"/>
      <c r="BO104" s="77"/>
      <c r="BP104" s="77"/>
      <c r="BQ104" s="78"/>
      <c r="BR104" s="78"/>
      <c r="BU104" s="50"/>
      <c r="BV104" s="50"/>
      <c r="BW104" s="50"/>
      <c r="BX104" s="50"/>
      <c r="BY104" s="50"/>
      <c r="BZ104" s="50"/>
      <c r="CL104" s="50"/>
      <c r="CM104" s="50"/>
      <c r="CN104" s="50"/>
    </row>
    <row r="105" spans="2:92" ht="18.75" hidden="1" thickBot="1" x14ac:dyDescent="0.3">
      <c r="B105" s="82"/>
      <c r="C105" s="31"/>
      <c r="D105" s="28"/>
      <c r="E105" s="28"/>
      <c r="F105" s="28"/>
      <c r="G105" s="28"/>
      <c r="H105" s="28"/>
      <c r="I105" s="28"/>
      <c r="J105" s="28"/>
      <c r="K105" s="28"/>
      <c r="L105" s="83"/>
      <c r="M105" s="28"/>
      <c r="N105" s="28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8"/>
      <c r="AC105" s="47"/>
      <c r="AD105" s="47"/>
      <c r="AE105" s="47"/>
      <c r="AF105" s="47"/>
      <c r="AG105" s="47"/>
      <c r="AH105" s="47"/>
      <c r="AI105" s="48"/>
      <c r="AJ105" s="48"/>
      <c r="AK105" s="48"/>
      <c r="AL105" s="48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"/>
      <c r="BM105" s="77"/>
      <c r="BN105" s="77"/>
      <c r="BO105" s="77"/>
      <c r="BP105" s="77"/>
      <c r="BQ105" s="78"/>
      <c r="BR105" s="78"/>
      <c r="BU105" s="50"/>
      <c r="BV105" s="50"/>
      <c r="BW105" s="50"/>
      <c r="BX105" s="50"/>
      <c r="BY105" s="50"/>
      <c r="BZ105" s="50"/>
      <c r="CL105" s="50"/>
      <c r="CM105" s="50"/>
      <c r="CN105" s="50"/>
    </row>
    <row r="106" spans="2:92" ht="18.75" hidden="1" thickBot="1" x14ac:dyDescent="0.3">
      <c r="B106" s="42"/>
      <c r="C106" s="31"/>
      <c r="D106" s="16"/>
      <c r="E106" s="16"/>
      <c r="F106" s="16"/>
      <c r="G106" s="16"/>
      <c r="H106" s="16"/>
      <c r="I106" s="16"/>
      <c r="J106" s="16"/>
      <c r="K106" s="16"/>
      <c r="L106" s="43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8"/>
      <c r="AC106" s="47"/>
      <c r="AD106" s="47"/>
      <c r="AE106" s="47"/>
      <c r="AF106" s="47"/>
      <c r="AG106" s="47"/>
      <c r="AH106" s="47"/>
      <c r="AI106" s="48"/>
      <c r="AJ106" s="48"/>
      <c r="AK106" s="48"/>
      <c r="AL106" s="48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"/>
      <c r="BM106" s="77"/>
      <c r="BN106" s="77"/>
      <c r="BO106" s="77"/>
      <c r="BP106" s="77"/>
      <c r="BQ106" s="78"/>
      <c r="BR106" s="78"/>
      <c r="BU106" s="50"/>
      <c r="BV106" s="50"/>
      <c r="BW106" s="50"/>
      <c r="BX106" s="50"/>
      <c r="BY106" s="50"/>
      <c r="BZ106" s="50"/>
      <c r="CL106" s="50"/>
      <c r="CM106" s="50"/>
      <c r="CN106" s="50"/>
    </row>
    <row r="107" spans="2:92" ht="18.75" hidden="1" thickBot="1" x14ac:dyDescent="0.3"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8"/>
      <c r="AC107" s="47"/>
      <c r="AD107" s="47"/>
      <c r="AE107" s="47"/>
      <c r="AF107" s="47"/>
      <c r="AG107" s="47"/>
      <c r="AH107" s="47"/>
      <c r="AI107" s="48"/>
      <c r="AJ107" s="48"/>
      <c r="AK107" s="48"/>
      <c r="AL107" s="48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"/>
      <c r="BM107" s="77"/>
      <c r="BN107" s="77"/>
      <c r="BO107" s="77"/>
      <c r="BP107" s="77"/>
      <c r="BQ107" s="78"/>
      <c r="BR107" s="78"/>
      <c r="BU107" s="50"/>
      <c r="BV107" s="50"/>
      <c r="BW107" s="50"/>
      <c r="BX107" s="50"/>
      <c r="BY107" s="50"/>
      <c r="BZ107" s="50"/>
      <c r="CL107" s="50"/>
      <c r="CM107" s="50"/>
      <c r="CN107" s="50"/>
    </row>
    <row r="108" spans="2:92" ht="18.75" hidden="1" thickBot="1" x14ac:dyDescent="0.3">
      <c r="M108" s="28"/>
      <c r="N108" s="28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8"/>
      <c r="AC108" s="47"/>
      <c r="AD108" s="47"/>
      <c r="AE108" s="47"/>
      <c r="AF108" s="47"/>
      <c r="AG108" s="47"/>
      <c r="AH108" s="47"/>
      <c r="AI108" s="48"/>
      <c r="AJ108" s="48"/>
      <c r="AK108" s="48"/>
      <c r="AL108" s="48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"/>
      <c r="BM108" s="77"/>
      <c r="BN108" s="77"/>
      <c r="BO108" s="77"/>
      <c r="BP108" s="77"/>
      <c r="BQ108" s="78"/>
      <c r="BR108" s="78"/>
      <c r="BU108" s="50"/>
      <c r="BV108" s="50"/>
      <c r="BW108" s="50"/>
      <c r="BX108" s="50"/>
      <c r="BY108" s="50"/>
      <c r="BZ108" s="50"/>
      <c r="CL108" s="50"/>
      <c r="CM108" s="50"/>
      <c r="CN108" s="50"/>
    </row>
    <row r="109" spans="2:92" ht="18.75" hidden="1" thickBot="1" x14ac:dyDescent="0.3">
      <c r="M109" s="28"/>
      <c r="N109" s="28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8"/>
      <c r="AC109" s="47"/>
      <c r="AD109" s="47"/>
      <c r="AE109" s="47"/>
      <c r="AF109" s="47"/>
      <c r="AG109" s="47"/>
      <c r="AH109" s="47"/>
      <c r="AI109" s="48"/>
      <c r="AJ109" s="48"/>
      <c r="AK109" s="48"/>
      <c r="AL109" s="48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"/>
      <c r="BM109" s="77"/>
      <c r="BN109" s="77"/>
      <c r="BO109" s="77"/>
      <c r="BP109" s="77"/>
      <c r="BQ109" s="78"/>
      <c r="BR109" s="78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L109" s="50"/>
      <c r="CM109" s="50"/>
      <c r="CN109" s="50"/>
    </row>
    <row r="110" spans="2:92" ht="18.75" hidden="1" thickBot="1" x14ac:dyDescent="0.3">
      <c r="M110" s="28"/>
      <c r="N110" s="28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8"/>
      <c r="AC110" s="47"/>
      <c r="AD110" s="47"/>
      <c r="AE110" s="47"/>
      <c r="AF110" s="47"/>
      <c r="AG110" s="47"/>
      <c r="AH110" s="47"/>
      <c r="AI110" s="48"/>
      <c r="AJ110" s="48"/>
      <c r="AK110" s="48"/>
      <c r="AL110" s="48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"/>
      <c r="BM110" s="77"/>
      <c r="BN110" s="77"/>
      <c r="BO110" s="77"/>
      <c r="BP110" s="77"/>
      <c r="BQ110" s="78"/>
      <c r="BR110" s="78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L110" s="50"/>
      <c r="CM110" s="50"/>
      <c r="CN110" s="50"/>
    </row>
    <row r="111" spans="2:92" ht="18.75" hidden="1" thickBot="1" x14ac:dyDescent="0.3">
      <c r="M111" s="28"/>
      <c r="N111" s="28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8"/>
      <c r="AC111" s="47"/>
      <c r="AD111" s="47"/>
      <c r="AE111" s="47"/>
      <c r="AF111" s="47"/>
      <c r="AG111" s="47"/>
      <c r="AH111" s="47"/>
      <c r="AI111" s="48"/>
      <c r="AJ111" s="48"/>
      <c r="AK111" s="48"/>
      <c r="AL111" s="48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"/>
      <c r="BM111" s="77"/>
      <c r="BN111" s="77"/>
      <c r="BO111" s="77"/>
      <c r="BQ111" s="78"/>
      <c r="BR111" s="78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L111" s="50"/>
      <c r="CM111" s="50"/>
      <c r="CN111" s="50"/>
    </row>
    <row r="112" spans="2:92" ht="18.75" hidden="1" thickBot="1" x14ac:dyDescent="0.3">
      <c r="M112" s="28"/>
      <c r="N112" s="28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8"/>
      <c r="AC112" s="47"/>
      <c r="AD112" s="47"/>
      <c r="AE112" s="47"/>
      <c r="AF112" s="47"/>
      <c r="AG112" s="47"/>
      <c r="AH112" s="47"/>
      <c r="AI112" s="48"/>
      <c r="AJ112" s="48"/>
      <c r="AK112" s="48"/>
      <c r="AL112" s="48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"/>
      <c r="BM112" s="77"/>
      <c r="BN112" s="77"/>
      <c r="BO112" s="77"/>
      <c r="BQ112" s="78"/>
      <c r="BR112" s="78"/>
      <c r="BU112" s="50"/>
      <c r="BV112" s="50"/>
      <c r="BW112" s="50"/>
      <c r="BX112" s="50"/>
      <c r="BY112" s="50"/>
      <c r="BZ112" s="85"/>
      <c r="CA112" s="85"/>
      <c r="CB112" s="85"/>
      <c r="CC112" s="85"/>
      <c r="CD112" s="85"/>
      <c r="CE112" s="85"/>
      <c r="CL112" s="50"/>
      <c r="CM112" s="50"/>
      <c r="CN112" s="50"/>
    </row>
    <row r="113" spans="2:92" ht="18.75" hidden="1" thickBot="1" x14ac:dyDescent="0.3">
      <c r="N113" s="28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8"/>
      <c r="AC113" s="47"/>
      <c r="AD113" s="47"/>
      <c r="AE113" s="47"/>
      <c r="AF113" s="47"/>
      <c r="AG113" s="47"/>
      <c r="AH113" s="47"/>
      <c r="AI113" s="48"/>
      <c r="AJ113" s="48"/>
      <c r="AK113" s="48"/>
      <c r="AL113" s="48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"/>
      <c r="BM113" s="77"/>
      <c r="BN113" s="77"/>
      <c r="BO113" s="77"/>
      <c r="BQ113" s="78"/>
      <c r="BR113" s="78"/>
      <c r="BU113" s="50"/>
      <c r="BV113" s="50"/>
      <c r="BW113" s="50"/>
      <c r="BX113" s="50"/>
      <c r="BY113" s="50"/>
      <c r="BZ113" s="85"/>
      <c r="CA113" s="85"/>
      <c r="CB113" s="85"/>
      <c r="CC113" s="85"/>
      <c r="CD113" s="85"/>
      <c r="CE113" s="85"/>
      <c r="CL113" s="50"/>
      <c r="CM113" s="50"/>
      <c r="CN113" s="50"/>
    </row>
    <row r="114" spans="2:92" ht="18.75" hidden="1" thickBot="1" x14ac:dyDescent="0.3">
      <c r="N114" s="28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8"/>
      <c r="AC114" s="47"/>
      <c r="AD114" s="47"/>
      <c r="AE114" s="47"/>
      <c r="AF114" s="47"/>
      <c r="AG114" s="47"/>
      <c r="AH114" s="47"/>
      <c r="AI114" s="48"/>
      <c r="AJ114" s="48"/>
      <c r="AK114" s="48"/>
      <c r="AL114" s="48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"/>
      <c r="BM114" s="77"/>
      <c r="BN114" s="77"/>
      <c r="BO114" s="77"/>
      <c r="BQ114" s="78"/>
      <c r="BR114" s="78"/>
      <c r="BU114" s="50"/>
      <c r="BV114" s="50"/>
      <c r="BW114" s="50"/>
      <c r="BX114" s="50"/>
      <c r="BY114" s="50"/>
      <c r="BZ114" s="85"/>
      <c r="CA114" s="85"/>
      <c r="CB114" s="85"/>
      <c r="CC114" s="85"/>
      <c r="CD114" s="85"/>
      <c r="CE114" s="85"/>
      <c r="CL114" s="50"/>
      <c r="CM114" s="50"/>
      <c r="CN114" s="50"/>
    </row>
    <row r="115" spans="2:92" ht="18.75" hidden="1" thickBot="1" x14ac:dyDescent="0.3">
      <c r="N115" s="28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8"/>
      <c r="AC115" s="47"/>
      <c r="AD115" s="47"/>
      <c r="AE115" s="47"/>
      <c r="AF115" s="47"/>
      <c r="AG115" s="47"/>
      <c r="AH115" s="47"/>
      <c r="AI115" s="48"/>
      <c r="AJ115" s="48"/>
      <c r="AK115" s="48"/>
      <c r="AL115" s="48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"/>
      <c r="BM115" s="77"/>
      <c r="BN115" s="77"/>
      <c r="BO115" s="77"/>
      <c r="BQ115" s="78"/>
      <c r="BR115" s="78"/>
      <c r="BU115" s="50"/>
      <c r="BV115" s="50"/>
      <c r="BW115" s="50"/>
      <c r="BX115" s="50"/>
      <c r="BY115" s="50"/>
      <c r="BZ115" s="85"/>
      <c r="CA115" s="85"/>
      <c r="CB115" s="85"/>
      <c r="CC115" s="85"/>
      <c r="CD115" s="85"/>
      <c r="CE115" s="85"/>
      <c r="CL115" s="50"/>
      <c r="CM115" s="50"/>
      <c r="CN115" s="50"/>
    </row>
    <row r="116" spans="2:92" ht="18.75" hidden="1" thickBot="1" x14ac:dyDescent="0.3">
      <c r="M116" s="81"/>
      <c r="N116" s="81"/>
      <c r="BO116" s="53"/>
      <c r="BP116" s="53"/>
      <c r="BQ116" s="53"/>
      <c r="BR116" s="53"/>
      <c r="BU116" s="18"/>
      <c r="BV116" s="50"/>
      <c r="BW116" s="18"/>
      <c r="BX116" s="50"/>
      <c r="BY116" s="18"/>
      <c r="BZ116" s="85"/>
      <c r="CA116" s="85"/>
      <c r="CB116" s="85"/>
      <c r="CC116" s="85"/>
      <c r="CD116" s="85"/>
      <c r="CE116" s="85"/>
      <c r="CL116" s="50"/>
      <c r="CM116" s="50"/>
      <c r="CN116" s="50"/>
    </row>
    <row r="117" spans="2:92" ht="18.75" hidden="1" thickBot="1" x14ac:dyDescent="0.3">
      <c r="B117" s="80"/>
      <c r="C117" s="80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BO117" s="53"/>
      <c r="BP117" s="53"/>
      <c r="BQ117" s="53"/>
      <c r="BR117" s="53"/>
      <c r="BU117" s="18"/>
      <c r="BV117" s="50"/>
      <c r="BW117" s="50"/>
      <c r="BX117" s="50"/>
      <c r="BY117" s="18"/>
      <c r="BZ117" s="85"/>
      <c r="CA117" s="85"/>
      <c r="CB117" s="85"/>
      <c r="CC117" s="85"/>
      <c r="CD117" s="85"/>
      <c r="CE117" s="85"/>
      <c r="CL117" s="50"/>
      <c r="CM117" s="50"/>
      <c r="CN117" s="50"/>
    </row>
    <row r="118" spans="2:92" ht="18.75" hidden="1" thickBot="1" x14ac:dyDescent="0.3">
      <c r="BO118" s="86"/>
      <c r="BP118" s="86"/>
      <c r="BQ118" s="86"/>
      <c r="BR118" s="86"/>
      <c r="BU118" s="18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L118" s="55"/>
      <c r="CM118" s="55"/>
      <c r="CN118" s="55"/>
    </row>
    <row r="119" spans="2:92" ht="18.75" hidden="1" thickBot="1" x14ac:dyDescent="0.3">
      <c r="BO119" s="86"/>
      <c r="BP119" s="86"/>
      <c r="BQ119" s="86"/>
      <c r="BR119" s="86"/>
      <c r="BU119" s="18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L119" s="50"/>
      <c r="CM119" s="50"/>
      <c r="CN119" s="50"/>
    </row>
    <row r="120" spans="2:92" ht="18.75" hidden="1" thickBot="1" x14ac:dyDescent="0.3">
      <c r="B120" s="80"/>
      <c r="C120" s="80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BO120" s="86"/>
      <c r="BP120" s="86"/>
      <c r="BQ120" s="86"/>
      <c r="BR120" s="86"/>
      <c r="BU120" s="87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L120" s="88"/>
      <c r="CM120" s="88"/>
      <c r="CN120" s="88"/>
    </row>
    <row r="121" spans="2:92" ht="18.75" hidden="1" thickBot="1" x14ac:dyDescent="0.3">
      <c r="B121" s="80"/>
      <c r="C121" s="80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4"/>
      <c r="BO121" s="86"/>
      <c r="BU121" s="18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L121" s="66"/>
      <c r="CM121" s="66"/>
      <c r="CN121" s="66"/>
    </row>
    <row r="122" spans="2:92" ht="18.75" hidden="1" thickBot="1" x14ac:dyDescent="0.3">
      <c r="B122" s="15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4"/>
      <c r="BO122" s="86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L122" s="50"/>
      <c r="CM122" s="50"/>
      <c r="CN122" s="50"/>
    </row>
    <row r="123" spans="2:92" ht="18.75" hidden="1" thickBot="1" x14ac:dyDescent="0.3">
      <c r="B123" s="89"/>
      <c r="C123" s="89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AB123" s="90"/>
      <c r="AC123" s="90"/>
      <c r="AD123" s="90"/>
      <c r="AE123" s="90"/>
      <c r="AF123" s="90"/>
      <c r="AG123" s="90"/>
      <c r="AH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1"/>
      <c r="BO123" s="86"/>
      <c r="BU123" s="50"/>
      <c r="BV123" s="92"/>
      <c r="BW123" s="92"/>
      <c r="BX123" s="92"/>
      <c r="BY123" s="92"/>
      <c r="BZ123" s="92"/>
      <c r="CA123" s="92"/>
      <c r="CB123" s="18"/>
      <c r="CC123" s="18"/>
      <c r="CD123" s="18"/>
      <c r="CE123" s="18"/>
      <c r="CL123" s="18"/>
      <c r="CM123" s="18"/>
      <c r="CN123" s="18"/>
    </row>
    <row r="124" spans="2:92" ht="48.75" customHeight="1" thickBot="1" x14ac:dyDescent="0.35">
      <c r="B124" s="89"/>
      <c r="D124" s="93" t="str">
        <f>IF(BT88&gt;0," ","change the angle of frame or of cabinets")</f>
        <v xml:space="preserve"> </v>
      </c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7"/>
      <c r="AD124" s="17"/>
      <c r="AE124" s="17"/>
      <c r="AF124" s="17"/>
      <c r="AG124" s="17"/>
      <c r="AH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4"/>
      <c r="BO124" s="86"/>
      <c r="BU124" s="50"/>
      <c r="BV124" s="92"/>
      <c r="BW124" s="92"/>
      <c r="BX124" s="92"/>
      <c r="BY124" s="92"/>
      <c r="BZ124" s="92"/>
      <c r="CA124" s="92"/>
      <c r="CB124" s="50"/>
      <c r="CC124" s="50"/>
      <c r="CD124" s="50"/>
      <c r="CE124" s="50"/>
      <c r="CL124" s="50"/>
      <c r="CM124" s="50"/>
      <c r="CN124" s="92"/>
    </row>
    <row r="125" spans="2:92" ht="48.75" customHeight="1" thickBot="1" x14ac:dyDescent="0.35">
      <c r="B125" s="751" t="s">
        <v>117</v>
      </c>
      <c r="D125" s="93" t="str">
        <f>IF(DN88&lt;0," ","change the angle of frame or of cabinets")</f>
        <v xml:space="preserve"> </v>
      </c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95"/>
      <c r="AD125" s="95"/>
      <c r="AE125" s="95"/>
      <c r="AF125" s="95"/>
      <c r="AG125" s="95"/>
      <c r="AH125" s="95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96"/>
      <c r="BO125" s="86"/>
    </row>
    <row r="126" spans="2:92" ht="48.75" customHeight="1" thickBot="1" x14ac:dyDescent="0.35">
      <c r="B126" s="752"/>
      <c r="C126" s="553"/>
      <c r="D126" s="554" t="str">
        <f>IF(BT88&gt;(+COS(($B$127*-1)*3.14159265358979/180)*318.75)," ","USE EXBAR TR AT THE FRONT")</f>
        <v xml:space="preserve"> </v>
      </c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4"/>
      <c r="BO126" s="86"/>
    </row>
    <row r="127" spans="2:92" ht="48.75" customHeight="1" thickBot="1" x14ac:dyDescent="0.45">
      <c r="B127" s="503">
        <v>0</v>
      </c>
      <c r="C127" s="553"/>
      <c r="D127" s="568" t="str">
        <f>IF(DN88&lt;-(+COS(($B$127*-1)*3.14159265358979/180)*318.75)," ","USE EXBAR TR AT THE BACK")</f>
        <v xml:space="preserve"> </v>
      </c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4"/>
      <c r="BO127" s="86"/>
    </row>
    <row r="128" spans="2:92" ht="18.75" thickBot="1" x14ac:dyDescent="0.3">
      <c r="AD128" s="760" t="s">
        <v>142</v>
      </c>
      <c r="AE128" s="760"/>
      <c r="AF128" s="760"/>
      <c r="AG128" s="760"/>
      <c r="AH128" s="760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4"/>
      <c r="BO128" s="86"/>
    </row>
    <row r="129" spans="1:70" ht="61.5" customHeight="1" thickBot="1" x14ac:dyDescent="0.3">
      <c r="B129" s="533" t="s">
        <v>37</v>
      </c>
      <c r="C129" s="98"/>
      <c r="D129" s="99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2"/>
      <c r="AA129" s="102">
        <f>SUM(AC133:AC156)/B130</f>
        <v>89</v>
      </c>
      <c r="AB129" s="103"/>
      <c r="AC129" s="104"/>
      <c r="AD129" s="511" t="s">
        <v>154</v>
      </c>
      <c r="AE129" s="512" t="s">
        <v>143</v>
      </c>
      <c r="AF129" s="511" t="s">
        <v>155</v>
      </c>
      <c r="AG129" s="513" t="s">
        <v>144</v>
      </c>
      <c r="AH129" s="513" t="s">
        <v>145</v>
      </c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53"/>
      <c r="BK129" s="105"/>
      <c r="BL129" s="105"/>
      <c r="BM129" s="105"/>
      <c r="BN129" s="105"/>
      <c r="BO129" s="86"/>
    </row>
    <row r="130" spans="1:70" ht="27" thickBot="1" x14ac:dyDescent="0.45">
      <c r="B130" s="504">
        <v>1</v>
      </c>
      <c r="C130" s="106"/>
      <c r="D130" s="97" t="s">
        <v>96</v>
      </c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8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10"/>
      <c r="AA130" s="111"/>
      <c r="AB130" s="56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753" t="s">
        <v>54</v>
      </c>
      <c r="BI130" s="754"/>
      <c r="BJ130" s="113"/>
      <c r="BK130" s="114"/>
      <c r="BL130" s="259" t="s">
        <v>92</v>
      </c>
      <c r="BM130" s="260"/>
      <c r="BN130" s="547" t="s">
        <v>162</v>
      </c>
      <c r="BO130" s="260"/>
      <c r="BP130" s="260"/>
      <c r="BQ130" s="260"/>
      <c r="BR130" s="260"/>
    </row>
    <row r="131" spans="1:70" ht="18.75" hidden="1" thickBot="1" x14ac:dyDescent="0.3">
      <c r="B131" s="115"/>
      <c r="C131" s="115"/>
      <c r="D131" s="116" t="s">
        <v>13</v>
      </c>
      <c r="E131" s="16"/>
      <c r="F131" s="16"/>
      <c r="G131" s="16"/>
      <c r="H131" s="16"/>
      <c r="I131" s="16"/>
      <c r="J131" s="16"/>
      <c r="K131" s="16"/>
      <c r="L131" s="16"/>
      <c r="M131" s="117" t="s">
        <v>108</v>
      </c>
      <c r="N131" s="16"/>
      <c r="O131" s="118" t="s">
        <v>4</v>
      </c>
      <c r="P131" s="118" t="s">
        <v>1</v>
      </c>
      <c r="Q131" s="101" t="s">
        <v>0</v>
      </c>
      <c r="R131" s="101" t="s">
        <v>2</v>
      </c>
      <c r="S131" s="101" t="s">
        <v>3</v>
      </c>
      <c r="T131" s="101" t="s">
        <v>8</v>
      </c>
      <c r="U131" s="101" t="s">
        <v>5</v>
      </c>
      <c r="V131" s="101" t="s">
        <v>6</v>
      </c>
      <c r="W131" s="101" t="s">
        <v>7</v>
      </c>
      <c r="X131" s="101" t="s">
        <v>9</v>
      </c>
      <c r="Y131" s="119" t="s">
        <v>10</v>
      </c>
      <c r="Z131" s="101" t="s">
        <v>11</v>
      </c>
      <c r="AA131" s="120" t="s">
        <v>12</v>
      </c>
      <c r="AB131" s="45"/>
      <c r="AC131" s="121"/>
      <c r="AD131" s="121"/>
      <c r="AE131" s="121"/>
      <c r="AF131" s="121"/>
      <c r="AG131" s="121"/>
      <c r="AH131" s="121"/>
      <c r="AI131" s="121"/>
      <c r="AJ131" s="526" t="s">
        <v>148</v>
      </c>
      <c r="AK131" s="526"/>
      <c r="AL131" s="526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 t="s">
        <v>132</v>
      </c>
      <c r="BC131" s="121"/>
      <c r="BD131" s="121"/>
      <c r="BE131" s="121"/>
      <c r="BF131" s="122"/>
      <c r="BG131" s="121"/>
      <c r="BH131" s="121"/>
      <c r="BI131" s="121"/>
      <c r="BJ131" s="123"/>
      <c r="BK131" s="124"/>
      <c r="BL131" s="261">
        <v>-13</v>
      </c>
      <c r="BM131" s="546">
        <v>-331.5</v>
      </c>
      <c r="BN131" s="540">
        <f>+COS(($B$127*-1)*3.14159265358979/180)*BM131</f>
        <v>-331.5</v>
      </c>
      <c r="BO131" s="548">
        <f>+BN131-D$9</f>
        <v>-420.66986714566798</v>
      </c>
      <c r="BP131" s="262">
        <f t="shared" ref="BP131:BP173" si="10">ABS(BO131)</f>
        <v>420.66986714566798</v>
      </c>
      <c r="BQ131" s="262">
        <f t="shared" ref="BQ131:BQ173" si="11">MIN($BP$131:$BP$173)</f>
        <v>12.669867145667965</v>
      </c>
      <c r="BR131" s="262" t="b">
        <f t="shared" ref="BR131:BR173" si="12">IF(BQ131=BP131,BL131)</f>
        <v>0</v>
      </c>
    </row>
    <row r="132" spans="1:70" ht="46.5" customHeight="1" thickBot="1" x14ac:dyDescent="0.3">
      <c r="B132" s="125"/>
      <c r="C132" s="126"/>
      <c r="D132" s="534" t="s">
        <v>23</v>
      </c>
      <c r="E132" s="747" t="s">
        <v>139</v>
      </c>
      <c r="F132" s="748"/>
      <c r="G132" s="748"/>
      <c r="H132" s="748"/>
      <c r="I132" s="748"/>
      <c r="J132" s="748"/>
      <c r="K132" s="749"/>
      <c r="L132" s="127"/>
      <c r="M132" s="127" t="s">
        <v>51</v>
      </c>
      <c r="N132" s="128"/>
      <c r="O132" s="129"/>
      <c r="P132" s="130"/>
      <c r="Q132" s="131"/>
      <c r="R132" s="131"/>
      <c r="S132" s="131"/>
      <c r="T132" s="131"/>
      <c r="U132" s="131"/>
      <c r="V132" s="131"/>
      <c r="W132" s="131"/>
      <c r="X132" s="131"/>
      <c r="Y132" s="132"/>
      <c r="Z132" s="131"/>
      <c r="AA132" s="133"/>
      <c r="AB132" s="131"/>
      <c r="AC132" s="134"/>
      <c r="AD132" s="134"/>
      <c r="AE132" s="134"/>
      <c r="AF132" s="134"/>
      <c r="AG132" s="134"/>
      <c r="AH132" s="134"/>
      <c r="AI132" s="134"/>
      <c r="AJ132" s="516">
        <f>SUM(AJ133:AJ156)</f>
        <v>89</v>
      </c>
      <c r="AK132" s="516"/>
      <c r="AL132" s="516"/>
      <c r="AM132" s="135" t="s">
        <v>46</v>
      </c>
      <c r="AN132" s="135"/>
      <c r="AO132" s="135" t="s">
        <v>39</v>
      </c>
      <c r="AP132" s="136"/>
      <c r="AQ132" s="137" t="s">
        <v>98</v>
      </c>
      <c r="AR132" s="138" t="s">
        <v>40</v>
      </c>
      <c r="AS132" s="139" t="s">
        <v>41</v>
      </c>
      <c r="AT132" s="137" t="s">
        <v>99</v>
      </c>
      <c r="AU132" s="135" t="s">
        <v>42</v>
      </c>
      <c r="AV132" s="139" t="s">
        <v>43</v>
      </c>
      <c r="AW132" s="135" t="s">
        <v>53</v>
      </c>
      <c r="AX132" s="140" t="s">
        <v>44</v>
      </c>
      <c r="AY132" s="135" t="s">
        <v>130</v>
      </c>
      <c r="AZ132" s="135" t="s">
        <v>45</v>
      </c>
      <c r="BA132" s="135" t="s">
        <v>47</v>
      </c>
      <c r="BB132" s="135" t="s">
        <v>131</v>
      </c>
      <c r="BC132" s="135"/>
      <c r="BD132" s="141" t="s">
        <v>49</v>
      </c>
      <c r="BE132" s="141" t="s">
        <v>50</v>
      </c>
      <c r="BF132" s="142" t="s">
        <v>24</v>
      </c>
      <c r="BG132" s="142" t="s">
        <v>25</v>
      </c>
      <c r="BH132" s="143" t="s">
        <v>24</v>
      </c>
      <c r="BI132" s="143" t="s">
        <v>25</v>
      </c>
      <c r="BJ132" s="14"/>
      <c r="BK132" s="124"/>
      <c r="BL132" s="261">
        <v>-12</v>
      </c>
      <c r="BM132" s="546">
        <f t="shared" ref="BM132:BM173" si="13">+BM131+25.5</f>
        <v>-306</v>
      </c>
      <c r="BN132" s="540">
        <f>+BN131+$E$8</f>
        <v>-306</v>
      </c>
      <c r="BO132" s="548">
        <f t="shared" ref="BO132:BO173" si="14">+BN132-D$9</f>
        <v>-395.16986714566798</v>
      </c>
      <c r="BP132" s="262">
        <f t="shared" si="10"/>
        <v>395.16986714566798</v>
      </c>
      <c r="BQ132" s="262">
        <f t="shared" si="11"/>
        <v>12.669867145667965</v>
      </c>
      <c r="BR132" s="262" t="b">
        <f t="shared" si="12"/>
        <v>0</v>
      </c>
    </row>
    <row r="133" spans="1:70" ht="18.75" thickBot="1" x14ac:dyDescent="0.3">
      <c r="B133" s="144">
        <v>1</v>
      </c>
      <c r="C133" s="145">
        <f>+(B127*-1)+D133</f>
        <v>0</v>
      </c>
      <c r="D133" s="505">
        <v>0</v>
      </c>
      <c r="E133" s="146">
        <v>-6</v>
      </c>
      <c r="F133" s="147">
        <v>-4</v>
      </c>
      <c r="G133" s="147">
        <v>-2</v>
      </c>
      <c r="H133" s="147">
        <v>0</v>
      </c>
      <c r="I133" s="147">
        <v>2</v>
      </c>
      <c r="J133" s="147">
        <v>4</v>
      </c>
      <c r="K133" s="148">
        <v>6</v>
      </c>
      <c r="L133" s="149" t="s">
        <v>105</v>
      </c>
      <c r="M133" s="150">
        <f>+N133</f>
        <v>0</v>
      </c>
      <c r="N133" s="151">
        <f>+D133</f>
        <v>0</v>
      </c>
      <c r="O133" s="152">
        <v>118.90260000000001</v>
      </c>
      <c r="P133" s="152">
        <v>83.076694799999999</v>
      </c>
      <c r="Q133" s="153">
        <f>+P133-C133</f>
        <v>83.076694799999999</v>
      </c>
      <c r="R133" s="153">
        <f>+Q133/2</f>
        <v>41.538347399999999</v>
      </c>
      <c r="S133" s="153">
        <f t="shared" ref="S133:S156" si="15">SIN(R133*3.14159265358979/180)</f>
        <v>0.66312116713723779</v>
      </c>
      <c r="T133" s="153">
        <f t="shared" ref="T133:T156" si="16">+S133*O133</f>
        <v>78.846830887652132</v>
      </c>
      <c r="U133" s="153">
        <f t="shared" ref="U133:U156" si="17">+T133*2</f>
        <v>157.69366177530426</v>
      </c>
      <c r="V133" s="153">
        <f>+C133/2</f>
        <v>0</v>
      </c>
      <c r="W133" s="153">
        <f t="shared" ref="W133:W156" si="18">SIN(V133*3.14159265358979/180)</f>
        <v>0</v>
      </c>
      <c r="X133" s="153">
        <f t="shared" ref="X133:X156" si="19">+W133*U133</f>
        <v>0</v>
      </c>
      <c r="Y133" s="154">
        <v>89</v>
      </c>
      <c r="Z133" s="153">
        <f>+Y133+X133</f>
        <v>89</v>
      </c>
      <c r="AA133" s="155">
        <f t="shared" ref="AA133:AA156" si="20">+Z133</f>
        <v>89</v>
      </c>
      <c r="AB133" s="17"/>
      <c r="AC133" s="156">
        <f t="shared" ref="AC133:AC156" si="21">IF(B133&lt;($B$130+1),AA133,0)</f>
        <v>89</v>
      </c>
      <c r="AD133" s="156">
        <v>41.538347100000003</v>
      </c>
      <c r="AE133" s="513">
        <f>+AD133+AP158</f>
        <v>41.538347100000003</v>
      </c>
      <c r="AF133" s="511">
        <v>118.90260000000001</v>
      </c>
      <c r="AG133" s="520">
        <f>+COS(AE133*3.14159265358979/180)*AF133</f>
        <v>89.000031568644516</v>
      </c>
      <c r="AH133" s="521">
        <f>+AJ132-AG133</f>
        <v>-3.1568644516255517E-5</v>
      </c>
      <c r="AI133" s="527" t="str">
        <f t="shared" ref="AI133:AI156" si="22">IF(BG133&lt;0,"pin in groundstacking hole"," ")</f>
        <v xml:space="preserve"> </v>
      </c>
      <c r="AJ133" s="29">
        <f>IF(AK133=1,AM133)</f>
        <v>89</v>
      </c>
      <c r="AK133" s="29">
        <f>MAX(AL$133:AL$156)</f>
        <v>1</v>
      </c>
      <c r="AL133" s="29">
        <f>IF(AC133=0,0,1)</f>
        <v>1</v>
      </c>
      <c r="AM133" s="157">
        <f>SUM(AC133:AC156)/($B$130)</f>
        <v>89</v>
      </c>
      <c r="AN133" s="157"/>
      <c r="AO133" s="158">
        <f>C133</f>
        <v>0</v>
      </c>
      <c r="AP133" s="159">
        <f>IF(B133&lt;($B$130+1),AO133)</f>
        <v>0</v>
      </c>
      <c r="AQ133" s="160">
        <f>70.6301791-AO133</f>
        <v>70.630179100000007</v>
      </c>
      <c r="AR133" s="161">
        <f t="shared" ref="AR133:AR156" si="23">SIN(AQ133*3.14159265358979/180)</f>
        <v>0.94339748455555306</v>
      </c>
      <c r="AS133" s="162">
        <f>+AR133*132.9087</f>
        <v>125.38573325554864</v>
      </c>
      <c r="AT133" s="160">
        <f>48.461653+AO133</f>
        <v>48.461652999999998</v>
      </c>
      <c r="AU133" s="163">
        <f>SIN(AT133*3.14159265358979/180)</f>
        <v>0.74851207380038831</v>
      </c>
      <c r="AV133" s="162">
        <f>+AU133*118.9026</f>
        <v>89.000031706258056</v>
      </c>
      <c r="AW133" s="164">
        <f>+((AM133*AX133)+($AN$166*$AX$166)+($AX$187*$AN$187))/AY133</f>
        <v>113.16986710643214</v>
      </c>
      <c r="AX133" s="165">
        <f>9.9*B130</f>
        <v>9.9</v>
      </c>
      <c r="AY133" s="164">
        <f>+AX133+$AX$187+$AX$166+6+6</f>
        <v>51.8</v>
      </c>
      <c r="AZ133" s="166">
        <f>+AV133+AS133</f>
        <v>214.3857649618067</v>
      </c>
      <c r="BA133" s="167">
        <f>+AC133-AV133</f>
        <v>-3.1706258056374281E-5</v>
      </c>
      <c r="BB133" s="168">
        <f>+AW133-BA133</f>
        <v>113.16989881269019</v>
      </c>
      <c r="BC133" s="167"/>
      <c r="BD133" s="169">
        <f>+((AZ133-BB133)/AZ133)*AY133</f>
        <v>24.455830206162631</v>
      </c>
      <c r="BE133" s="169">
        <f>+(BB133/AZ133)*AY133</f>
        <v>27.344169793837363</v>
      </c>
      <c r="BF133" s="170">
        <f>2*$C$24/BD133</f>
        <v>327.12036077123554</v>
      </c>
      <c r="BG133" s="170">
        <f>$D$24/BE133</f>
        <v>160.9118153220231</v>
      </c>
      <c r="BH133" s="171">
        <f>ABS(BF133)</f>
        <v>327.12036077123554</v>
      </c>
      <c r="BI133" s="171">
        <f>ABS(BG133)</f>
        <v>160.9118153220231</v>
      </c>
      <c r="BJ133" s="172" t="s">
        <v>77</v>
      </c>
      <c r="BK133" s="173"/>
      <c r="BL133" s="261">
        <v>-11</v>
      </c>
      <c r="BM133" s="546">
        <f t="shared" si="13"/>
        <v>-280.5</v>
      </c>
      <c r="BN133" s="540">
        <f t="shared" ref="BN133:BN173" si="24">+BN132+$E$8</f>
        <v>-280.5</v>
      </c>
      <c r="BO133" s="548">
        <f t="shared" si="14"/>
        <v>-369.66986714566798</v>
      </c>
      <c r="BP133" s="262">
        <f t="shared" si="10"/>
        <v>369.66986714566798</v>
      </c>
      <c r="BQ133" s="262">
        <f t="shared" si="11"/>
        <v>12.669867145667965</v>
      </c>
      <c r="BR133" s="262" t="b">
        <f t="shared" si="12"/>
        <v>0</v>
      </c>
    </row>
    <row r="134" spans="1:70" ht="18.75" thickBot="1" x14ac:dyDescent="0.3">
      <c r="B134" s="174">
        <v>2</v>
      </c>
      <c r="C134" s="175"/>
      <c r="D134" s="505">
        <v>0</v>
      </c>
      <c r="E134" s="146">
        <v>0</v>
      </c>
      <c r="F134" s="147">
        <v>1</v>
      </c>
      <c r="G134" s="147" t="e">
        <f>IF(AI134="pin in groundstacking hole",4,3)</f>
        <v>#DIV/0!</v>
      </c>
      <c r="H134" s="147">
        <v>5</v>
      </c>
      <c r="I134" s="147" t="e">
        <f>IF(AI134="pin in groundstacking hole","",7)</f>
        <v>#DIV/0!</v>
      </c>
      <c r="J134" s="147">
        <v>9</v>
      </c>
      <c r="K134" s="148">
        <v>12</v>
      </c>
      <c r="L134" s="149" t="s">
        <v>106</v>
      </c>
      <c r="M134" s="150" t="e">
        <f t="shared" ref="M134:M156" si="25">+N134</f>
        <v>#DIV/0!</v>
      </c>
      <c r="N134" s="150" t="e">
        <f>+D134+BJ134</f>
        <v>#DIV/0!</v>
      </c>
      <c r="O134" s="152">
        <v>118.90260000000001</v>
      </c>
      <c r="P134" s="152">
        <v>83.076694799999999</v>
      </c>
      <c r="Q134" s="153">
        <f t="shared" ref="Q134:Q156" si="26">+P134-D134</f>
        <v>83.076694799999999</v>
      </c>
      <c r="R134" s="153">
        <f t="shared" ref="R134:R156" si="27">+Q134/2</f>
        <v>41.538347399999999</v>
      </c>
      <c r="S134" s="153">
        <f t="shared" si="15"/>
        <v>0.66312116713723779</v>
      </c>
      <c r="T134" s="153">
        <f t="shared" si="16"/>
        <v>78.846830887652132</v>
      </c>
      <c r="U134" s="153">
        <f t="shared" si="17"/>
        <v>157.69366177530426</v>
      </c>
      <c r="V134" s="153">
        <f>+C133+(D134/2)</f>
        <v>0</v>
      </c>
      <c r="W134" s="153">
        <f t="shared" si="18"/>
        <v>0</v>
      </c>
      <c r="X134" s="153">
        <f t="shared" si="19"/>
        <v>0</v>
      </c>
      <c r="Y134" s="153">
        <f t="shared" ref="Y134:Y156" si="28">+AA133</f>
        <v>89</v>
      </c>
      <c r="Z134" s="153">
        <f>+Y134+X134</f>
        <v>89</v>
      </c>
      <c r="AA134" s="155">
        <f t="shared" si="20"/>
        <v>89</v>
      </c>
      <c r="AB134" s="17"/>
      <c r="AC134" s="156">
        <f t="shared" si="21"/>
        <v>0</v>
      </c>
      <c r="AD134" s="156"/>
      <c r="AE134" s="156"/>
      <c r="AF134" s="156"/>
      <c r="AG134" s="156"/>
      <c r="AH134" s="156"/>
      <c r="AI134" s="528" t="e">
        <f t="shared" si="22"/>
        <v>#DIV/0!</v>
      </c>
      <c r="AJ134" s="29" t="b">
        <f>IF(AK134=2,AM134)</f>
        <v>0</v>
      </c>
      <c r="AK134" s="29">
        <f t="shared" ref="AK134:AK156" si="29">MAX(AL$133:AL$156)</f>
        <v>1</v>
      </c>
      <c r="AL134" s="29">
        <f>IF(AC134=0,0,2)</f>
        <v>0</v>
      </c>
      <c r="AM134" s="156" t="e">
        <f>SUM(AC134:AC156)/($B$130-B133)</f>
        <v>#DIV/0!</v>
      </c>
      <c r="AN134" s="156"/>
      <c r="AO134" s="177">
        <f>SUM(D134)+$C$133</f>
        <v>0</v>
      </c>
      <c r="AP134" s="159" t="b">
        <f t="shared" ref="AP134:AP156" si="30">IF(B134&lt;($B$130+1),AO134)</f>
        <v>0</v>
      </c>
      <c r="AQ134" s="160">
        <f t="shared" ref="AQ134:AQ156" si="31">70.6301791-AO134</f>
        <v>70.630179100000007</v>
      </c>
      <c r="AR134" s="178">
        <f t="shared" si="23"/>
        <v>0.94339748455555306</v>
      </c>
      <c r="AS134" s="162">
        <f t="shared" ref="AS134:AS156" si="32">+AR134*132.9087</f>
        <v>125.38573325554864</v>
      </c>
      <c r="AT134" s="160">
        <f t="shared" ref="AT134:AT156" si="33">48.461653+AO134</f>
        <v>48.461652999999998</v>
      </c>
      <c r="AU134" s="179">
        <f t="shared" ref="AU134:AU156" si="34">SIN(AT134*3.14159265358979/180)</f>
        <v>0.74851207380038831</v>
      </c>
      <c r="AV134" s="162">
        <f t="shared" ref="AV134:AV156" si="35">+AU134*118.9026</f>
        <v>89.000031706258056</v>
      </c>
      <c r="AW134" s="164" t="e">
        <f t="shared" ref="AW134:AW156" si="36">+((AM134*AX134)+($AN$166*$AX$166)+($AX$187*$AN$187))/AY134</f>
        <v>#DIV/0!</v>
      </c>
      <c r="AX134" s="162">
        <f>9.9*($B$130-B133)</f>
        <v>0</v>
      </c>
      <c r="AY134" s="164">
        <f t="shared" ref="AY134:AY156" si="37">+AX134+$AX$187+$AX$166+6+6</f>
        <v>41.9</v>
      </c>
      <c r="AZ134" s="181">
        <f t="shared" ref="AZ134:AZ156" si="38">+AV134+AS134</f>
        <v>214.3857649618067</v>
      </c>
      <c r="BA134" s="182">
        <f>+AC134-AV134</f>
        <v>-89.000031706258056</v>
      </c>
      <c r="BB134" s="183" t="e">
        <f t="shared" ref="BB134:BB156" si="39">+AW134-BA134</f>
        <v>#DIV/0!</v>
      </c>
      <c r="BC134" s="182"/>
      <c r="BD134" s="184" t="e">
        <f t="shared" ref="BD134:BD156" si="40">+((AZ134-BB134)/AZ134)*AY134</f>
        <v>#DIV/0!</v>
      </c>
      <c r="BE134" s="184" t="e">
        <f t="shared" ref="BE134:BE156" si="41">+(BB134/AZ134)*AY134</f>
        <v>#DIV/0!</v>
      </c>
      <c r="BF134" s="170" t="e">
        <f t="shared" ref="BF134:BF156" si="42">2*$C$24/BD134</f>
        <v>#DIV/0!</v>
      </c>
      <c r="BG134" s="170" t="e">
        <f t="shared" ref="BG134:BG156" si="43">$D$24/BE134</f>
        <v>#DIV/0!</v>
      </c>
      <c r="BH134" s="171" t="e">
        <f t="shared" ref="BH134:BI156" si="44">ABS(BF134)</f>
        <v>#DIV/0!</v>
      </c>
      <c r="BI134" s="171" t="e">
        <f t="shared" si="44"/>
        <v>#DIV/0!</v>
      </c>
      <c r="BJ134" s="2" t="e">
        <f t="shared" ref="BJ134:BJ156" si="45">IF(BG134&lt;0,0.3,0)</f>
        <v>#DIV/0!</v>
      </c>
      <c r="BL134" s="261">
        <v>-10</v>
      </c>
      <c r="BM134" s="546">
        <f t="shared" si="13"/>
        <v>-255</v>
      </c>
      <c r="BN134" s="540">
        <f t="shared" si="24"/>
        <v>-255</v>
      </c>
      <c r="BO134" s="548">
        <f t="shared" si="14"/>
        <v>-344.16986714566798</v>
      </c>
      <c r="BP134" s="262">
        <f t="shared" si="10"/>
        <v>344.16986714566798</v>
      </c>
      <c r="BQ134" s="262">
        <f t="shared" si="11"/>
        <v>12.669867145667965</v>
      </c>
      <c r="BR134" s="262" t="b">
        <f t="shared" si="12"/>
        <v>0</v>
      </c>
    </row>
    <row r="135" spans="1:70" ht="18.75" thickBot="1" x14ac:dyDescent="0.3">
      <c r="B135" s="174">
        <v>3</v>
      </c>
      <c r="C135" s="175"/>
      <c r="D135" s="505">
        <v>0</v>
      </c>
      <c r="E135" s="146">
        <v>0</v>
      </c>
      <c r="F135" s="147">
        <v>1</v>
      </c>
      <c r="G135" s="147">
        <f>IF(AI135="pin in groundstacking hole",4,3)</f>
        <v>3</v>
      </c>
      <c r="H135" s="147">
        <v>5</v>
      </c>
      <c r="I135" s="147">
        <f>IF(AI135="pin in groundstacking hole","",7)</f>
        <v>7</v>
      </c>
      <c r="J135" s="147">
        <v>9</v>
      </c>
      <c r="K135" s="148">
        <v>12</v>
      </c>
      <c r="L135" s="150" t="s">
        <v>65</v>
      </c>
      <c r="M135" s="150">
        <f t="shared" si="25"/>
        <v>0</v>
      </c>
      <c r="N135" s="150">
        <f>+D135+BJ135</f>
        <v>0</v>
      </c>
      <c r="O135" s="152">
        <v>118.90260000000001</v>
      </c>
      <c r="P135" s="152">
        <v>83.076694799999999</v>
      </c>
      <c r="Q135" s="153">
        <f t="shared" si="26"/>
        <v>83.076694799999999</v>
      </c>
      <c r="R135" s="153">
        <f t="shared" si="27"/>
        <v>41.538347399999999</v>
      </c>
      <c r="S135" s="153">
        <f t="shared" si="15"/>
        <v>0.66312116713723779</v>
      </c>
      <c r="T135" s="153">
        <f t="shared" si="16"/>
        <v>78.846830887652132</v>
      </c>
      <c r="U135" s="153">
        <f t="shared" si="17"/>
        <v>157.69366177530426</v>
      </c>
      <c r="V135" s="153">
        <f>+C133+D134+(D135/2)</f>
        <v>0</v>
      </c>
      <c r="W135" s="153">
        <f t="shared" si="18"/>
        <v>0</v>
      </c>
      <c r="X135" s="153">
        <f t="shared" si="19"/>
        <v>0</v>
      </c>
      <c r="Y135" s="153">
        <f t="shared" si="28"/>
        <v>89</v>
      </c>
      <c r="Z135" s="153">
        <f t="shared" ref="Z135:Z156" si="46">+Z134+X135</f>
        <v>89</v>
      </c>
      <c r="AA135" s="155">
        <f t="shared" si="20"/>
        <v>89</v>
      </c>
      <c r="AB135" s="17"/>
      <c r="AC135" s="156">
        <f t="shared" si="21"/>
        <v>0</v>
      </c>
      <c r="AD135" s="156"/>
      <c r="AE135" s="156"/>
      <c r="AF135" s="156"/>
      <c r="AG135" s="156"/>
      <c r="AH135" s="156"/>
      <c r="AI135" s="528" t="str">
        <f t="shared" si="22"/>
        <v xml:space="preserve"> </v>
      </c>
      <c r="AJ135" s="29" t="b">
        <f>IF(AK135=3,AM135)</f>
        <v>0</v>
      </c>
      <c r="AK135" s="29">
        <f t="shared" si="29"/>
        <v>1</v>
      </c>
      <c r="AL135" s="29">
        <f>IF(AC135=0,0,3)</f>
        <v>0</v>
      </c>
      <c r="AM135" s="156">
        <f>SUM(AC135:AC156)/($B$130-B134)</f>
        <v>0</v>
      </c>
      <c r="AN135" s="156"/>
      <c r="AO135" s="177">
        <f>SUM(D134:D135)+$C$133</f>
        <v>0</v>
      </c>
      <c r="AP135" s="159" t="b">
        <f t="shared" si="30"/>
        <v>0</v>
      </c>
      <c r="AQ135" s="160">
        <f t="shared" si="31"/>
        <v>70.630179100000007</v>
      </c>
      <c r="AR135" s="178">
        <f t="shared" si="23"/>
        <v>0.94339748455555306</v>
      </c>
      <c r="AS135" s="162">
        <f t="shared" si="32"/>
        <v>125.38573325554864</v>
      </c>
      <c r="AT135" s="160">
        <f t="shared" si="33"/>
        <v>48.461652999999998</v>
      </c>
      <c r="AU135" s="179">
        <f t="shared" si="34"/>
        <v>0.74851207380038831</v>
      </c>
      <c r="AV135" s="162">
        <f t="shared" si="35"/>
        <v>89.000031706258056</v>
      </c>
      <c r="AW135" s="164">
        <f t="shared" si="36"/>
        <v>155.65934737853701</v>
      </c>
      <c r="AX135" s="162">
        <f t="shared" ref="AX135:AX156" si="47">9.9*($B$130-B134)</f>
        <v>-9.9</v>
      </c>
      <c r="AY135" s="164">
        <f t="shared" si="37"/>
        <v>32</v>
      </c>
      <c r="AZ135" s="181">
        <f t="shared" si="38"/>
        <v>214.3857649618067</v>
      </c>
      <c r="BA135" s="182">
        <f>+AC135-AV135</f>
        <v>-89.000031706258056</v>
      </c>
      <c r="BB135" s="183">
        <f t="shared" si="39"/>
        <v>244.65937908479506</v>
      </c>
      <c r="BC135" s="182"/>
      <c r="BD135" s="184">
        <f t="shared" si="40"/>
        <v>-4.5187498904519785</v>
      </c>
      <c r="BE135" s="184">
        <f t="shared" si="41"/>
        <v>36.518749890451979</v>
      </c>
      <c r="BF135" s="170">
        <f t="shared" si="42"/>
        <v>-1770.4011494205131</v>
      </c>
      <c r="BG135" s="170">
        <f t="shared" si="43"/>
        <v>120.48605204720886</v>
      </c>
      <c r="BH135" s="171">
        <f t="shared" si="44"/>
        <v>1770.4011494205131</v>
      </c>
      <c r="BI135" s="171">
        <f t="shared" si="44"/>
        <v>120.48605204720886</v>
      </c>
      <c r="BJ135" s="2">
        <f t="shared" si="45"/>
        <v>0</v>
      </c>
      <c r="BL135" s="261">
        <v>-9</v>
      </c>
      <c r="BM135" s="546">
        <f t="shared" si="13"/>
        <v>-229.5</v>
      </c>
      <c r="BN135" s="540">
        <f t="shared" si="24"/>
        <v>-229.5</v>
      </c>
      <c r="BO135" s="548">
        <f t="shared" si="14"/>
        <v>-318.66986714566798</v>
      </c>
      <c r="BP135" s="262">
        <f t="shared" si="10"/>
        <v>318.66986714566798</v>
      </c>
      <c r="BQ135" s="262">
        <f t="shared" si="11"/>
        <v>12.669867145667965</v>
      </c>
      <c r="BR135" s="262" t="b">
        <f t="shared" si="12"/>
        <v>0</v>
      </c>
    </row>
    <row r="136" spans="1:70" ht="18.75" thickBot="1" x14ac:dyDescent="0.3">
      <c r="B136" s="174">
        <v>4</v>
      </c>
      <c r="C136" s="175"/>
      <c r="D136" s="505">
        <v>0</v>
      </c>
      <c r="E136" s="146">
        <v>0</v>
      </c>
      <c r="F136" s="147">
        <v>1</v>
      </c>
      <c r="G136" s="147">
        <f>IF(AI136="pin in groundstacking hole",4,3)</f>
        <v>3</v>
      </c>
      <c r="H136" s="147">
        <v>5</v>
      </c>
      <c r="I136" s="147">
        <f>IF(AI136="pin in groundstacking hole","",7)</f>
        <v>7</v>
      </c>
      <c r="J136" s="147">
        <v>9</v>
      </c>
      <c r="K136" s="148">
        <v>12</v>
      </c>
      <c r="L136" s="150" t="s">
        <v>65</v>
      </c>
      <c r="M136" s="150">
        <f t="shared" si="25"/>
        <v>0</v>
      </c>
      <c r="N136" s="150">
        <f>+D136+BJ136</f>
        <v>0</v>
      </c>
      <c r="O136" s="152">
        <v>118.90260000000001</v>
      </c>
      <c r="P136" s="152">
        <v>83.076694799999999</v>
      </c>
      <c r="Q136" s="153">
        <f t="shared" si="26"/>
        <v>83.076694799999999</v>
      </c>
      <c r="R136" s="153">
        <f t="shared" si="27"/>
        <v>41.538347399999999</v>
      </c>
      <c r="S136" s="153">
        <f t="shared" si="15"/>
        <v>0.66312116713723779</v>
      </c>
      <c r="T136" s="153">
        <f t="shared" si="16"/>
        <v>78.846830887652132</v>
      </c>
      <c r="U136" s="153">
        <f t="shared" si="17"/>
        <v>157.69366177530426</v>
      </c>
      <c r="V136" s="153">
        <f>+C133+D134+D135+(D136/2)</f>
        <v>0</v>
      </c>
      <c r="W136" s="153">
        <f t="shared" si="18"/>
        <v>0</v>
      </c>
      <c r="X136" s="153">
        <f t="shared" si="19"/>
        <v>0</v>
      </c>
      <c r="Y136" s="153">
        <f t="shared" si="28"/>
        <v>89</v>
      </c>
      <c r="Z136" s="153">
        <f t="shared" si="46"/>
        <v>89</v>
      </c>
      <c r="AA136" s="155">
        <f t="shared" si="20"/>
        <v>89</v>
      </c>
      <c r="AB136" s="17"/>
      <c r="AC136" s="156">
        <f t="shared" si="21"/>
        <v>0</v>
      </c>
      <c r="AD136" s="156"/>
      <c r="AE136" s="156"/>
      <c r="AF136" s="156"/>
      <c r="AG136" s="156"/>
      <c r="AH136" s="156"/>
      <c r="AI136" s="528" t="str">
        <f t="shared" si="22"/>
        <v xml:space="preserve"> </v>
      </c>
      <c r="AJ136" s="29" t="b">
        <f>IF(AK136=4,AM136)</f>
        <v>0</v>
      </c>
      <c r="AK136" s="29">
        <f t="shared" si="29"/>
        <v>1</v>
      </c>
      <c r="AL136" s="29">
        <f>IF(AC136=0,0,4)</f>
        <v>0</v>
      </c>
      <c r="AM136" s="156">
        <f>SUM(AC136:AC156)/($B$130-B135)</f>
        <v>0</v>
      </c>
      <c r="AN136" s="156"/>
      <c r="AO136" s="177">
        <f>SUM(D134:D136)+$C$133</f>
        <v>0</v>
      </c>
      <c r="AP136" s="159" t="b">
        <f t="shared" si="30"/>
        <v>0</v>
      </c>
      <c r="AQ136" s="160">
        <f t="shared" si="31"/>
        <v>70.630179100000007</v>
      </c>
      <c r="AR136" s="178">
        <f t="shared" si="23"/>
        <v>0.94339748455555306</v>
      </c>
      <c r="AS136" s="162">
        <f t="shared" si="32"/>
        <v>125.38573325554864</v>
      </c>
      <c r="AT136" s="160">
        <f t="shared" si="33"/>
        <v>48.461652999999998</v>
      </c>
      <c r="AU136" s="179">
        <f t="shared" si="34"/>
        <v>0.74851207380038831</v>
      </c>
      <c r="AV136" s="162">
        <f t="shared" si="35"/>
        <v>89.000031706258056</v>
      </c>
      <c r="AW136" s="164">
        <f t="shared" si="36"/>
        <v>225.38910027661464</v>
      </c>
      <c r="AX136" s="162">
        <f t="shared" si="47"/>
        <v>-19.8</v>
      </c>
      <c r="AY136" s="164">
        <f t="shared" si="37"/>
        <v>22.1</v>
      </c>
      <c r="AZ136" s="181">
        <f t="shared" si="38"/>
        <v>214.3857649618067</v>
      </c>
      <c r="BA136" s="182">
        <f>+AC136-AV136</f>
        <v>-89.000031706258056</v>
      </c>
      <c r="BB136" s="183">
        <f t="shared" si="39"/>
        <v>314.3891319828727</v>
      </c>
      <c r="BC136" s="182"/>
      <c r="BD136" s="184">
        <f t="shared" si="40"/>
        <v>-10.308867342751457</v>
      </c>
      <c r="BE136" s="184">
        <f t="shared" si="41"/>
        <v>32.408867342751464</v>
      </c>
      <c r="BF136" s="170">
        <f t="shared" si="42"/>
        <v>-776.03093860986519</v>
      </c>
      <c r="BG136" s="170">
        <f t="shared" si="43"/>
        <v>135.76531242101862</v>
      </c>
      <c r="BH136" s="171">
        <f t="shared" si="44"/>
        <v>776.03093860986519</v>
      </c>
      <c r="BI136" s="171">
        <f t="shared" si="44"/>
        <v>135.76531242101862</v>
      </c>
      <c r="BJ136" s="2">
        <f t="shared" si="45"/>
        <v>0</v>
      </c>
      <c r="BL136" s="261">
        <v>-8</v>
      </c>
      <c r="BM136" s="546">
        <f t="shared" si="13"/>
        <v>-204</v>
      </c>
      <c r="BN136" s="540">
        <f t="shared" si="24"/>
        <v>-204</v>
      </c>
      <c r="BO136" s="548">
        <f t="shared" si="14"/>
        <v>-293.16986714566798</v>
      </c>
      <c r="BP136" s="262">
        <f t="shared" si="10"/>
        <v>293.16986714566798</v>
      </c>
      <c r="BQ136" s="262">
        <f t="shared" si="11"/>
        <v>12.669867145667965</v>
      </c>
      <c r="BR136" s="262" t="b">
        <f t="shared" si="12"/>
        <v>0</v>
      </c>
    </row>
    <row r="137" spans="1:70" ht="18.75" thickBot="1" x14ac:dyDescent="0.3">
      <c r="B137" s="174">
        <v>5</v>
      </c>
      <c r="C137" s="175"/>
      <c r="D137" s="505">
        <v>0</v>
      </c>
      <c r="E137" s="146">
        <v>0</v>
      </c>
      <c r="F137" s="147">
        <v>1</v>
      </c>
      <c r="G137" s="147">
        <f t="shared" ref="G137:G156" si="48">IF(AI137="pin in groundstacking hole",4,3)</f>
        <v>3</v>
      </c>
      <c r="H137" s="147">
        <v>5</v>
      </c>
      <c r="I137" s="147">
        <f t="shared" ref="I137:I156" si="49">IF(AI137="pin in groundstacking hole","",7)</f>
        <v>7</v>
      </c>
      <c r="J137" s="147">
        <v>9</v>
      </c>
      <c r="K137" s="148">
        <v>12</v>
      </c>
      <c r="L137" s="150" t="s">
        <v>65</v>
      </c>
      <c r="M137" s="150">
        <f t="shared" si="25"/>
        <v>0</v>
      </c>
      <c r="N137" s="150">
        <f>+D137+BJ137</f>
        <v>0</v>
      </c>
      <c r="O137" s="152">
        <v>118.90260000000001</v>
      </c>
      <c r="P137" s="152">
        <v>83.076694799999999</v>
      </c>
      <c r="Q137" s="153">
        <f t="shared" si="26"/>
        <v>83.076694799999999</v>
      </c>
      <c r="R137" s="153">
        <f t="shared" si="27"/>
        <v>41.538347399999999</v>
      </c>
      <c r="S137" s="153">
        <f t="shared" si="15"/>
        <v>0.66312116713723779</v>
      </c>
      <c r="T137" s="153">
        <f t="shared" si="16"/>
        <v>78.846830887652132</v>
      </c>
      <c r="U137" s="153">
        <f t="shared" si="17"/>
        <v>157.69366177530426</v>
      </c>
      <c r="V137" s="153">
        <f>+C133+D134+D135+D136+(D137/2)</f>
        <v>0</v>
      </c>
      <c r="W137" s="153">
        <f t="shared" si="18"/>
        <v>0</v>
      </c>
      <c r="X137" s="153">
        <f t="shared" si="19"/>
        <v>0</v>
      </c>
      <c r="Y137" s="153">
        <f t="shared" si="28"/>
        <v>89</v>
      </c>
      <c r="Z137" s="153">
        <f t="shared" si="46"/>
        <v>89</v>
      </c>
      <c r="AA137" s="155">
        <f t="shared" si="20"/>
        <v>89</v>
      </c>
      <c r="AB137" s="17"/>
      <c r="AC137" s="156">
        <f t="shared" si="21"/>
        <v>0</v>
      </c>
      <c r="AD137" s="156"/>
      <c r="AE137" s="156"/>
      <c r="AF137" s="156"/>
      <c r="AG137" s="156"/>
      <c r="AH137" s="156"/>
      <c r="AI137" s="528" t="str">
        <f t="shared" si="22"/>
        <v xml:space="preserve"> </v>
      </c>
      <c r="AJ137" s="29" t="b">
        <f>IF(AK137=5,AM137)</f>
        <v>0</v>
      </c>
      <c r="AK137" s="29">
        <f t="shared" si="29"/>
        <v>1</v>
      </c>
      <c r="AL137" s="29">
        <f>IF(AC137=0,0,5)</f>
        <v>0</v>
      </c>
      <c r="AM137" s="156">
        <f>SUM(AC137:AC156)/($B$130-B136)</f>
        <v>0</v>
      </c>
      <c r="AN137" s="156"/>
      <c r="AO137" s="177">
        <f>SUM(D134:D137)+$C$133</f>
        <v>0</v>
      </c>
      <c r="AP137" s="159" t="b">
        <f t="shared" si="30"/>
        <v>0</v>
      </c>
      <c r="AQ137" s="160">
        <f t="shared" si="31"/>
        <v>70.630179100000007</v>
      </c>
      <c r="AR137" s="178">
        <f t="shared" si="23"/>
        <v>0.94339748455555306</v>
      </c>
      <c r="AS137" s="162">
        <f t="shared" si="32"/>
        <v>125.38573325554864</v>
      </c>
      <c r="AT137" s="160">
        <f t="shared" si="33"/>
        <v>48.461652999999998</v>
      </c>
      <c r="AU137" s="179">
        <f t="shared" si="34"/>
        <v>0.74851207380038831</v>
      </c>
      <c r="AV137" s="162">
        <f t="shared" si="35"/>
        <v>89.000031706258056</v>
      </c>
      <c r="AW137" s="164">
        <f t="shared" si="36"/>
        <v>408.28681279616279</v>
      </c>
      <c r="AX137" s="162">
        <f t="shared" si="47"/>
        <v>-29.700000000000003</v>
      </c>
      <c r="AY137" s="164">
        <f t="shared" si="37"/>
        <v>12.199999999999996</v>
      </c>
      <c r="AZ137" s="181">
        <f t="shared" si="38"/>
        <v>214.3857649618067</v>
      </c>
      <c r="BA137" s="182">
        <f t="shared" ref="BA137:BA156" si="50">+AC137-AV137</f>
        <v>-89.000031706258056</v>
      </c>
      <c r="BB137" s="183">
        <f t="shared" si="39"/>
        <v>497.28684450242088</v>
      </c>
      <c r="BC137" s="182"/>
      <c r="BD137" s="184">
        <f t="shared" si="40"/>
        <v>-16.098984795050946</v>
      </c>
      <c r="BE137" s="184">
        <f t="shared" si="41"/>
        <v>28.298984795050941</v>
      </c>
      <c r="BF137" s="170">
        <f t="shared" si="42"/>
        <v>-496.9257441909823</v>
      </c>
      <c r="BG137" s="170">
        <f t="shared" si="43"/>
        <v>155.48260942454348</v>
      </c>
      <c r="BH137" s="171">
        <f t="shared" si="44"/>
        <v>496.9257441909823</v>
      </c>
      <c r="BI137" s="171">
        <f t="shared" si="44"/>
        <v>155.48260942454348</v>
      </c>
      <c r="BJ137" s="2">
        <f t="shared" si="45"/>
        <v>0</v>
      </c>
      <c r="BK137" s="91"/>
      <c r="BL137" s="261">
        <v>-7</v>
      </c>
      <c r="BM137" s="546">
        <f t="shared" si="13"/>
        <v>-178.5</v>
      </c>
      <c r="BN137" s="540">
        <f t="shared" si="24"/>
        <v>-178.5</v>
      </c>
      <c r="BO137" s="548">
        <f t="shared" si="14"/>
        <v>-267.66986714566798</v>
      </c>
      <c r="BP137" s="262">
        <f t="shared" si="10"/>
        <v>267.66986714566798</v>
      </c>
      <c r="BQ137" s="262">
        <f t="shared" si="11"/>
        <v>12.669867145667965</v>
      </c>
      <c r="BR137" s="262" t="b">
        <f t="shared" si="12"/>
        <v>0</v>
      </c>
    </row>
    <row r="138" spans="1:70" ht="18.75" thickBot="1" x14ac:dyDescent="0.3">
      <c r="B138" s="174">
        <v>6</v>
      </c>
      <c r="C138" s="175"/>
      <c r="D138" s="505">
        <v>0</v>
      </c>
      <c r="E138" s="146">
        <v>0</v>
      </c>
      <c r="F138" s="147">
        <v>1</v>
      </c>
      <c r="G138" s="147">
        <f t="shared" si="48"/>
        <v>3</v>
      </c>
      <c r="H138" s="147">
        <v>5</v>
      </c>
      <c r="I138" s="147">
        <f t="shared" si="49"/>
        <v>7</v>
      </c>
      <c r="J138" s="147">
        <v>9</v>
      </c>
      <c r="K138" s="148">
        <v>12</v>
      </c>
      <c r="L138" s="150" t="s">
        <v>65</v>
      </c>
      <c r="M138" s="150">
        <f t="shared" si="25"/>
        <v>0</v>
      </c>
      <c r="N138" s="150">
        <f t="shared" ref="N138:N156" si="51">+D138+BJ138</f>
        <v>0</v>
      </c>
      <c r="O138" s="152">
        <v>118.90260000000001</v>
      </c>
      <c r="P138" s="152">
        <v>83.076694799999999</v>
      </c>
      <c r="Q138" s="153">
        <f t="shared" si="26"/>
        <v>83.076694799999999</v>
      </c>
      <c r="R138" s="153">
        <f t="shared" si="27"/>
        <v>41.538347399999999</v>
      </c>
      <c r="S138" s="153">
        <f t="shared" si="15"/>
        <v>0.66312116713723779</v>
      </c>
      <c r="T138" s="153">
        <f t="shared" si="16"/>
        <v>78.846830887652132</v>
      </c>
      <c r="U138" s="153">
        <f t="shared" si="17"/>
        <v>157.69366177530426</v>
      </c>
      <c r="V138" s="153">
        <f>+C133+D134+D135+D136+D137+(D138/2)</f>
        <v>0</v>
      </c>
      <c r="W138" s="153">
        <f t="shared" si="18"/>
        <v>0</v>
      </c>
      <c r="X138" s="153">
        <f t="shared" si="19"/>
        <v>0</v>
      </c>
      <c r="Y138" s="153">
        <f t="shared" si="28"/>
        <v>89</v>
      </c>
      <c r="Z138" s="153">
        <f t="shared" si="46"/>
        <v>89</v>
      </c>
      <c r="AA138" s="155">
        <f t="shared" si="20"/>
        <v>89</v>
      </c>
      <c r="AB138" s="17"/>
      <c r="AC138" s="156">
        <f t="shared" si="21"/>
        <v>0</v>
      </c>
      <c r="AD138" s="156"/>
      <c r="AE138" s="156"/>
      <c r="AF138" s="156"/>
      <c r="AG138" s="156"/>
      <c r="AH138" s="156"/>
      <c r="AI138" s="528" t="str">
        <f t="shared" si="22"/>
        <v xml:space="preserve"> </v>
      </c>
      <c r="AJ138" s="29" t="b">
        <f>IF(AK138=6,AM138)</f>
        <v>0</v>
      </c>
      <c r="AK138" s="29">
        <f t="shared" si="29"/>
        <v>1</v>
      </c>
      <c r="AL138" s="29">
        <f>IF(AC138=0,0,6)</f>
        <v>0</v>
      </c>
      <c r="AM138" s="156">
        <f>SUM(AC138:AC156)/($B$130-B137)</f>
        <v>0</v>
      </c>
      <c r="AN138" s="156"/>
      <c r="AO138" s="177">
        <f>SUM(D134:D138)+$C$133</f>
        <v>0</v>
      </c>
      <c r="AP138" s="159" t="b">
        <f t="shared" si="30"/>
        <v>0</v>
      </c>
      <c r="AQ138" s="160">
        <f t="shared" si="31"/>
        <v>70.630179100000007</v>
      </c>
      <c r="AR138" s="178">
        <f t="shared" si="23"/>
        <v>0.94339748455555306</v>
      </c>
      <c r="AS138" s="162">
        <f t="shared" si="32"/>
        <v>125.38573325554864</v>
      </c>
      <c r="AT138" s="160">
        <f t="shared" si="33"/>
        <v>48.461652999999998</v>
      </c>
      <c r="AU138" s="179">
        <f t="shared" si="34"/>
        <v>0.74851207380038831</v>
      </c>
      <c r="AV138" s="162">
        <f t="shared" si="35"/>
        <v>89.000031706258056</v>
      </c>
      <c r="AW138" s="164">
        <f t="shared" si="36"/>
        <v>2165.6952678753</v>
      </c>
      <c r="AX138" s="162">
        <f t="shared" si="47"/>
        <v>-39.6</v>
      </c>
      <c r="AY138" s="164">
        <f t="shared" si="37"/>
        <v>2.2999999999999972</v>
      </c>
      <c r="AZ138" s="181">
        <f t="shared" si="38"/>
        <v>214.3857649618067</v>
      </c>
      <c r="BA138" s="182">
        <f t="shared" si="50"/>
        <v>-89.000031706258056</v>
      </c>
      <c r="BB138" s="183">
        <f t="shared" si="39"/>
        <v>2254.6952995815582</v>
      </c>
      <c r="BC138" s="182"/>
      <c r="BD138" s="184">
        <f t="shared" si="40"/>
        <v>-21.889102247350422</v>
      </c>
      <c r="BE138" s="184">
        <f t="shared" si="41"/>
        <v>24.189102247350419</v>
      </c>
      <c r="BF138" s="170">
        <f t="shared" si="42"/>
        <v>-365.47867105734611</v>
      </c>
      <c r="BG138" s="170">
        <f t="shared" si="43"/>
        <v>181.90009513403743</v>
      </c>
      <c r="BH138" s="171">
        <f t="shared" si="44"/>
        <v>365.47867105734611</v>
      </c>
      <c r="BI138" s="171">
        <f t="shared" si="44"/>
        <v>181.90009513403743</v>
      </c>
      <c r="BJ138" s="2">
        <f t="shared" si="45"/>
        <v>0</v>
      </c>
      <c r="BK138" s="91"/>
      <c r="BL138" s="261">
        <v>-6</v>
      </c>
      <c r="BM138" s="546">
        <f t="shared" si="13"/>
        <v>-153</v>
      </c>
      <c r="BN138" s="540">
        <f t="shared" si="24"/>
        <v>-153</v>
      </c>
      <c r="BO138" s="548">
        <f t="shared" si="14"/>
        <v>-242.16986714566798</v>
      </c>
      <c r="BP138" s="262">
        <f t="shared" si="10"/>
        <v>242.16986714566798</v>
      </c>
      <c r="BQ138" s="262">
        <f t="shared" si="11"/>
        <v>12.669867145667965</v>
      </c>
      <c r="BR138" s="262" t="b">
        <f t="shared" si="12"/>
        <v>0</v>
      </c>
    </row>
    <row r="139" spans="1:70" ht="18.75" thickBot="1" x14ac:dyDescent="0.3">
      <c r="B139" s="174">
        <v>7</v>
      </c>
      <c r="C139" s="175"/>
      <c r="D139" s="505">
        <v>0</v>
      </c>
      <c r="E139" s="146">
        <v>0</v>
      </c>
      <c r="F139" s="147">
        <v>1</v>
      </c>
      <c r="G139" s="147">
        <f t="shared" si="48"/>
        <v>3</v>
      </c>
      <c r="H139" s="147">
        <v>5</v>
      </c>
      <c r="I139" s="147">
        <f t="shared" si="49"/>
        <v>7</v>
      </c>
      <c r="J139" s="147">
        <v>9</v>
      </c>
      <c r="K139" s="148">
        <v>12</v>
      </c>
      <c r="L139" s="150" t="s">
        <v>65</v>
      </c>
      <c r="M139" s="150">
        <f t="shared" si="25"/>
        <v>0</v>
      </c>
      <c r="N139" s="150">
        <f t="shared" si="51"/>
        <v>0</v>
      </c>
      <c r="O139" s="152">
        <v>118.90260000000001</v>
      </c>
      <c r="P139" s="152">
        <v>83.076694799999999</v>
      </c>
      <c r="Q139" s="153">
        <f t="shared" si="26"/>
        <v>83.076694799999999</v>
      </c>
      <c r="R139" s="153">
        <f t="shared" si="27"/>
        <v>41.538347399999999</v>
      </c>
      <c r="S139" s="153">
        <f t="shared" si="15"/>
        <v>0.66312116713723779</v>
      </c>
      <c r="T139" s="153">
        <f t="shared" si="16"/>
        <v>78.846830887652132</v>
      </c>
      <c r="U139" s="153">
        <f t="shared" si="17"/>
        <v>157.69366177530426</v>
      </c>
      <c r="V139" s="153">
        <f>+C133+D134+D135+D136+D137+D138+(D139/2)</f>
        <v>0</v>
      </c>
      <c r="W139" s="153">
        <f t="shared" si="18"/>
        <v>0</v>
      </c>
      <c r="X139" s="153">
        <f t="shared" si="19"/>
        <v>0</v>
      </c>
      <c r="Y139" s="153">
        <f t="shared" si="28"/>
        <v>89</v>
      </c>
      <c r="Z139" s="153">
        <f t="shared" si="46"/>
        <v>89</v>
      </c>
      <c r="AA139" s="155">
        <f t="shared" si="20"/>
        <v>89</v>
      </c>
      <c r="AB139" s="17"/>
      <c r="AC139" s="156">
        <f t="shared" si="21"/>
        <v>0</v>
      </c>
      <c r="AD139" s="156"/>
      <c r="AE139" s="156"/>
      <c r="AF139" s="156"/>
      <c r="AG139" s="156"/>
      <c r="AH139" s="156"/>
      <c r="AI139" s="528" t="str">
        <f t="shared" si="22"/>
        <v xml:space="preserve"> </v>
      </c>
      <c r="AJ139" s="29" t="b">
        <f>IF(AK139=7,AM139)</f>
        <v>0</v>
      </c>
      <c r="AK139" s="29">
        <f t="shared" si="29"/>
        <v>1</v>
      </c>
      <c r="AL139" s="29">
        <f>IF(AC139=0,0,7)</f>
        <v>0</v>
      </c>
      <c r="AM139" s="156">
        <f>SUM(AC139:AC156)/($B$130-B138)</f>
        <v>0</v>
      </c>
      <c r="AN139" s="156"/>
      <c r="AO139" s="177">
        <f>SUM(D134:D139)+$C$133</f>
        <v>0</v>
      </c>
      <c r="AP139" s="159" t="b">
        <f t="shared" si="30"/>
        <v>0</v>
      </c>
      <c r="AQ139" s="160">
        <f t="shared" si="31"/>
        <v>70.630179100000007</v>
      </c>
      <c r="AR139" s="178">
        <f t="shared" si="23"/>
        <v>0.94339748455555306</v>
      </c>
      <c r="AS139" s="162">
        <f t="shared" si="32"/>
        <v>125.38573325554864</v>
      </c>
      <c r="AT139" s="160">
        <f t="shared" si="33"/>
        <v>48.461652999999998</v>
      </c>
      <c r="AU139" s="179">
        <f t="shared" si="34"/>
        <v>0.74851207380038831</v>
      </c>
      <c r="AV139" s="162">
        <f t="shared" si="35"/>
        <v>89.000031706258056</v>
      </c>
      <c r="AW139" s="164">
        <f t="shared" si="36"/>
        <v>-655.40777843594515</v>
      </c>
      <c r="AX139" s="162">
        <f t="shared" si="47"/>
        <v>-49.5</v>
      </c>
      <c r="AY139" s="164">
        <f t="shared" si="37"/>
        <v>-7.6000000000000014</v>
      </c>
      <c r="AZ139" s="181">
        <f t="shared" si="38"/>
        <v>214.3857649618067</v>
      </c>
      <c r="BA139" s="182">
        <f t="shared" si="50"/>
        <v>-89.000031706258056</v>
      </c>
      <c r="BB139" s="183">
        <f t="shared" si="39"/>
        <v>-566.40774672968712</v>
      </c>
      <c r="BC139" s="182"/>
      <c r="BD139" s="184">
        <f t="shared" si="40"/>
        <v>-27.679219699649902</v>
      </c>
      <c r="BE139" s="184">
        <f t="shared" si="41"/>
        <v>20.079219699649904</v>
      </c>
      <c r="BF139" s="170">
        <f t="shared" si="42"/>
        <v>-289.02548868099728</v>
      </c>
      <c r="BG139" s="170">
        <f t="shared" si="43"/>
        <v>219.13202135423205</v>
      </c>
      <c r="BH139" s="171">
        <f t="shared" si="44"/>
        <v>289.02548868099728</v>
      </c>
      <c r="BI139" s="171">
        <f t="shared" si="44"/>
        <v>219.13202135423205</v>
      </c>
      <c r="BJ139" s="2">
        <f t="shared" si="45"/>
        <v>0</v>
      </c>
      <c r="BL139" s="261">
        <v>-5</v>
      </c>
      <c r="BM139" s="546">
        <f t="shared" si="13"/>
        <v>-127.5</v>
      </c>
      <c r="BN139" s="540">
        <f t="shared" si="24"/>
        <v>-127.5</v>
      </c>
      <c r="BO139" s="548">
        <f t="shared" si="14"/>
        <v>-216.66986714566798</v>
      </c>
      <c r="BP139" s="262">
        <f t="shared" si="10"/>
        <v>216.66986714566798</v>
      </c>
      <c r="BQ139" s="262">
        <f t="shared" si="11"/>
        <v>12.669867145667965</v>
      </c>
      <c r="BR139" s="262" t="b">
        <f t="shared" si="12"/>
        <v>0</v>
      </c>
    </row>
    <row r="140" spans="1:70" ht="18.75" thickBot="1" x14ac:dyDescent="0.3">
      <c r="B140" s="174">
        <v>8</v>
      </c>
      <c r="C140" s="175"/>
      <c r="D140" s="505">
        <v>0</v>
      </c>
      <c r="E140" s="146">
        <v>0</v>
      </c>
      <c r="F140" s="147">
        <v>1</v>
      </c>
      <c r="G140" s="147">
        <f t="shared" si="48"/>
        <v>3</v>
      </c>
      <c r="H140" s="147">
        <v>5</v>
      </c>
      <c r="I140" s="147">
        <f t="shared" si="49"/>
        <v>7</v>
      </c>
      <c r="J140" s="147">
        <v>9</v>
      </c>
      <c r="K140" s="148">
        <v>12</v>
      </c>
      <c r="L140" s="150" t="s">
        <v>65</v>
      </c>
      <c r="M140" s="150">
        <f t="shared" si="25"/>
        <v>0</v>
      </c>
      <c r="N140" s="150">
        <f t="shared" si="51"/>
        <v>0</v>
      </c>
      <c r="O140" s="152">
        <v>118.90260000000001</v>
      </c>
      <c r="P140" s="152">
        <v>83.076694799999999</v>
      </c>
      <c r="Q140" s="153">
        <f t="shared" si="26"/>
        <v>83.076694799999999</v>
      </c>
      <c r="R140" s="153">
        <f t="shared" si="27"/>
        <v>41.538347399999999</v>
      </c>
      <c r="S140" s="153">
        <f t="shared" si="15"/>
        <v>0.66312116713723779</v>
      </c>
      <c r="T140" s="153">
        <f t="shared" si="16"/>
        <v>78.846830887652132</v>
      </c>
      <c r="U140" s="153">
        <f t="shared" si="17"/>
        <v>157.69366177530426</v>
      </c>
      <c r="V140" s="153">
        <f>+C133+D134+D135+D136+D137+D138+D139+(D140/2)</f>
        <v>0</v>
      </c>
      <c r="W140" s="153">
        <f t="shared" si="18"/>
        <v>0</v>
      </c>
      <c r="X140" s="153">
        <f t="shared" si="19"/>
        <v>0</v>
      </c>
      <c r="Y140" s="153">
        <f t="shared" si="28"/>
        <v>89</v>
      </c>
      <c r="Z140" s="153">
        <f t="shared" si="46"/>
        <v>89</v>
      </c>
      <c r="AA140" s="155">
        <f t="shared" si="20"/>
        <v>89</v>
      </c>
      <c r="AB140" s="17"/>
      <c r="AC140" s="156">
        <f t="shared" si="21"/>
        <v>0</v>
      </c>
      <c r="AD140" s="156"/>
      <c r="AE140" s="156"/>
      <c r="AF140" s="156"/>
      <c r="AG140" s="156"/>
      <c r="AH140" s="156"/>
      <c r="AI140" s="528" t="str">
        <f t="shared" si="22"/>
        <v xml:space="preserve"> </v>
      </c>
      <c r="AJ140" s="29" t="b">
        <f>IF(AK140=8,AM140)</f>
        <v>0</v>
      </c>
      <c r="AK140" s="29">
        <f t="shared" si="29"/>
        <v>1</v>
      </c>
      <c r="AL140" s="29">
        <f>IF(AC140=0,0,8)</f>
        <v>0</v>
      </c>
      <c r="AM140" s="156">
        <f>SUM(AC140:AC156)/($B$130-B139)</f>
        <v>0</v>
      </c>
      <c r="AN140" s="156"/>
      <c r="AO140" s="177">
        <f>SUM(D134:D140)+$C$133</f>
        <v>0</v>
      </c>
      <c r="AP140" s="159" t="b">
        <f t="shared" si="30"/>
        <v>0</v>
      </c>
      <c r="AQ140" s="160">
        <f t="shared" si="31"/>
        <v>70.630179100000007</v>
      </c>
      <c r="AR140" s="178">
        <f t="shared" si="23"/>
        <v>0.94339748455555306</v>
      </c>
      <c r="AS140" s="162">
        <f t="shared" si="32"/>
        <v>125.38573325554864</v>
      </c>
      <c r="AT140" s="160">
        <f t="shared" si="33"/>
        <v>48.461652999999998</v>
      </c>
      <c r="AU140" s="179">
        <f t="shared" si="34"/>
        <v>0.74851207380038831</v>
      </c>
      <c r="AV140" s="162">
        <f t="shared" si="35"/>
        <v>89.000031706258056</v>
      </c>
      <c r="AW140" s="164">
        <f t="shared" si="36"/>
        <v>-284.63423520646757</v>
      </c>
      <c r="AX140" s="162">
        <f t="shared" si="47"/>
        <v>-59.400000000000006</v>
      </c>
      <c r="AY140" s="164">
        <f t="shared" si="37"/>
        <v>-17.500000000000007</v>
      </c>
      <c r="AZ140" s="181">
        <f t="shared" si="38"/>
        <v>214.3857649618067</v>
      </c>
      <c r="BA140" s="182">
        <f t="shared" si="50"/>
        <v>-89.000031706258056</v>
      </c>
      <c r="BB140" s="183">
        <f t="shared" si="39"/>
        <v>-195.63420350020951</v>
      </c>
      <c r="BC140" s="182"/>
      <c r="BD140" s="184">
        <f t="shared" si="40"/>
        <v>-33.469337151949389</v>
      </c>
      <c r="BE140" s="184">
        <f t="shared" si="41"/>
        <v>15.969337151949382</v>
      </c>
      <c r="BF140" s="170">
        <f t="shared" si="42"/>
        <v>-239.02475163103276</v>
      </c>
      <c r="BG140" s="170">
        <f t="shared" si="43"/>
        <v>275.5280296316426</v>
      </c>
      <c r="BH140" s="171">
        <f t="shared" si="44"/>
        <v>239.02475163103276</v>
      </c>
      <c r="BI140" s="171">
        <f t="shared" si="44"/>
        <v>275.5280296316426</v>
      </c>
      <c r="BJ140" s="2">
        <f t="shared" si="45"/>
        <v>0</v>
      </c>
      <c r="BL140" s="261">
        <v>-4</v>
      </c>
      <c r="BM140" s="546">
        <f t="shared" si="13"/>
        <v>-102</v>
      </c>
      <c r="BN140" s="540">
        <f t="shared" si="24"/>
        <v>-102</v>
      </c>
      <c r="BO140" s="548">
        <f t="shared" si="14"/>
        <v>-191.16986714566798</v>
      </c>
      <c r="BP140" s="262">
        <f t="shared" si="10"/>
        <v>191.16986714566798</v>
      </c>
      <c r="BQ140" s="262">
        <f t="shared" si="11"/>
        <v>12.669867145667965</v>
      </c>
      <c r="BR140" s="262" t="b">
        <f t="shared" si="12"/>
        <v>0</v>
      </c>
    </row>
    <row r="141" spans="1:70" ht="21" customHeight="1" thickBot="1" x14ac:dyDescent="0.3">
      <c r="B141" s="174">
        <v>9</v>
      </c>
      <c r="C141" s="175"/>
      <c r="D141" s="505">
        <v>0</v>
      </c>
      <c r="E141" s="146">
        <v>0</v>
      </c>
      <c r="F141" s="147">
        <v>1</v>
      </c>
      <c r="G141" s="147">
        <f t="shared" si="48"/>
        <v>3</v>
      </c>
      <c r="H141" s="147">
        <v>5</v>
      </c>
      <c r="I141" s="147">
        <f t="shared" si="49"/>
        <v>7</v>
      </c>
      <c r="J141" s="147">
        <v>9</v>
      </c>
      <c r="K141" s="148">
        <v>12</v>
      </c>
      <c r="L141" s="150" t="s">
        <v>65</v>
      </c>
      <c r="M141" s="150">
        <f t="shared" si="25"/>
        <v>0</v>
      </c>
      <c r="N141" s="150">
        <f t="shared" si="51"/>
        <v>0</v>
      </c>
      <c r="O141" s="152">
        <v>118.90260000000001</v>
      </c>
      <c r="P141" s="152">
        <v>83.076694799999999</v>
      </c>
      <c r="Q141" s="153">
        <f t="shared" si="26"/>
        <v>83.076694799999999</v>
      </c>
      <c r="R141" s="153">
        <f t="shared" si="27"/>
        <v>41.538347399999999</v>
      </c>
      <c r="S141" s="153">
        <f t="shared" si="15"/>
        <v>0.66312116713723779</v>
      </c>
      <c r="T141" s="153">
        <f t="shared" si="16"/>
        <v>78.846830887652132</v>
      </c>
      <c r="U141" s="153">
        <f t="shared" si="17"/>
        <v>157.69366177530426</v>
      </c>
      <c r="V141" s="153">
        <f>+C133+D134+D135+D136+D137+D138+D139+D140+(D141/2)</f>
        <v>0</v>
      </c>
      <c r="W141" s="153">
        <f t="shared" si="18"/>
        <v>0</v>
      </c>
      <c r="X141" s="153">
        <f t="shared" si="19"/>
        <v>0</v>
      </c>
      <c r="Y141" s="153">
        <f t="shared" si="28"/>
        <v>89</v>
      </c>
      <c r="Z141" s="153">
        <f t="shared" si="46"/>
        <v>89</v>
      </c>
      <c r="AA141" s="155">
        <f t="shared" si="20"/>
        <v>89</v>
      </c>
      <c r="AB141" s="17"/>
      <c r="AC141" s="156">
        <f t="shared" si="21"/>
        <v>0</v>
      </c>
      <c r="AD141" s="156"/>
      <c r="AE141" s="156"/>
      <c r="AF141" s="156"/>
      <c r="AG141" s="156"/>
      <c r="AH141" s="156"/>
      <c r="AI141" s="528" t="str">
        <f t="shared" si="22"/>
        <v xml:space="preserve"> </v>
      </c>
      <c r="AJ141" s="29" t="b">
        <f>IF(AK141=9,AM141)</f>
        <v>0</v>
      </c>
      <c r="AK141" s="29">
        <f t="shared" si="29"/>
        <v>1</v>
      </c>
      <c r="AL141" s="29">
        <f>IF(AC141=0,0,9)</f>
        <v>0</v>
      </c>
      <c r="AM141" s="156">
        <f>SUM(AC141:AC156)/($B$130-B140)</f>
        <v>0</v>
      </c>
      <c r="AN141" s="156"/>
      <c r="AO141" s="177">
        <f>SUM(D134:D141)+$C$133</f>
        <v>0</v>
      </c>
      <c r="AP141" s="159" t="b">
        <f t="shared" si="30"/>
        <v>0</v>
      </c>
      <c r="AQ141" s="160">
        <f t="shared" si="31"/>
        <v>70.630179100000007</v>
      </c>
      <c r="AR141" s="178">
        <f t="shared" si="23"/>
        <v>0.94339748455555306</v>
      </c>
      <c r="AS141" s="162">
        <f t="shared" si="32"/>
        <v>125.38573325554864</v>
      </c>
      <c r="AT141" s="160">
        <f t="shared" si="33"/>
        <v>48.461652999999998</v>
      </c>
      <c r="AU141" s="179">
        <f t="shared" si="34"/>
        <v>0.74851207380038831</v>
      </c>
      <c r="AV141" s="162">
        <f t="shared" si="35"/>
        <v>89.000031706258056</v>
      </c>
      <c r="AW141" s="164">
        <f t="shared" si="36"/>
        <v>-181.7919385442768</v>
      </c>
      <c r="AX141" s="162">
        <f t="shared" si="47"/>
        <v>-69.3</v>
      </c>
      <c r="AY141" s="164">
        <f t="shared" si="37"/>
        <v>-27.4</v>
      </c>
      <c r="AZ141" s="181">
        <f t="shared" si="38"/>
        <v>214.3857649618067</v>
      </c>
      <c r="BA141" s="182">
        <f t="shared" si="50"/>
        <v>-89.000031706258056</v>
      </c>
      <c r="BB141" s="183">
        <f t="shared" si="39"/>
        <v>-92.791906838018747</v>
      </c>
      <c r="BC141" s="182"/>
      <c r="BD141" s="184">
        <f t="shared" si="40"/>
        <v>-39.259454604248866</v>
      </c>
      <c r="BE141" s="184">
        <f t="shared" si="41"/>
        <v>11.859454604248866</v>
      </c>
      <c r="BF141" s="170">
        <f t="shared" si="42"/>
        <v>-203.77257098049949</v>
      </c>
      <c r="BG141" s="170">
        <f t="shared" si="43"/>
        <v>371.01200239205099</v>
      </c>
      <c r="BH141" s="171">
        <f t="shared" si="44"/>
        <v>203.77257098049949</v>
      </c>
      <c r="BI141" s="171">
        <f t="shared" si="44"/>
        <v>371.01200239205099</v>
      </c>
      <c r="BJ141" s="2">
        <f t="shared" si="45"/>
        <v>0</v>
      </c>
      <c r="BL141" s="261">
        <v>-3</v>
      </c>
      <c r="BM141" s="546">
        <f t="shared" si="13"/>
        <v>-76.5</v>
      </c>
      <c r="BN141" s="540">
        <f t="shared" si="24"/>
        <v>-76.5</v>
      </c>
      <c r="BO141" s="548">
        <f t="shared" si="14"/>
        <v>-165.66986714566798</v>
      </c>
      <c r="BP141" s="262">
        <f t="shared" si="10"/>
        <v>165.66986714566798</v>
      </c>
      <c r="BQ141" s="262">
        <f t="shared" si="11"/>
        <v>12.669867145667965</v>
      </c>
      <c r="BR141" s="262" t="b">
        <f t="shared" si="12"/>
        <v>0</v>
      </c>
    </row>
    <row r="142" spans="1:70" ht="21" customHeight="1" thickBot="1" x14ac:dyDescent="0.3">
      <c r="B142" s="174">
        <v>10</v>
      </c>
      <c r="C142" s="175"/>
      <c r="D142" s="505">
        <v>0</v>
      </c>
      <c r="E142" s="146">
        <v>0</v>
      </c>
      <c r="F142" s="147">
        <v>1</v>
      </c>
      <c r="G142" s="147">
        <f t="shared" si="48"/>
        <v>3</v>
      </c>
      <c r="H142" s="147">
        <v>5</v>
      </c>
      <c r="I142" s="147">
        <f t="shared" si="49"/>
        <v>7</v>
      </c>
      <c r="J142" s="147">
        <v>9</v>
      </c>
      <c r="K142" s="148">
        <v>12</v>
      </c>
      <c r="L142" s="150" t="s">
        <v>65</v>
      </c>
      <c r="M142" s="150">
        <f t="shared" si="25"/>
        <v>0</v>
      </c>
      <c r="N142" s="150">
        <f t="shared" si="51"/>
        <v>0</v>
      </c>
      <c r="O142" s="152">
        <v>118.90260000000001</v>
      </c>
      <c r="P142" s="152">
        <v>83.076694799999999</v>
      </c>
      <c r="Q142" s="153">
        <f t="shared" si="26"/>
        <v>83.076694799999999</v>
      </c>
      <c r="R142" s="153">
        <f t="shared" si="27"/>
        <v>41.538347399999999</v>
      </c>
      <c r="S142" s="153">
        <f t="shared" si="15"/>
        <v>0.66312116713723779</v>
      </c>
      <c r="T142" s="153">
        <f t="shared" si="16"/>
        <v>78.846830887652132</v>
      </c>
      <c r="U142" s="153">
        <f t="shared" si="17"/>
        <v>157.69366177530426</v>
      </c>
      <c r="V142" s="153">
        <f>+C133+D134+D135+D136+D137+D138+D139+D140+D141+(D142/2)</f>
        <v>0</v>
      </c>
      <c r="W142" s="153">
        <f t="shared" si="18"/>
        <v>0</v>
      </c>
      <c r="X142" s="153">
        <f t="shared" si="19"/>
        <v>0</v>
      </c>
      <c r="Y142" s="153">
        <f t="shared" si="28"/>
        <v>89</v>
      </c>
      <c r="Z142" s="153">
        <f t="shared" si="46"/>
        <v>89</v>
      </c>
      <c r="AA142" s="155">
        <f t="shared" si="20"/>
        <v>89</v>
      </c>
      <c r="AB142" s="17"/>
      <c r="AC142" s="156">
        <f t="shared" si="21"/>
        <v>0</v>
      </c>
      <c r="AD142" s="156"/>
      <c r="AE142" s="156"/>
      <c r="AF142" s="156"/>
      <c r="AG142" s="156"/>
      <c r="AH142" s="156"/>
      <c r="AI142" s="528" t="str">
        <f t="shared" si="22"/>
        <v xml:space="preserve"> </v>
      </c>
      <c r="AJ142" s="29" t="b">
        <f>IF(AK142=10,AM142)</f>
        <v>0</v>
      </c>
      <c r="AK142" s="29">
        <f t="shared" si="29"/>
        <v>1</v>
      </c>
      <c r="AL142" s="29">
        <f>IF(AC142=0,0,10)</f>
        <v>0</v>
      </c>
      <c r="AM142" s="156">
        <f>SUM(AC142:AC156)/($B$130-B141)</f>
        <v>0</v>
      </c>
      <c r="AN142" s="156"/>
      <c r="AO142" s="177">
        <f>SUM(D134:D142)+$C$133</f>
        <v>0</v>
      </c>
      <c r="AP142" s="159" t="b">
        <f t="shared" si="30"/>
        <v>0</v>
      </c>
      <c r="AQ142" s="160">
        <f t="shared" si="31"/>
        <v>70.630179100000007</v>
      </c>
      <c r="AR142" s="178">
        <f t="shared" si="23"/>
        <v>0.94339748455555306</v>
      </c>
      <c r="AS142" s="162">
        <f t="shared" si="32"/>
        <v>125.38573325554864</v>
      </c>
      <c r="AT142" s="160">
        <f t="shared" si="33"/>
        <v>48.461652999999998</v>
      </c>
      <c r="AU142" s="179">
        <f t="shared" si="34"/>
        <v>0.74851207380038831</v>
      </c>
      <c r="AV142" s="162">
        <f t="shared" si="35"/>
        <v>89.000031706258056</v>
      </c>
      <c r="AW142" s="164">
        <f t="shared" si="36"/>
        <v>-133.54153126308805</v>
      </c>
      <c r="AX142" s="162">
        <f t="shared" si="47"/>
        <v>-79.2</v>
      </c>
      <c r="AY142" s="164">
        <f t="shared" si="37"/>
        <v>-37.299999999999997</v>
      </c>
      <c r="AZ142" s="181">
        <f t="shared" si="38"/>
        <v>214.3857649618067</v>
      </c>
      <c r="BA142" s="182">
        <f t="shared" si="50"/>
        <v>-89.000031706258056</v>
      </c>
      <c r="BB142" s="183">
        <f t="shared" si="39"/>
        <v>-44.54149955682999</v>
      </c>
      <c r="BC142" s="182"/>
      <c r="BD142" s="184">
        <f t="shared" si="40"/>
        <v>-45.049572056548342</v>
      </c>
      <c r="BE142" s="184">
        <f t="shared" si="41"/>
        <v>7.7495720565483452</v>
      </c>
      <c r="BF142" s="170">
        <f t="shared" si="42"/>
        <v>-177.58215305481755</v>
      </c>
      <c r="BG142" s="170">
        <f t="shared" si="43"/>
        <v>567.77328707873937</v>
      </c>
      <c r="BH142" s="171">
        <f t="shared" si="44"/>
        <v>177.58215305481755</v>
      </c>
      <c r="BI142" s="171">
        <f t="shared" si="44"/>
        <v>567.77328707873937</v>
      </c>
      <c r="BJ142" s="2">
        <f t="shared" si="45"/>
        <v>0</v>
      </c>
      <c r="BL142" s="261">
        <v>-2</v>
      </c>
      <c r="BM142" s="546">
        <f t="shared" si="13"/>
        <v>-51</v>
      </c>
      <c r="BN142" s="540">
        <f t="shared" si="24"/>
        <v>-51</v>
      </c>
      <c r="BO142" s="548">
        <f t="shared" si="14"/>
        <v>-140.16986714566798</v>
      </c>
      <c r="BP142" s="262">
        <f t="shared" si="10"/>
        <v>140.16986714566798</v>
      </c>
      <c r="BQ142" s="262">
        <f t="shared" si="11"/>
        <v>12.669867145667965</v>
      </c>
      <c r="BR142" s="262" t="b">
        <f t="shared" si="12"/>
        <v>0</v>
      </c>
    </row>
    <row r="143" spans="1:70" ht="21" customHeight="1" thickBot="1" x14ac:dyDescent="0.3">
      <c r="A143" s="185"/>
      <c r="B143" s="174">
        <v>11</v>
      </c>
      <c r="C143" s="175"/>
      <c r="D143" s="505">
        <v>0</v>
      </c>
      <c r="E143" s="146">
        <v>0</v>
      </c>
      <c r="F143" s="147">
        <v>1</v>
      </c>
      <c r="G143" s="147">
        <f t="shared" si="48"/>
        <v>3</v>
      </c>
      <c r="H143" s="147">
        <v>5</v>
      </c>
      <c r="I143" s="147">
        <f t="shared" si="49"/>
        <v>7</v>
      </c>
      <c r="J143" s="147">
        <v>9</v>
      </c>
      <c r="K143" s="148">
        <v>12</v>
      </c>
      <c r="L143" s="150" t="s">
        <v>65</v>
      </c>
      <c r="M143" s="150">
        <f t="shared" si="25"/>
        <v>0</v>
      </c>
      <c r="N143" s="150">
        <f t="shared" si="51"/>
        <v>0</v>
      </c>
      <c r="O143" s="152">
        <v>118.90260000000001</v>
      </c>
      <c r="P143" s="152">
        <v>83.076694799999999</v>
      </c>
      <c r="Q143" s="153">
        <f t="shared" si="26"/>
        <v>83.076694799999999</v>
      </c>
      <c r="R143" s="153">
        <f t="shared" si="27"/>
        <v>41.538347399999999</v>
      </c>
      <c r="S143" s="153">
        <f t="shared" si="15"/>
        <v>0.66312116713723779</v>
      </c>
      <c r="T143" s="153">
        <f t="shared" si="16"/>
        <v>78.846830887652132</v>
      </c>
      <c r="U143" s="153">
        <f t="shared" si="17"/>
        <v>157.69366177530426</v>
      </c>
      <c r="V143" s="153">
        <f>+C133+D134+D135+D136+D137+D138+D139+D140+D141+D142+(D143/2)</f>
        <v>0</v>
      </c>
      <c r="W143" s="153">
        <f t="shared" si="18"/>
        <v>0</v>
      </c>
      <c r="X143" s="153">
        <f t="shared" si="19"/>
        <v>0</v>
      </c>
      <c r="Y143" s="153">
        <f t="shared" si="28"/>
        <v>89</v>
      </c>
      <c r="Z143" s="153">
        <f t="shared" si="46"/>
        <v>89</v>
      </c>
      <c r="AA143" s="155">
        <f t="shared" si="20"/>
        <v>89</v>
      </c>
      <c r="AB143" s="17"/>
      <c r="AC143" s="156">
        <f t="shared" si="21"/>
        <v>0</v>
      </c>
      <c r="AD143" s="156"/>
      <c r="AE143" s="156"/>
      <c r="AF143" s="156"/>
      <c r="AG143" s="156"/>
      <c r="AH143" s="156"/>
      <c r="AI143" s="528" t="str">
        <f t="shared" si="22"/>
        <v xml:space="preserve"> </v>
      </c>
      <c r="AJ143" s="29" t="b">
        <f>IF(AK143=11,AM143)</f>
        <v>0</v>
      </c>
      <c r="AK143" s="29">
        <f t="shared" si="29"/>
        <v>1</v>
      </c>
      <c r="AL143" s="29">
        <f>IF(AC143=0,0,11)</f>
        <v>0</v>
      </c>
      <c r="AM143" s="156">
        <f>SUM(AC143:AC156)/($B$130-B142)</f>
        <v>0</v>
      </c>
      <c r="AN143" s="156"/>
      <c r="AO143" s="177">
        <f>SUM(D134:D143)+$C$133</f>
        <v>0</v>
      </c>
      <c r="AP143" s="159" t="b">
        <f t="shared" si="30"/>
        <v>0</v>
      </c>
      <c r="AQ143" s="160">
        <f t="shared" si="31"/>
        <v>70.630179100000007</v>
      </c>
      <c r="AR143" s="178">
        <f t="shared" si="23"/>
        <v>0.94339748455555306</v>
      </c>
      <c r="AS143" s="162">
        <f t="shared" si="32"/>
        <v>125.38573325554864</v>
      </c>
      <c r="AT143" s="160">
        <f t="shared" si="33"/>
        <v>48.461652999999998</v>
      </c>
      <c r="AU143" s="179">
        <f t="shared" si="34"/>
        <v>0.74851207380038831</v>
      </c>
      <c r="AV143" s="162">
        <f t="shared" si="35"/>
        <v>89.000031706258056</v>
      </c>
      <c r="AW143" s="164">
        <f t="shared" si="36"/>
        <v>-105.53176093460135</v>
      </c>
      <c r="AX143" s="162">
        <f t="shared" si="47"/>
        <v>-89.100000000000009</v>
      </c>
      <c r="AY143" s="164">
        <f t="shared" si="37"/>
        <v>-47.2</v>
      </c>
      <c r="AZ143" s="181">
        <f t="shared" si="38"/>
        <v>214.3857649618067</v>
      </c>
      <c r="BA143" s="182">
        <f t="shared" si="50"/>
        <v>-89.000031706258056</v>
      </c>
      <c r="BB143" s="183">
        <f t="shared" si="39"/>
        <v>-16.531729228343295</v>
      </c>
      <c r="BC143" s="182"/>
      <c r="BD143" s="184">
        <f t="shared" si="40"/>
        <v>-50.839689508847833</v>
      </c>
      <c r="BE143" s="184">
        <f t="shared" si="41"/>
        <v>3.6396895088478254</v>
      </c>
      <c r="BF143" s="170">
        <f t="shared" si="42"/>
        <v>-157.35737329016789</v>
      </c>
      <c r="BG143" s="170">
        <f t="shared" si="43"/>
        <v>1208.8943271957442</v>
      </c>
      <c r="BH143" s="171">
        <f t="shared" si="44"/>
        <v>157.35737329016789</v>
      </c>
      <c r="BI143" s="171">
        <f t="shared" si="44"/>
        <v>1208.8943271957442</v>
      </c>
      <c r="BJ143" s="2">
        <f t="shared" si="45"/>
        <v>0</v>
      </c>
      <c r="BL143" s="261">
        <v>-1</v>
      </c>
      <c r="BM143" s="546">
        <f t="shared" si="13"/>
        <v>-25.5</v>
      </c>
      <c r="BN143" s="540">
        <f t="shared" si="24"/>
        <v>-25.5</v>
      </c>
      <c r="BO143" s="548">
        <f t="shared" si="14"/>
        <v>-114.66986714566796</v>
      </c>
      <c r="BP143" s="262">
        <f t="shared" si="10"/>
        <v>114.66986714566796</v>
      </c>
      <c r="BQ143" s="262">
        <f t="shared" si="11"/>
        <v>12.669867145667965</v>
      </c>
      <c r="BR143" s="262" t="b">
        <f t="shared" si="12"/>
        <v>0</v>
      </c>
    </row>
    <row r="144" spans="1:70" ht="21" customHeight="1" thickBot="1" x14ac:dyDescent="0.3">
      <c r="A144" s="185"/>
      <c r="B144" s="174">
        <v>12</v>
      </c>
      <c r="C144" s="175"/>
      <c r="D144" s="505">
        <v>0</v>
      </c>
      <c r="E144" s="146">
        <v>0</v>
      </c>
      <c r="F144" s="147">
        <v>1</v>
      </c>
      <c r="G144" s="147">
        <f t="shared" si="48"/>
        <v>4</v>
      </c>
      <c r="H144" s="147">
        <v>5</v>
      </c>
      <c r="I144" s="147" t="str">
        <f t="shared" si="49"/>
        <v/>
      </c>
      <c r="J144" s="147">
        <v>9</v>
      </c>
      <c r="K144" s="148">
        <v>12</v>
      </c>
      <c r="L144" s="150" t="s">
        <v>65</v>
      </c>
      <c r="M144" s="150">
        <f t="shared" si="25"/>
        <v>0.3</v>
      </c>
      <c r="N144" s="150">
        <f t="shared" si="51"/>
        <v>0.3</v>
      </c>
      <c r="O144" s="152">
        <v>118.90260000000001</v>
      </c>
      <c r="P144" s="152">
        <v>83.076694799999999</v>
      </c>
      <c r="Q144" s="153">
        <f t="shared" si="26"/>
        <v>83.076694799999999</v>
      </c>
      <c r="R144" s="153">
        <f t="shared" si="27"/>
        <v>41.538347399999999</v>
      </c>
      <c r="S144" s="153">
        <f t="shared" si="15"/>
        <v>0.66312116713723779</v>
      </c>
      <c r="T144" s="153">
        <f t="shared" si="16"/>
        <v>78.846830887652132</v>
      </c>
      <c r="U144" s="153">
        <f t="shared" si="17"/>
        <v>157.69366177530426</v>
      </c>
      <c r="V144" s="153">
        <f>+C133+D134+D135+D136+D137+D138+D139+D140+D141+D142+D143+(D144/2)</f>
        <v>0</v>
      </c>
      <c r="W144" s="153">
        <f t="shared" si="18"/>
        <v>0</v>
      </c>
      <c r="X144" s="153">
        <f t="shared" si="19"/>
        <v>0</v>
      </c>
      <c r="Y144" s="153">
        <f t="shared" si="28"/>
        <v>89</v>
      </c>
      <c r="Z144" s="153">
        <f t="shared" si="46"/>
        <v>89</v>
      </c>
      <c r="AA144" s="155">
        <f t="shared" si="20"/>
        <v>89</v>
      </c>
      <c r="AB144" s="17"/>
      <c r="AC144" s="156">
        <f t="shared" si="21"/>
        <v>0</v>
      </c>
      <c r="AD144" s="156"/>
      <c r="AE144" s="156"/>
      <c r="AF144" s="156"/>
      <c r="AG144" s="156"/>
      <c r="AH144" s="156"/>
      <c r="AI144" s="528" t="str">
        <f t="shared" si="22"/>
        <v>pin in groundstacking hole</v>
      </c>
      <c r="AJ144" s="29" t="b">
        <f>IF(AK144=12,AM144)</f>
        <v>0</v>
      </c>
      <c r="AK144" s="29">
        <f t="shared" si="29"/>
        <v>1</v>
      </c>
      <c r="AL144" s="29">
        <f>IF(AC144=0,0,12)</f>
        <v>0</v>
      </c>
      <c r="AM144" s="156">
        <f>SUM(AC144:AC156)/($B$130-B143)</f>
        <v>0</v>
      </c>
      <c r="AN144" s="156"/>
      <c r="AO144" s="177">
        <f>SUM(D134:D144)+$C$133</f>
        <v>0</v>
      </c>
      <c r="AP144" s="159" t="b">
        <f t="shared" si="30"/>
        <v>0</v>
      </c>
      <c r="AQ144" s="160">
        <f t="shared" si="31"/>
        <v>70.630179100000007</v>
      </c>
      <c r="AR144" s="178">
        <f t="shared" si="23"/>
        <v>0.94339748455555306</v>
      </c>
      <c r="AS144" s="162">
        <f t="shared" si="32"/>
        <v>125.38573325554864</v>
      </c>
      <c r="AT144" s="160">
        <f t="shared" si="33"/>
        <v>48.461652999999998</v>
      </c>
      <c r="AU144" s="179">
        <f t="shared" si="34"/>
        <v>0.74851207380038831</v>
      </c>
      <c r="AV144" s="162">
        <f t="shared" si="35"/>
        <v>89.000031706258056</v>
      </c>
      <c r="AW144" s="164">
        <f t="shared" si="36"/>
        <v>-87.234660527376263</v>
      </c>
      <c r="AX144" s="162">
        <f t="shared" si="47"/>
        <v>-99</v>
      </c>
      <c r="AY144" s="164">
        <f t="shared" si="37"/>
        <v>-57.099999999999994</v>
      </c>
      <c r="AZ144" s="181">
        <f t="shared" si="38"/>
        <v>214.3857649618067</v>
      </c>
      <c r="BA144" s="182">
        <f t="shared" si="50"/>
        <v>-89.000031706258056</v>
      </c>
      <c r="BB144" s="183">
        <f t="shared" si="39"/>
        <v>1.765371178881793</v>
      </c>
      <c r="BC144" s="182"/>
      <c r="BD144" s="184">
        <f t="shared" si="40"/>
        <v>-56.629806961147303</v>
      </c>
      <c r="BE144" s="184">
        <f t="shared" si="41"/>
        <v>-0.47019303885268959</v>
      </c>
      <c r="BF144" s="170">
        <f t="shared" si="42"/>
        <v>-141.26836076783127</v>
      </c>
      <c r="BG144" s="170">
        <f t="shared" si="43"/>
        <v>-9357.858658937972</v>
      </c>
      <c r="BH144" s="171">
        <f t="shared" si="44"/>
        <v>141.26836076783127</v>
      </c>
      <c r="BI144" s="171">
        <f t="shared" si="44"/>
        <v>9357.858658937972</v>
      </c>
      <c r="BJ144" s="2">
        <f t="shared" si="45"/>
        <v>0.3</v>
      </c>
      <c r="BL144" s="261">
        <v>1</v>
      </c>
      <c r="BM144" s="546">
        <f t="shared" si="13"/>
        <v>0</v>
      </c>
      <c r="BN144" s="540">
        <f t="shared" si="24"/>
        <v>0</v>
      </c>
      <c r="BO144" s="548">
        <f t="shared" si="14"/>
        <v>-89.169867145667965</v>
      </c>
      <c r="BP144" s="262">
        <f t="shared" si="10"/>
        <v>89.169867145667965</v>
      </c>
      <c r="BQ144" s="262">
        <f t="shared" si="11"/>
        <v>12.669867145667965</v>
      </c>
      <c r="BR144" s="262" t="b">
        <f t="shared" si="12"/>
        <v>0</v>
      </c>
    </row>
    <row r="145" spans="2:134" ht="21" customHeight="1" thickBot="1" x14ac:dyDescent="0.3">
      <c r="B145" s="174">
        <v>13</v>
      </c>
      <c r="C145" s="175"/>
      <c r="D145" s="505">
        <v>0</v>
      </c>
      <c r="E145" s="146">
        <v>0</v>
      </c>
      <c r="F145" s="147">
        <v>1</v>
      </c>
      <c r="G145" s="147">
        <f t="shared" si="48"/>
        <v>4</v>
      </c>
      <c r="H145" s="147">
        <v>5</v>
      </c>
      <c r="I145" s="147" t="str">
        <f t="shared" si="49"/>
        <v/>
      </c>
      <c r="J145" s="147">
        <v>9</v>
      </c>
      <c r="K145" s="148">
        <v>12</v>
      </c>
      <c r="L145" s="150" t="s">
        <v>65</v>
      </c>
      <c r="M145" s="150">
        <f t="shared" si="25"/>
        <v>0.3</v>
      </c>
      <c r="N145" s="150">
        <f t="shared" si="51"/>
        <v>0.3</v>
      </c>
      <c r="O145" s="152">
        <v>118.90260000000001</v>
      </c>
      <c r="P145" s="152">
        <v>83.076694799999999</v>
      </c>
      <c r="Q145" s="153">
        <f t="shared" si="26"/>
        <v>83.076694799999999</v>
      </c>
      <c r="R145" s="153">
        <f t="shared" si="27"/>
        <v>41.538347399999999</v>
      </c>
      <c r="S145" s="153">
        <f t="shared" si="15"/>
        <v>0.66312116713723779</v>
      </c>
      <c r="T145" s="153">
        <f t="shared" si="16"/>
        <v>78.846830887652132</v>
      </c>
      <c r="U145" s="153">
        <f t="shared" si="17"/>
        <v>157.69366177530426</v>
      </c>
      <c r="V145" s="153">
        <f>+C133+D134+D135+D136+D137+D138+D139+D140+D141+D142+D143+D144+(D145/2)</f>
        <v>0</v>
      </c>
      <c r="W145" s="153">
        <f t="shared" si="18"/>
        <v>0</v>
      </c>
      <c r="X145" s="153">
        <f t="shared" si="19"/>
        <v>0</v>
      </c>
      <c r="Y145" s="153">
        <f t="shared" si="28"/>
        <v>89</v>
      </c>
      <c r="Z145" s="153">
        <f t="shared" si="46"/>
        <v>89</v>
      </c>
      <c r="AA145" s="155">
        <f t="shared" si="20"/>
        <v>89</v>
      </c>
      <c r="AB145" s="17"/>
      <c r="AC145" s="156">
        <f t="shared" si="21"/>
        <v>0</v>
      </c>
      <c r="AD145" s="156"/>
      <c r="AE145" s="156"/>
      <c r="AF145" s="156"/>
      <c r="AG145" s="156"/>
      <c r="AH145" s="156"/>
      <c r="AI145" s="528" t="str">
        <f t="shared" si="22"/>
        <v>pin in groundstacking hole</v>
      </c>
      <c r="AJ145" s="29" t="b">
        <f>IF(AK145=13,AM145)</f>
        <v>0</v>
      </c>
      <c r="AK145" s="29">
        <f t="shared" si="29"/>
        <v>1</v>
      </c>
      <c r="AL145" s="29">
        <f>IF(AC145=0,0,13)</f>
        <v>0</v>
      </c>
      <c r="AM145" s="156">
        <f>SUM(AC145:AC156)/($B$130-B144)</f>
        <v>0</v>
      </c>
      <c r="AN145" s="156"/>
      <c r="AO145" s="177">
        <f>SUM(D134:D145)+$C$133</f>
        <v>0</v>
      </c>
      <c r="AP145" s="159" t="b">
        <f t="shared" si="30"/>
        <v>0</v>
      </c>
      <c r="AQ145" s="160">
        <f t="shared" si="31"/>
        <v>70.630179100000007</v>
      </c>
      <c r="AR145" s="178">
        <f t="shared" si="23"/>
        <v>0.94339748455555306</v>
      </c>
      <c r="AS145" s="162">
        <f t="shared" si="32"/>
        <v>125.38573325554864</v>
      </c>
      <c r="AT145" s="160">
        <f t="shared" si="33"/>
        <v>48.461652999999998</v>
      </c>
      <c r="AU145" s="179">
        <f t="shared" si="34"/>
        <v>0.74851207380038831</v>
      </c>
      <c r="AV145" s="162">
        <f t="shared" si="35"/>
        <v>89.000031706258056</v>
      </c>
      <c r="AW145" s="164">
        <f t="shared" si="36"/>
        <v>-74.344762927062447</v>
      </c>
      <c r="AX145" s="162">
        <f t="shared" si="47"/>
        <v>-108.9</v>
      </c>
      <c r="AY145" s="164">
        <f t="shared" si="37"/>
        <v>-67</v>
      </c>
      <c r="AZ145" s="181">
        <f t="shared" si="38"/>
        <v>214.3857649618067</v>
      </c>
      <c r="BA145" s="182">
        <f t="shared" si="50"/>
        <v>-89.000031706258056</v>
      </c>
      <c r="BB145" s="183">
        <f t="shared" si="39"/>
        <v>14.655268779195609</v>
      </c>
      <c r="BC145" s="182"/>
      <c r="BD145" s="184">
        <f t="shared" si="40"/>
        <v>-62.419924413446793</v>
      </c>
      <c r="BE145" s="184">
        <f t="shared" si="41"/>
        <v>-4.5800755865532121</v>
      </c>
      <c r="BF145" s="170">
        <f t="shared" si="42"/>
        <v>-128.16420518248179</v>
      </c>
      <c r="BG145" s="170">
        <f t="shared" si="43"/>
        <v>-960.68283521741398</v>
      </c>
      <c r="BH145" s="171">
        <f t="shared" si="44"/>
        <v>128.16420518248179</v>
      </c>
      <c r="BI145" s="171">
        <f t="shared" si="44"/>
        <v>960.68283521741398</v>
      </c>
      <c r="BJ145" s="2">
        <f t="shared" si="45"/>
        <v>0.3</v>
      </c>
      <c r="BL145" s="261">
        <v>2</v>
      </c>
      <c r="BM145" s="546">
        <f t="shared" si="13"/>
        <v>25.5</v>
      </c>
      <c r="BN145" s="540">
        <f t="shared" si="24"/>
        <v>25.5</v>
      </c>
      <c r="BO145" s="548">
        <f t="shared" si="14"/>
        <v>-63.669867145667965</v>
      </c>
      <c r="BP145" s="262">
        <f t="shared" si="10"/>
        <v>63.669867145667965</v>
      </c>
      <c r="BQ145" s="262">
        <f t="shared" si="11"/>
        <v>12.669867145667965</v>
      </c>
      <c r="BR145" s="262" t="b">
        <f t="shared" si="12"/>
        <v>0</v>
      </c>
    </row>
    <row r="146" spans="2:134" ht="21" customHeight="1" thickBot="1" x14ac:dyDescent="0.3">
      <c r="B146" s="174">
        <v>14</v>
      </c>
      <c r="C146" s="175"/>
      <c r="D146" s="505">
        <v>0</v>
      </c>
      <c r="E146" s="146">
        <v>0</v>
      </c>
      <c r="F146" s="147">
        <v>1</v>
      </c>
      <c r="G146" s="147">
        <f t="shared" si="48"/>
        <v>4</v>
      </c>
      <c r="H146" s="147">
        <v>5</v>
      </c>
      <c r="I146" s="147" t="str">
        <f t="shared" si="49"/>
        <v/>
      </c>
      <c r="J146" s="147">
        <v>9</v>
      </c>
      <c r="K146" s="148">
        <v>12</v>
      </c>
      <c r="L146" s="150" t="s">
        <v>65</v>
      </c>
      <c r="M146" s="150">
        <f t="shared" si="25"/>
        <v>0.3</v>
      </c>
      <c r="N146" s="150">
        <f t="shared" si="51"/>
        <v>0.3</v>
      </c>
      <c r="O146" s="152">
        <v>118.90260000000001</v>
      </c>
      <c r="P146" s="152">
        <v>83.076694799999999</v>
      </c>
      <c r="Q146" s="153">
        <f t="shared" si="26"/>
        <v>83.076694799999999</v>
      </c>
      <c r="R146" s="153">
        <f t="shared" si="27"/>
        <v>41.538347399999999</v>
      </c>
      <c r="S146" s="153">
        <f t="shared" si="15"/>
        <v>0.66312116713723779</v>
      </c>
      <c r="T146" s="153">
        <f t="shared" si="16"/>
        <v>78.846830887652132</v>
      </c>
      <c r="U146" s="153">
        <f t="shared" si="17"/>
        <v>157.69366177530426</v>
      </c>
      <c r="V146" s="153">
        <f>+C133+D134+D135+D136+D137+D138+D139+D140+D141+D142+D143+D144+D145+(D146/2)</f>
        <v>0</v>
      </c>
      <c r="W146" s="153">
        <f t="shared" si="18"/>
        <v>0</v>
      </c>
      <c r="X146" s="153">
        <f t="shared" si="19"/>
        <v>0</v>
      </c>
      <c r="Y146" s="153">
        <f t="shared" si="28"/>
        <v>89</v>
      </c>
      <c r="Z146" s="153">
        <f t="shared" si="46"/>
        <v>89</v>
      </c>
      <c r="AA146" s="155">
        <f t="shared" si="20"/>
        <v>89</v>
      </c>
      <c r="AB146" s="17"/>
      <c r="AC146" s="156">
        <f t="shared" si="21"/>
        <v>0</v>
      </c>
      <c r="AD146" s="156"/>
      <c r="AE146" s="156"/>
      <c r="AF146" s="156"/>
      <c r="AG146" s="156"/>
      <c r="AH146" s="156"/>
      <c r="AI146" s="528" t="str">
        <f t="shared" si="22"/>
        <v>pin in groundstacking hole</v>
      </c>
      <c r="AJ146" s="29" t="b">
        <f>IF(AK146=14,AM146)</f>
        <v>0</v>
      </c>
      <c r="AK146" s="29">
        <f t="shared" si="29"/>
        <v>1</v>
      </c>
      <c r="AL146" s="29">
        <f>IF(AC146=0,0,14)</f>
        <v>0</v>
      </c>
      <c r="AM146" s="156">
        <f>SUM(AC146:AC156)/($B$130-B145)</f>
        <v>0</v>
      </c>
      <c r="AN146" s="156"/>
      <c r="AO146" s="177">
        <f>SUM(D134:D146)+$C$133</f>
        <v>0</v>
      </c>
      <c r="AP146" s="159" t="b">
        <f t="shared" si="30"/>
        <v>0</v>
      </c>
      <c r="AQ146" s="160">
        <f t="shared" si="31"/>
        <v>70.630179100000007</v>
      </c>
      <c r="AR146" s="178">
        <f t="shared" si="23"/>
        <v>0.94339748455555306</v>
      </c>
      <c r="AS146" s="162">
        <f t="shared" si="32"/>
        <v>125.38573325554864</v>
      </c>
      <c r="AT146" s="160">
        <f t="shared" si="33"/>
        <v>48.461652999999998</v>
      </c>
      <c r="AU146" s="179">
        <f t="shared" si="34"/>
        <v>0.74851207380038831</v>
      </c>
      <c r="AV146" s="162">
        <f t="shared" si="35"/>
        <v>89.000031706258056</v>
      </c>
      <c r="AW146" s="164">
        <f t="shared" si="36"/>
        <v>-64.773720625659081</v>
      </c>
      <c r="AX146" s="162">
        <f t="shared" si="47"/>
        <v>-118.80000000000001</v>
      </c>
      <c r="AY146" s="164">
        <f t="shared" si="37"/>
        <v>-76.900000000000006</v>
      </c>
      <c r="AZ146" s="181">
        <f t="shared" si="38"/>
        <v>214.3857649618067</v>
      </c>
      <c r="BA146" s="182">
        <f t="shared" si="50"/>
        <v>-89.000031706258056</v>
      </c>
      <c r="BB146" s="183">
        <f t="shared" si="39"/>
        <v>24.226311080598975</v>
      </c>
      <c r="BC146" s="182"/>
      <c r="BD146" s="184">
        <f t="shared" si="40"/>
        <v>-68.210041865746277</v>
      </c>
      <c r="BE146" s="184">
        <f t="shared" si="41"/>
        <v>-8.6899581342537342</v>
      </c>
      <c r="BF146" s="170">
        <f t="shared" si="42"/>
        <v>-117.28478360628951</v>
      </c>
      <c r="BG146" s="170">
        <f t="shared" si="43"/>
        <v>-506.3315532736865</v>
      </c>
      <c r="BH146" s="171">
        <f t="shared" si="44"/>
        <v>117.28478360628951</v>
      </c>
      <c r="BI146" s="171">
        <f t="shared" si="44"/>
        <v>506.3315532736865</v>
      </c>
      <c r="BJ146" s="2">
        <f t="shared" si="45"/>
        <v>0.3</v>
      </c>
      <c r="BL146" s="261">
        <v>3</v>
      </c>
      <c r="BM146" s="546">
        <f t="shared" si="13"/>
        <v>51</v>
      </c>
      <c r="BN146" s="540">
        <f t="shared" si="24"/>
        <v>51</v>
      </c>
      <c r="BO146" s="548">
        <f t="shared" si="14"/>
        <v>-38.169867145667965</v>
      </c>
      <c r="BP146" s="262">
        <f t="shared" si="10"/>
        <v>38.169867145667965</v>
      </c>
      <c r="BQ146" s="262">
        <f t="shared" si="11"/>
        <v>12.669867145667965</v>
      </c>
      <c r="BR146" s="262" t="b">
        <f t="shared" si="12"/>
        <v>0</v>
      </c>
    </row>
    <row r="147" spans="2:134" ht="21" customHeight="1" thickBot="1" x14ac:dyDescent="0.3">
      <c r="B147" s="174">
        <v>15</v>
      </c>
      <c r="C147" s="175"/>
      <c r="D147" s="505">
        <v>0</v>
      </c>
      <c r="E147" s="146">
        <v>0</v>
      </c>
      <c r="F147" s="147">
        <v>1</v>
      </c>
      <c r="G147" s="147">
        <f t="shared" si="48"/>
        <v>4</v>
      </c>
      <c r="H147" s="147">
        <v>5</v>
      </c>
      <c r="I147" s="147" t="str">
        <f t="shared" si="49"/>
        <v/>
      </c>
      <c r="J147" s="147">
        <v>9</v>
      </c>
      <c r="K147" s="148">
        <v>12</v>
      </c>
      <c r="L147" s="150" t="s">
        <v>65</v>
      </c>
      <c r="M147" s="150">
        <f t="shared" si="25"/>
        <v>0.3</v>
      </c>
      <c r="N147" s="150">
        <f t="shared" si="51"/>
        <v>0.3</v>
      </c>
      <c r="O147" s="152">
        <v>118.90260000000001</v>
      </c>
      <c r="P147" s="152">
        <v>83.076694799999999</v>
      </c>
      <c r="Q147" s="153">
        <f t="shared" si="26"/>
        <v>83.076694799999999</v>
      </c>
      <c r="R147" s="153">
        <f t="shared" si="27"/>
        <v>41.538347399999999</v>
      </c>
      <c r="S147" s="153">
        <f t="shared" si="15"/>
        <v>0.66312116713723779</v>
      </c>
      <c r="T147" s="153">
        <f t="shared" si="16"/>
        <v>78.846830887652132</v>
      </c>
      <c r="U147" s="153">
        <f t="shared" si="17"/>
        <v>157.69366177530426</v>
      </c>
      <c r="V147" s="153">
        <f>+C133+D134+D135+D136+D137+D138+D139+D140+D141+D142+D143+D144+D145+D146+(D147/2)</f>
        <v>0</v>
      </c>
      <c r="W147" s="153">
        <f t="shared" si="18"/>
        <v>0</v>
      </c>
      <c r="X147" s="153">
        <f t="shared" si="19"/>
        <v>0</v>
      </c>
      <c r="Y147" s="153">
        <f t="shared" si="28"/>
        <v>89</v>
      </c>
      <c r="Z147" s="153">
        <f t="shared" si="46"/>
        <v>89</v>
      </c>
      <c r="AA147" s="155">
        <f t="shared" si="20"/>
        <v>89</v>
      </c>
      <c r="AB147" s="17"/>
      <c r="AC147" s="156">
        <f t="shared" si="21"/>
        <v>0</v>
      </c>
      <c r="AD147" s="156"/>
      <c r="AE147" s="156"/>
      <c r="AF147" s="156"/>
      <c r="AG147" s="156"/>
      <c r="AH147" s="156"/>
      <c r="AI147" s="528" t="str">
        <f t="shared" si="22"/>
        <v>pin in groundstacking hole</v>
      </c>
      <c r="AJ147" s="29" t="b">
        <f>IF(AK147=15,AM147)</f>
        <v>0</v>
      </c>
      <c r="AK147" s="29">
        <f t="shared" si="29"/>
        <v>1</v>
      </c>
      <c r="AL147" s="29">
        <f>IF(AC147=0,0,15)</f>
        <v>0</v>
      </c>
      <c r="AM147" s="156">
        <f>SUM(AC147:AC156)/($B$130-B146)</f>
        <v>0</v>
      </c>
      <c r="AN147" s="156"/>
      <c r="AO147" s="177">
        <f>SUM(D134:D147)+$C$133</f>
        <v>0</v>
      </c>
      <c r="AP147" s="159" t="b">
        <f t="shared" si="30"/>
        <v>0</v>
      </c>
      <c r="AQ147" s="160">
        <f t="shared" si="31"/>
        <v>70.630179100000007</v>
      </c>
      <c r="AR147" s="178">
        <f t="shared" si="23"/>
        <v>0.94339748455555306</v>
      </c>
      <c r="AS147" s="162">
        <f t="shared" si="32"/>
        <v>125.38573325554864</v>
      </c>
      <c r="AT147" s="160">
        <f t="shared" si="33"/>
        <v>48.461652999999998</v>
      </c>
      <c r="AU147" s="179">
        <f t="shared" si="34"/>
        <v>0.74851207380038831</v>
      </c>
      <c r="AV147" s="162">
        <f t="shared" si="35"/>
        <v>89.000031706258056</v>
      </c>
      <c r="AW147" s="164">
        <f t="shared" si="36"/>
        <v>-57.385934517432993</v>
      </c>
      <c r="AX147" s="162">
        <f t="shared" si="47"/>
        <v>-128.70000000000002</v>
      </c>
      <c r="AY147" s="164">
        <f t="shared" si="37"/>
        <v>-86.800000000000011</v>
      </c>
      <c r="AZ147" s="181">
        <f t="shared" si="38"/>
        <v>214.3857649618067</v>
      </c>
      <c r="BA147" s="182">
        <f t="shared" si="50"/>
        <v>-89.000031706258056</v>
      </c>
      <c r="BB147" s="183">
        <f t="shared" si="39"/>
        <v>31.614097188825063</v>
      </c>
      <c r="BC147" s="182"/>
      <c r="BD147" s="184">
        <f t="shared" si="40"/>
        <v>-74.00015931804576</v>
      </c>
      <c r="BE147" s="184">
        <f t="shared" si="41"/>
        <v>-12.799840681954251</v>
      </c>
      <c r="BF147" s="170">
        <f t="shared" si="42"/>
        <v>-108.10787535762928</v>
      </c>
      <c r="BG147" s="170">
        <f t="shared" si="43"/>
        <v>-343.75427861405365</v>
      </c>
      <c r="BH147" s="171">
        <f t="shared" si="44"/>
        <v>108.10787535762928</v>
      </c>
      <c r="BI147" s="171">
        <f t="shared" si="44"/>
        <v>343.75427861405365</v>
      </c>
      <c r="BJ147" s="2">
        <f t="shared" si="45"/>
        <v>0.3</v>
      </c>
      <c r="BL147" s="261">
        <v>4</v>
      </c>
      <c r="BM147" s="546">
        <f t="shared" si="13"/>
        <v>76.5</v>
      </c>
      <c r="BN147" s="540">
        <f t="shared" si="24"/>
        <v>76.5</v>
      </c>
      <c r="BO147" s="548">
        <f t="shared" si="14"/>
        <v>-12.669867145667965</v>
      </c>
      <c r="BP147" s="262">
        <f t="shared" si="10"/>
        <v>12.669867145667965</v>
      </c>
      <c r="BQ147" s="262">
        <f t="shared" si="11"/>
        <v>12.669867145667965</v>
      </c>
      <c r="BR147" s="262">
        <f t="shared" si="12"/>
        <v>4</v>
      </c>
    </row>
    <row r="148" spans="2:134" ht="21" customHeight="1" thickBot="1" x14ac:dyDescent="0.3">
      <c r="B148" s="174">
        <v>16</v>
      </c>
      <c r="C148" s="175"/>
      <c r="D148" s="505">
        <v>0</v>
      </c>
      <c r="E148" s="146">
        <v>0</v>
      </c>
      <c r="F148" s="147">
        <v>1</v>
      </c>
      <c r="G148" s="147">
        <f t="shared" si="48"/>
        <v>4</v>
      </c>
      <c r="H148" s="147">
        <v>5</v>
      </c>
      <c r="I148" s="147" t="str">
        <f t="shared" si="49"/>
        <v/>
      </c>
      <c r="J148" s="147">
        <v>9</v>
      </c>
      <c r="K148" s="148">
        <v>12</v>
      </c>
      <c r="L148" s="150" t="s">
        <v>65</v>
      </c>
      <c r="M148" s="150">
        <f t="shared" si="25"/>
        <v>0.3</v>
      </c>
      <c r="N148" s="150">
        <f t="shared" si="51"/>
        <v>0.3</v>
      </c>
      <c r="O148" s="152">
        <v>118.90260000000001</v>
      </c>
      <c r="P148" s="152">
        <v>83.076694799999999</v>
      </c>
      <c r="Q148" s="153">
        <f t="shared" si="26"/>
        <v>83.076694799999999</v>
      </c>
      <c r="R148" s="153">
        <f t="shared" si="27"/>
        <v>41.538347399999999</v>
      </c>
      <c r="S148" s="153">
        <f t="shared" si="15"/>
        <v>0.66312116713723779</v>
      </c>
      <c r="T148" s="153">
        <f t="shared" si="16"/>
        <v>78.846830887652132</v>
      </c>
      <c r="U148" s="153">
        <f t="shared" si="17"/>
        <v>157.69366177530426</v>
      </c>
      <c r="V148" s="153">
        <f>+C133+D134+D135+D136+D137+D138+D139+D140+D141+D142+D143+D144+D145+D146+D147+(D148/2)</f>
        <v>0</v>
      </c>
      <c r="W148" s="153">
        <f t="shared" si="18"/>
        <v>0</v>
      </c>
      <c r="X148" s="153">
        <f t="shared" si="19"/>
        <v>0</v>
      </c>
      <c r="Y148" s="153">
        <f t="shared" si="28"/>
        <v>89</v>
      </c>
      <c r="Z148" s="153">
        <f t="shared" si="46"/>
        <v>89</v>
      </c>
      <c r="AA148" s="155">
        <f t="shared" si="20"/>
        <v>89</v>
      </c>
      <c r="AB148" s="17"/>
      <c r="AC148" s="156">
        <f t="shared" si="21"/>
        <v>0</v>
      </c>
      <c r="AD148" s="156"/>
      <c r="AE148" s="156"/>
      <c r="AF148" s="156"/>
      <c r="AG148" s="156"/>
      <c r="AH148" s="156"/>
      <c r="AI148" s="528" t="str">
        <f t="shared" si="22"/>
        <v>pin in groundstacking hole</v>
      </c>
      <c r="AJ148" s="29" t="b">
        <f>IF(AK148=16,AM148)</f>
        <v>0</v>
      </c>
      <c r="AK148" s="29">
        <f t="shared" si="29"/>
        <v>1</v>
      </c>
      <c r="AL148" s="29">
        <f>IF(AC148=0,0,16)</f>
        <v>0</v>
      </c>
      <c r="AM148" s="156">
        <f>SUM(AC148:AC156)/($B$130-B147)</f>
        <v>0</v>
      </c>
      <c r="AN148" s="156"/>
      <c r="AO148" s="177">
        <f>SUM(D134:D148)+$C$133</f>
        <v>0</v>
      </c>
      <c r="AP148" s="159" t="b">
        <f t="shared" si="30"/>
        <v>0</v>
      </c>
      <c r="AQ148" s="160">
        <f t="shared" si="31"/>
        <v>70.630179100000007</v>
      </c>
      <c r="AR148" s="178">
        <f t="shared" si="23"/>
        <v>0.94339748455555306</v>
      </c>
      <c r="AS148" s="162">
        <f t="shared" si="32"/>
        <v>125.38573325554864</v>
      </c>
      <c r="AT148" s="160">
        <f t="shared" si="33"/>
        <v>48.461652999999998</v>
      </c>
      <c r="AU148" s="179">
        <f t="shared" si="34"/>
        <v>0.74851207380038831</v>
      </c>
      <c r="AV148" s="162">
        <f t="shared" si="35"/>
        <v>89.000031706258056</v>
      </c>
      <c r="AW148" s="164">
        <f t="shared" si="36"/>
        <v>-51.510849184210805</v>
      </c>
      <c r="AX148" s="162">
        <f t="shared" si="47"/>
        <v>-138.6</v>
      </c>
      <c r="AY148" s="164">
        <f t="shared" si="37"/>
        <v>-96.699999999999989</v>
      </c>
      <c r="AZ148" s="181">
        <f t="shared" si="38"/>
        <v>214.3857649618067</v>
      </c>
      <c r="BA148" s="182">
        <f t="shared" si="50"/>
        <v>-89.000031706258056</v>
      </c>
      <c r="BB148" s="183">
        <f t="shared" si="39"/>
        <v>37.489182522047251</v>
      </c>
      <c r="BC148" s="182"/>
      <c r="BD148" s="184">
        <f t="shared" si="40"/>
        <v>-79.79027677034523</v>
      </c>
      <c r="BE148" s="184">
        <f t="shared" si="41"/>
        <v>-16.909723229654762</v>
      </c>
      <c r="BF148" s="170">
        <f t="shared" si="42"/>
        <v>-100.26284309084227</v>
      </c>
      <c r="BG148" s="170">
        <f t="shared" si="43"/>
        <v>-260.20532330675127</v>
      </c>
      <c r="BH148" s="171">
        <f t="shared" si="44"/>
        <v>100.26284309084227</v>
      </c>
      <c r="BI148" s="171">
        <f t="shared" si="44"/>
        <v>260.20532330675127</v>
      </c>
      <c r="BJ148" s="2">
        <f t="shared" si="45"/>
        <v>0.3</v>
      </c>
      <c r="BL148" s="261">
        <v>5</v>
      </c>
      <c r="BM148" s="546">
        <f t="shared" si="13"/>
        <v>102</v>
      </c>
      <c r="BN148" s="540">
        <f t="shared" si="24"/>
        <v>102</v>
      </c>
      <c r="BO148" s="548">
        <f t="shared" si="14"/>
        <v>12.830132854332035</v>
      </c>
      <c r="BP148" s="262">
        <f t="shared" si="10"/>
        <v>12.830132854332035</v>
      </c>
      <c r="BQ148" s="262">
        <f t="shared" si="11"/>
        <v>12.669867145667965</v>
      </c>
      <c r="BR148" s="262" t="b">
        <f t="shared" si="12"/>
        <v>0</v>
      </c>
    </row>
    <row r="149" spans="2:134" ht="21" customHeight="1" thickBot="1" x14ac:dyDescent="0.3">
      <c r="B149" s="174">
        <v>17</v>
      </c>
      <c r="C149" s="175"/>
      <c r="D149" s="505">
        <v>0</v>
      </c>
      <c r="E149" s="146">
        <v>0</v>
      </c>
      <c r="F149" s="147">
        <v>1</v>
      </c>
      <c r="G149" s="147">
        <f t="shared" si="48"/>
        <v>4</v>
      </c>
      <c r="H149" s="147">
        <v>5</v>
      </c>
      <c r="I149" s="147" t="str">
        <f t="shared" si="49"/>
        <v/>
      </c>
      <c r="J149" s="147">
        <v>9</v>
      </c>
      <c r="K149" s="148">
        <v>12</v>
      </c>
      <c r="L149" s="150" t="s">
        <v>65</v>
      </c>
      <c r="M149" s="150">
        <f t="shared" si="25"/>
        <v>0.3</v>
      </c>
      <c r="N149" s="150">
        <f t="shared" si="51"/>
        <v>0.3</v>
      </c>
      <c r="O149" s="152">
        <v>118.90260000000001</v>
      </c>
      <c r="P149" s="152">
        <v>83.076694799999999</v>
      </c>
      <c r="Q149" s="153">
        <f t="shared" si="26"/>
        <v>83.076694799999999</v>
      </c>
      <c r="R149" s="153">
        <f t="shared" si="27"/>
        <v>41.538347399999999</v>
      </c>
      <c r="S149" s="153">
        <f t="shared" si="15"/>
        <v>0.66312116713723779</v>
      </c>
      <c r="T149" s="153">
        <f t="shared" si="16"/>
        <v>78.846830887652132</v>
      </c>
      <c r="U149" s="153">
        <f t="shared" si="17"/>
        <v>157.69366177530426</v>
      </c>
      <c r="V149" s="153">
        <f>+C133+D134+D135+D136+D137+D138+D139+D140+D141+D142+D143+D144+D145+D146+D147+D148+(D149/2)</f>
        <v>0</v>
      </c>
      <c r="W149" s="153">
        <f t="shared" si="18"/>
        <v>0</v>
      </c>
      <c r="X149" s="153">
        <f t="shared" si="19"/>
        <v>0</v>
      </c>
      <c r="Y149" s="153">
        <f t="shared" si="28"/>
        <v>89</v>
      </c>
      <c r="Z149" s="153">
        <f t="shared" si="46"/>
        <v>89</v>
      </c>
      <c r="AA149" s="155">
        <f t="shared" si="20"/>
        <v>89</v>
      </c>
      <c r="AB149" s="17"/>
      <c r="AC149" s="156">
        <f t="shared" si="21"/>
        <v>0</v>
      </c>
      <c r="AD149" s="156"/>
      <c r="AE149" s="156"/>
      <c r="AF149" s="156"/>
      <c r="AG149" s="156"/>
      <c r="AH149" s="156"/>
      <c r="AI149" s="528" t="str">
        <f t="shared" si="22"/>
        <v>pin in groundstacking hole</v>
      </c>
      <c r="AJ149" s="29" t="b">
        <f>IF(AK149=17,AM149)</f>
        <v>0</v>
      </c>
      <c r="AK149" s="29">
        <f t="shared" si="29"/>
        <v>1</v>
      </c>
      <c r="AL149" s="29">
        <f>IF(AC149=0,0,17)</f>
        <v>0</v>
      </c>
      <c r="AM149" s="156">
        <f>SUM(AC149:AC156)/($B$130-B148)</f>
        <v>0</v>
      </c>
      <c r="AN149" s="156"/>
      <c r="AO149" s="177">
        <f>SUM(D134:D149)+$C$133</f>
        <v>0</v>
      </c>
      <c r="AP149" s="159" t="b">
        <f t="shared" si="30"/>
        <v>0</v>
      </c>
      <c r="AQ149" s="160">
        <f t="shared" si="31"/>
        <v>70.630179100000007</v>
      </c>
      <c r="AR149" s="178">
        <f t="shared" si="23"/>
        <v>0.94339748455555306</v>
      </c>
      <c r="AS149" s="162">
        <f t="shared" si="32"/>
        <v>125.38573325554864</v>
      </c>
      <c r="AT149" s="160">
        <f t="shared" si="33"/>
        <v>48.461652999999998</v>
      </c>
      <c r="AU149" s="179">
        <f t="shared" si="34"/>
        <v>0.74851207380038831</v>
      </c>
      <c r="AV149" s="162">
        <f t="shared" si="35"/>
        <v>89.000031706258056</v>
      </c>
      <c r="AW149" s="164">
        <f t="shared" si="36"/>
        <v>-46.727008593932311</v>
      </c>
      <c r="AX149" s="162">
        <f t="shared" si="47"/>
        <v>-148.5</v>
      </c>
      <c r="AY149" s="164">
        <f t="shared" si="37"/>
        <v>-106.6</v>
      </c>
      <c r="AZ149" s="181">
        <f t="shared" si="38"/>
        <v>214.3857649618067</v>
      </c>
      <c r="BA149" s="182">
        <f t="shared" si="50"/>
        <v>-89.000031706258056</v>
      </c>
      <c r="BB149" s="183">
        <f t="shared" si="39"/>
        <v>42.273023112325745</v>
      </c>
      <c r="BC149" s="182"/>
      <c r="BD149" s="184">
        <f t="shared" si="40"/>
        <v>-85.580394222644713</v>
      </c>
      <c r="BE149" s="184">
        <f t="shared" si="41"/>
        <v>-21.019605777355284</v>
      </c>
      <c r="BF149" s="170">
        <f t="shared" si="42"/>
        <v>-93.479354385623836</v>
      </c>
      <c r="BG149" s="170">
        <f t="shared" si="43"/>
        <v>-209.32837878149843</v>
      </c>
      <c r="BH149" s="171">
        <f t="shared" si="44"/>
        <v>93.479354385623836</v>
      </c>
      <c r="BI149" s="171">
        <f t="shared" si="44"/>
        <v>209.32837878149843</v>
      </c>
      <c r="BJ149" s="2">
        <f t="shared" si="45"/>
        <v>0.3</v>
      </c>
      <c r="BL149" s="261">
        <v>6</v>
      </c>
      <c r="BM149" s="546">
        <f t="shared" si="13"/>
        <v>127.5</v>
      </c>
      <c r="BN149" s="540">
        <f t="shared" si="24"/>
        <v>127.5</v>
      </c>
      <c r="BO149" s="548">
        <f t="shared" si="14"/>
        <v>38.330132854332035</v>
      </c>
      <c r="BP149" s="262">
        <f t="shared" si="10"/>
        <v>38.330132854332035</v>
      </c>
      <c r="BQ149" s="262">
        <f t="shared" si="11"/>
        <v>12.669867145667965</v>
      </c>
      <c r="BR149" s="262" t="b">
        <f t="shared" si="12"/>
        <v>0</v>
      </c>
    </row>
    <row r="150" spans="2:134" ht="21" customHeight="1" thickBot="1" x14ac:dyDescent="0.3">
      <c r="B150" s="174">
        <v>18</v>
      </c>
      <c r="C150" s="175"/>
      <c r="D150" s="505">
        <v>0</v>
      </c>
      <c r="E150" s="146">
        <v>0</v>
      </c>
      <c r="F150" s="147">
        <v>1</v>
      </c>
      <c r="G150" s="147">
        <f t="shared" si="48"/>
        <v>4</v>
      </c>
      <c r="H150" s="147">
        <v>5</v>
      </c>
      <c r="I150" s="147" t="str">
        <f t="shared" si="49"/>
        <v/>
      </c>
      <c r="J150" s="147">
        <v>9</v>
      </c>
      <c r="K150" s="148">
        <v>12</v>
      </c>
      <c r="L150" s="150" t="s">
        <v>65</v>
      </c>
      <c r="M150" s="150">
        <f t="shared" si="25"/>
        <v>0.3</v>
      </c>
      <c r="N150" s="150">
        <f t="shared" si="51"/>
        <v>0.3</v>
      </c>
      <c r="O150" s="152">
        <v>118.90260000000001</v>
      </c>
      <c r="P150" s="152">
        <v>83.076694799999999</v>
      </c>
      <c r="Q150" s="153">
        <f t="shared" si="26"/>
        <v>83.076694799999999</v>
      </c>
      <c r="R150" s="153">
        <f t="shared" si="27"/>
        <v>41.538347399999999</v>
      </c>
      <c r="S150" s="153">
        <f t="shared" si="15"/>
        <v>0.66312116713723779</v>
      </c>
      <c r="T150" s="153">
        <f t="shared" si="16"/>
        <v>78.846830887652132</v>
      </c>
      <c r="U150" s="153">
        <f t="shared" si="17"/>
        <v>157.69366177530426</v>
      </c>
      <c r="V150" s="153">
        <f>+C133+D134+D135+D136+D137+D138+D139+D140+D141+D142+D143+D144+D145+D146+D147+D148+D149+(D150/2)</f>
        <v>0</v>
      </c>
      <c r="W150" s="153">
        <f t="shared" si="18"/>
        <v>0</v>
      </c>
      <c r="X150" s="153">
        <f t="shared" si="19"/>
        <v>0</v>
      </c>
      <c r="Y150" s="153">
        <f t="shared" si="28"/>
        <v>89</v>
      </c>
      <c r="Z150" s="153">
        <f t="shared" si="46"/>
        <v>89</v>
      </c>
      <c r="AA150" s="155">
        <f t="shared" si="20"/>
        <v>89</v>
      </c>
      <c r="AB150" s="17"/>
      <c r="AC150" s="156">
        <f t="shared" si="21"/>
        <v>0</v>
      </c>
      <c r="AD150" s="156"/>
      <c r="AE150" s="156"/>
      <c r="AF150" s="156"/>
      <c r="AG150" s="156"/>
      <c r="AH150" s="156"/>
      <c r="AI150" s="528" t="str">
        <f t="shared" si="22"/>
        <v>pin in groundstacking hole</v>
      </c>
      <c r="AJ150" s="29" t="b">
        <f>IF(AK150=18,AM150)</f>
        <v>0</v>
      </c>
      <c r="AK150" s="29">
        <f t="shared" si="29"/>
        <v>1</v>
      </c>
      <c r="AL150" s="29">
        <f>IF(AC150=0,0,18)</f>
        <v>0</v>
      </c>
      <c r="AM150" s="156">
        <f>SUM(AC150:AC156)/($B$130-B149)</f>
        <v>0</v>
      </c>
      <c r="AN150" s="156"/>
      <c r="AO150" s="177">
        <f>SUM(D134:D150)+$C$133</f>
        <v>0</v>
      </c>
      <c r="AP150" s="159" t="b">
        <f t="shared" si="30"/>
        <v>0</v>
      </c>
      <c r="AQ150" s="160">
        <f t="shared" si="31"/>
        <v>70.630179100000007</v>
      </c>
      <c r="AR150" s="178">
        <f t="shared" si="23"/>
        <v>0.94339748455555306</v>
      </c>
      <c r="AS150" s="162">
        <f t="shared" si="32"/>
        <v>125.38573325554864</v>
      </c>
      <c r="AT150" s="160">
        <f t="shared" si="33"/>
        <v>48.461652999999998</v>
      </c>
      <c r="AU150" s="179">
        <f t="shared" si="34"/>
        <v>0.74851207380038831</v>
      </c>
      <c r="AV150" s="162">
        <f t="shared" si="35"/>
        <v>89.000031706258056</v>
      </c>
      <c r="AW150" s="164">
        <f t="shared" si="36"/>
        <v>-42.756215588954369</v>
      </c>
      <c r="AX150" s="162">
        <f t="shared" si="47"/>
        <v>-158.4</v>
      </c>
      <c r="AY150" s="164">
        <f t="shared" si="37"/>
        <v>-116.5</v>
      </c>
      <c r="AZ150" s="181">
        <f t="shared" si="38"/>
        <v>214.3857649618067</v>
      </c>
      <c r="BA150" s="182">
        <f t="shared" si="50"/>
        <v>-89.000031706258056</v>
      </c>
      <c r="BB150" s="183">
        <f t="shared" si="39"/>
        <v>46.243816117303687</v>
      </c>
      <c r="BC150" s="182"/>
      <c r="BD150" s="184">
        <f t="shared" si="40"/>
        <v>-91.370511674944197</v>
      </c>
      <c r="BE150" s="184">
        <f t="shared" si="41"/>
        <v>-25.129488325055807</v>
      </c>
      <c r="BF150" s="170">
        <f t="shared" si="42"/>
        <v>-87.555600306370792</v>
      </c>
      <c r="BG150" s="170">
        <f t="shared" si="43"/>
        <v>-175.0930995126113</v>
      </c>
      <c r="BH150" s="171">
        <f t="shared" si="44"/>
        <v>87.555600306370792</v>
      </c>
      <c r="BI150" s="171">
        <f t="shared" si="44"/>
        <v>175.0930995126113</v>
      </c>
      <c r="BJ150" s="2">
        <f t="shared" si="45"/>
        <v>0.3</v>
      </c>
      <c r="BL150" s="261">
        <v>7</v>
      </c>
      <c r="BM150" s="546">
        <f t="shared" si="13"/>
        <v>153</v>
      </c>
      <c r="BN150" s="540">
        <f t="shared" si="24"/>
        <v>153</v>
      </c>
      <c r="BO150" s="548">
        <f t="shared" si="14"/>
        <v>63.830132854332035</v>
      </c>
      <c r="BP150" s="262">
        <f t="shared" si="10"/>
        <v>63.830132854332035</v>
      </c>
      <c r="BQ150" s="262">
        <f t="shared" si="11"/>
        <v>12.669867145667965</v>
      </c>
      <c r="BR150" s="262" t="b">
        <f t="shared" si="12"/>
        <v>0</v>
      </c>
    </row>
    <row r="151" spans="2:134" ht="21" customHeight="1" thickBot="1" x14ac:dyDescent="0.3">
      <c r="B151" s="174">
        <v>19</v>
      </c>
      <c r="C151" s="175"/>
      <c r="D151" s="505">
        <v>0</v>
      </c>
      <c r="E151" s="188">
        <v>0</v>
      </c>
      <c r="F151" s="189">
        <v>1</v>
      </c>
      <c r="G151" s="189">
        <f t="shared" si="48"/>
        <v>4</v>
      </c>
      <c r="H151" s="189">
        <v>5</v>
      </c>
      <c r="I151" s="189" t="str">
        <f t="shared" si="49"/>
        <v/>
      </c>
      <c r="J151" s="189">
        <v>9</v>
      </c>
      <c r="K151" s="190">
        <v>12</v>
      </c>
      <c r="L151" s="191" t="s">
        <v>65</v>
      </c>
      <c r="M151" s="150">
        <f t="shared" si="25"/>
        <v>0.3</v>
      </c>
      <c r="N151" s="150">
        <f t="shared" si="51"/>
        <v>0.3</v>
      </c>
      <c r="O151" s="152">
        <v>118.90260000000001</v>
      </c>
      <c r="P151" s="152">
        <v>83.076694799999999</v>
      </c>
      <c r="Q151" s="153">
        <f t="shared" si="26"/>
        <v>83.076694799999999</v>
      </c>
      <c r="R151" s="153">
        <f t="shared" si="27"/>
        <v>41.538347399999999</v>
      </c>
      <c r="S151" s="153">
        <f t="shared" si="15"/>
        <v>0.66312116713723779</v>
      </c>
      <c r="T151" s="153">
        <f t="shared" si="16"/>
        <v>78.846830887652132</v>
      </c>
      <c r="U151" s="153">
        <f t="shared" si="17"/>
        <v>157.69366177530426</v>
      </c>
      <c r="V151" s="153">
        <f>+C133+D134+D135+D136+D137+D138+D139+D140+D141+D142+D143+D144+D145+D146+D147+D148+D149+D150+(D151/2)</f>
        <v>0</v>
      </c>
      <c r="W151" s="153">
        <f t="shared" si="18"/>
        <v>0</v>
      </c>
      <c r="X151" s="153">
        <f t="shared" si="19"/>
        <v>0</v>
      </c>
      <c r="Y151" s="153">
        <f t="shared" si="28"/>
        <v>89</v>
      </c>
      <c r="Z151" s="153">
        <f t="shared" si="46"/>
        <v>89</v>
      </c>
      <c r="AA151" s="155">
        <f t="shared" si="20"/>
        <v>89</v>
      </c>
      <c r="AB151" s="17"/>
      <c r="AC151" s="156">
        <f t="shared" si="21"/>
        <v>0</v>
      </c>
      <c r="AD151" s="156"/>
      <c r="AE151" s="156"/>
      <c r="AF151" s="156"/>
      <c r="AG151" s="156"/>
      <c r="AH151" s="156"/>
      <c r="AI151" s="528" t="str">
        <f t="shared" si="22"/>
        <v>pin in groundstacking hole</v>
      </c>
      <c r="AJ151" s="29" t="b">
        <f>IF(AK151=19,AM151)</f>
        <v>0</v>
      </c>
      <c r="AK151" s="29">
        <f t="shared" si="29"/>
        <v>1</v>
      </c>
      <c r="AL151" s="29">
        <f>IF(AC151=0,0,19)</f>
        <v>0</v>
      </c>
      <c r="AM151" s="156">
        <f>SUM(AC151:AC156)/($B$130-B150)</f>
        <v>0</v>
      </c>
      <c r="AN151" s="156"/>
      <c r="AO151" s="177">
        <f>SUM(D133:D151)+$C$133</f>
        <v>0</v>
      </c>
      <c r="AP151" s="159" t="b">
        <f t="shared" si="30"/>
        <v>0</v>
      </c>
      <c r="AQ151" s="160">
        <f t="shared" si="31"/>
        <v>70.630179100000007</v>
      </c>
      <c r="AR151" s="178">
        <f t="shared" si="23"/>
        <v>0.94339748455555306</v>
      </c>
      <c r="AS151" s="162">
        <f t="shared" si="32"/>
        <v>125.38573325554864</v>
      </c>
      <c r="AT151" s="160">
        <f t="shared" si="33"/>
        <v>48.461652999999998</v>
      </c>
      <c r="AU151" s="179">
        <f t="shared" si="34"/>
        <v>0.74851207380038831</v>
      </c>
      <c r="AV151" s="162">
        <f t="shared" si="35"/>
        <v>89.000031706258056</v>
      </c>
      <c r="AW151" s="164">
        <f t="shared" si="36"/>
        <v>-39.407429716085318</v>
      </c>
      <c r="AX151" s="162">
        <f t="shared" si="47"/>
        <v>-168.3</v>
      </c>
      <c r="AY151" s="164">
        <f t="shared" si="37"/>
        <v>-126.4</v>
      </c>
      <c r="AZ151" s="181">
        <f t="shared" si="38"/>
        <v>214.3857649618067</v>
      </c>
      <c r="BA151" s="182">
        <f t="shared" si="50"/>
        <v>-89.000031706258056</v>
      </c>
      <c r="BB151" s="183">
        <f t="shared" si="39"/>
        <v>49.592601990172739</v>
      </c>
      <c r="BC151" s="182"/>
      <c r="BD151" s="184">
        <f t="shared" si="40"/>
        <v>-97.160629127243681</v>
      </c>
      <c r="BE151" s="184">
        <f t="shared" si="41"/>
        <v>-29.239370872756325</v>
      </c>
      <c r="BF151" s="170">
        <f t="shared" si="42"/>
        <v>-82.33787771714637</v>
      </c>
      <c r="BG151" s="170">
        <f t="shared" si="43"/>
        <v>-150.48203393800389</v>
      </c>
      <c r="BH151" s="171">
        <f t="shared" si="44"/>
        <v>82.33787771714637</v>
      </c>
      <c r="BI151" s="171">
        <f t="shared" si="44"/>
        <v>150.48203393800389</v>
      </c>
      <c r="BJ151" s="2">
        <f t="shared" si="45"/>
        <v>0.3</v>
      </c>
      <c r="BL151" s="261">
        <v>8</v>
      </c>
      <c r="BM151" s="546">
        <f t="shared" si="13"/>
        <v>178.5</v>
      </c>
      <c r="BN151" s="540">
        <f t="shared" si="24"/>
        <v>178.5</v>
      </c>
      <c r="BO151" s="548">
        <f t="shared" si="14"/>
        <v>89.330132854332035</v>
      </c>
      <c r="BP151" s="262">
        <f t="shared" si="10"/>
        <v>89.330132854332035</v>
      </c>
      <c r="BQ151" s="262">
        <f t="shared" si="11"/>
        <v>12.669867145667965</v>
      </c>
      <c r="BR151" s="262" t="b">
        <f t="shared" si="12"/>
        <v>0</v>
      </c>
    </row>
    <row r="152" spans="2:134" ht="21" customHeight="1" thickBot="1" x14ac:dyDescent="0.3">
      <c r="B152" s="174">
        <v>20</v>
      </c>
      <c r="C152" s="175"/>
      <c r="D152" s="505">
        <v>0</v>
      </c>
      <c r="E152" s="146">
        <v>0</v>
      </c>
      <c r="F152" s="147">
        <v>1</v>
      </c>
      <c r="G152" s="147">
        <f t="shared" si="48"/>
        <v>4</v>
      </c>
      <c r="H152" s="147">
        <v>5</v>
      </c>
      <c r="I152" s="147" t="str">
        <f t="shared" si="49"/>
        <v/>
      </c>
      <c r="J152" s="147">
        <v>9</v>
      </c>
      <c r="K152" s="148">
        <v>12</v>
      </c>
      <c r="L152" s="150" t="s">
        <v>65</v>
      </c>
      <c r="M152" s="150">
        <f t="shared" si="25"/>
        <v>0.3</v>
      </c>
      <c r="N152" s="150">
        <f t="shared" si="51"/>
        <v>0.3</v>
      </c>
      <c r="O152" s="152">
        <v>118.90260000000001</v>
      </c>
      <c r="P152" s="152">
        <v>83.076694799999999</v>
      </c>
      <c r="Q152" s="153">
        <f t="shared" si="26"/>
        <v>83.076694799999999</v>
      </c>
      <c r="R152" s="153">
        <f t="shared" si="27"/>
        <v>41.538347399999999</v>
      </c>
      <c r="S152" s="153">
        <f t="shared" si="15"/>
        <v>0.66312116713723779</v>
      </c>
      <c r="T152" s="153">
        <f t="shared" si="16"/>
        <v>78.846830887652132</v>
      </c>
      <c r="U152" s="153">
        <f t="shared" si="17"/>
        <v>157.69366177530426</v>
      </c>
      <c r="V152" s="153">
        <f>+C133+D134+D135+D136+D137+D138+D139+D140+D141+D142+D143+D144+D145+D146+D147+D148+D149+D150+D151+(D152/2)</f>
        <v>0</v>
      </c>
      <c r="W152" s="153">
        <f t="shared" si="18"/>
        <v>0</v>
      </c>
      <c r="X152" s="153">
        <f t="shared" si="19"/>
        <v>0</v>
      </c>
      <c r="Y152" s="153">
        <f t="shared" si="28"/>
        <v>89</v>
      </c>
      <c r="Z152" s="153">
        <f t="shared" si="46"/>
        <v>89</v>
      </c>
      <c r="AA152" s="155">
        <f t="shared" si="20"/>
        <v>89</v>
      </c>
      <c r="AB152" s="17"/>
      <c r="AC152" s="156">
        <f t="shared" si="21"/>
        <v>0</v>
      </c>
      <c r="AD152" s="156"/>
      <c r="AE152" s="156"/>
      <c r="AF152" s="156"/>
      <c r="AG152" s="156"/>
      <c r="AH152" s="156"/>
      <c r="AI152" s="528" t="str">
        <f t="shared" si="22"/>
        <v>pin in groundstacking hole</v>
      </c>
      <c r="AJ152" s="29" t="b">
        <f>IF(AK152=20,AM152)</f>
        <v>0</v>
      </c>
      <c r="AK152" s="29">
        <f t="shared" si="29"/>
        <v>1</v>
      </c>
      <c r="AL152" s="29">
        <f>IF(AC152=0,0,20)</f>
        <v>0</v>
      </c>
      <c r="AM152" s="156">
        <f>SUM(AC152:AC156)/($B$130-B151)</f>
        <v>0</v>
      </c>
      <c r="AN152" s="156"/>
      <c r="AO152" s="177">
        <f>SUM(D134:D152)+$C$133</f>
        <v>0</v>
      </c>
      <c r="AP152" s="159" t="b">
        <f t="shared" si="30"/>
        <v>0</v>
      </c>
      <c r="AQ152" s="160">
        <f t="shared" si="31"/>
        <v>70.630179100000007</v>
      </c>
      <c r="AR152" s="178">
        <f t="shared" si="23"/>
        <v>0.94339748455555306</v>
      </c>
      <c r="AS152" s="162">
        <f t="shared" si="32"/>
        <v>125.38573325554864</v>
      </c>
      <c r="AT152" s="160">
        <f t="shared" si="33"/>
        <v>48.461652999999998</v>
      </c>
      <c r="AU152" s="179">
        <f t="shared" si="34"/>
        <v>0.74851207380038831</v>
      </c>
      <c r="AV152" s="162">
        <f t="shared" si="35"/>
        <v>89.000031706258056</v>
      </c>
      <c r="AW152" s="164">
        <f t="shared" si="36"/>
        <v>-36.545114571630108</v>
      </c>
      <c r="AX152" s="162">
        <f t="shared" si="47"/>
        <v>-178.20000000000002</v>
      </c>
      <c r="AY152" s="164">
        <f t="shared" si="37"/>
        <v>-136.30000000000001</v>
      </c>
      <c r="AZ152" s="181">
        <f t="shared" si="38"/>
        <v>214.3857649618067</v>
      </c>
      <c r="BA152" s="182">
        <f t="shared" si="50"/>
        <v>-89.000031706258056</v>
      </c>
      <c r="BB152" s="183">
        <f t="shared" si="39"/>
        <v>52.454917134627948</v>
      </c>
      <c r="BC152" s="182"/>
      <c r="BD152" s="184">
        <f t="shared" si="40"/>
        <v>-102.95074657954316</v>
      </c>
      <c r="BE152" s="184">
        <f t="shared" si="41"/>
        <v>-33.349253420456847</v>
      </c>
      <c r="BF152" s="170">
        <f t="shared" si="42"/>
        <v>-77.707061539557998</v>
      </c>
      <c r="BG152" s="170">
        <f t="shared" si="43"/>
        <v>-131.93698655037912</v>
      </c>
      <c r="BH152" s="171">
        <f t="shared" si="44"/>
        <v>77.707061539557998</v>
      </c>
      <c r="BI152" s="171">
        <f t="shared" si="44"/>
        <v>131.93698655037912</v>
      </c>
      <c r="BJ152" s="2">
        <f t="shared" si="45"/>
        <v>0.3</v>
      </c>
      <c r="BL152" s="261">
        <v>81</v>
      </c>
      <c r="BM152" s="546">
        <f t="shared" si="13"/>
        <v>204</v>
      </c>
      <c r="BN152" s="540">
        <f t="shared" si="24"/>
        <v>204</v>
      </c>
      <c r="BO152" s="548">
        <f t="shared" si="14"/>
        <v>114.83013285433204</v>
      </c>
      <c r="BP152" s="262">
        <f t="shared" si="10"/>
        <v>114.83013285433204</v>
      </c>
      <c r="BQ152" s="262">
        <f t="shared" si="11"/>
        <v>12.669867145667965</v>
      </c>
      <c r="BR152" s="262" t="b">
        <f t="shared" si="12"/>
        <v>0</v>
      </c>
    </row>
    <row r="153" spans="2:134" ht="21" customHeight="1" thickBot="1" x14ac:dyDescent="0.3">
      <c r="B153" s="174">
        <v>21</v>
      </c>
      <c r="C153" s="175"/>
      <c r="D153" s="505">
        <v>0</v>
      </c>
      <c r="E153" s="146">
        <v>0</v>
      </c>
      <c r="F153" s="147">
        <v>1</v>
      </c>
      <c r="G153" s="147">
        <f t="shared" si="48"/>
        <v>4</v>
      </c>
      <c r="H153" s="147">
        <v>5</v>
      </c>
      <c r="I153" s="147" t="str">
        <f t="shared" si="49"/>
        <v/>
      </c>
      <c r="J153" s="147">
        <v>9</v>
      </c>
      <c r="K153" s="148">
        <v>12</v>
      </c>
      <c r="L153" s="150" t="s">
        <v>65</v>
      </c>
      <c r="M153" s="150">
        <f t="shared" si="25"/>
        <v>0.3</v>
      </c>
      <c r="N153" s="150">
        <f t="shared" si="51"/>
        <v>0.3</v>
      </c>
      <c r="O153" s="152">
        <v>118.90260000000001</v>
      </c>
      <c r="P153" s="152">
        <v>83.076694799999999</v>
      </c>
      <c r="Q153" s="153">
        <f t="shared" si="26"/>
        <v>83.076694799999999</v>
      </c>
      <c r="R153" s="153">
        <f t="shared" si="27"/>
        <v>41.538347399999999</v>
      </c>
      <c r="S153" s="153">
        <f t="shared" si="15"/>
        <v>0.66312116713723779</v>
      </c>
      <c r="T153" s="153">
        <f t="shared" si="16"/>
        <v>78.846830887652132</v>
      </c>
      <c r="U153" s="153">
        <f t="shared" si="17"/>
        <v>157.69366177530426</v>
      </c>
      <c r="V153" s="153">
        <f>+C133+D134+D135+D136+D137+D138+D139+D140+D141+D142+D143+D144+D145+D146+D147+D148+D149+D150+D151+D152+(D153/2)</f>
        <v>0</v>
      </c>
      <c r="W153" s="153">
        <f t="shared" si="18"/>
        <v>0</v>
      </c>
      <c r="X153" s="153">
        <f t="shared" si="19"/>
        <v>0</v>
      </c>
      <c r="Y153" s="153">
        <f t="shared" si="28"/>
        <v>89</v>
      </c>
      <c r="Z153" s="153">
        <f t="shared" si="46"/>
        <v>89</v>
      </c>
      <c r="AA153" s="155">
        <f t="shared" si="20"/>
        <v>89</v>
      </c>
      <c r="AB153" s="17"/>
      <c r="AC153" s="156">
        <f t="shared" si="21"/>
        <v>0</v>
      </c>
      <c r="AD153" s="156"/>
      <c r="AE153" s="156"/>
      <c r="AF153" s="156"/>
      <c r="AG153" s="156"/>
      <c r="AH153" s="156"/>
      <c r="AI153" s="528" t="str">
        <f>IF(BG153&lt;0,"pin in groundstacking hole"," ")</f>
        <v>pin in groundstacking hole</v>
      </c>
      <c r="AJ153" s="29" t="b">
        <f>IF(AK153=21,AM153)</f>
        <v>0</v>
      </c>
      <c r="AK153" s="29">
        <f t="shared" si="29"/>
        <v>1</v>
      </c>
      <c r="AL153" s="29">
        <f>IF(AC153=0,0,21)</f>
        <v>0</v>
      </c>
      <c r="AM153" s="156">
        <f>SUM(AC153:AC156)/($B$130-B152)</f>
        <v>0</v>
      </c>
      <c r="AN153" s="156"/>
      <c r="AO153" s="177">
        <f>SUM(D134:D153)+$C$133</f>
        <v>0</v>
      </c>
      <c r="AP153" s="159" t="b">
        <f t="shared" si="30"/>
        <v>0</v>
      </c>
      <c r="AQ153" s="160">
        <f t="shared" si="31"/>
        <v>70.630179100000007</v>
      </c>
      <c r="AR153" s="178">
        <f t="shared" si="23"/>
        <v>0.94339748455555306</v>
      </c>
      <c r="AS153" s="162">
        <f t="shared" si="32"/>
        <v>125.38573325554864</v>
      </c>
      <c r="AT153" s="160">
        <f t="shared" si="33"/>
        <v>48.461652999999998</v>
      </c>
      <c r="AU153" s="179">
        <f t="shared" si="34"/>
        <v>0.74851207380038831</v>
      </c>
      <c r="AV153" s="162">
        <f t="shared" si="35"/>
        <v>89.000031706258056</v>
      </c>
      <c r="AW153" s="164">
        <f t="shared" si="36"/>
        <v>-34.070445390651059</v>
      </c>
      <c r="AX153" s="162">
        <f t="shared" si="47"/>
        <v>-188.1</v>
      </c>
      <c r="AY153" s="164">
        <f t="shared" si="37"/>
        <v>-146.19999999999999</v>
      </c>
      <c r="AZ153" s="181">
        <f t="shared" si="38"/>
        <v>214.3857649618067</v>
      </c>
      <c r="BA153" s="182">
        <f t="shared" si="50"/>
        <v>-89.000031706258056</v>
      </c>
      <c r="BB153" s="183">
        <f t="shared" si="39"/>
        <v>54.929586315606997</v>
      </c>
      <c r="BC153" s="182"/>
      <c r="BD153" s="184">
        <f t="shared" si="40"/>
        <v>-108.74086403184263</v>
      </c>
      <c r="BE153" s="184">
        <f t="shared" si="41"/>
        <v>-37.459135968157355</v>
      </c>
      <c r="BF153" s="170">
        <f t="shared" si="42"/>
        <v>-73.569398875268789</v>
      </c>
      <c r="BG153" s="170">
        <f t="shared" si="43"/>
        <v>-117.46133182944421</v>
      </c>
      <c r="BH153" s="171">
        <f t="shared" si="44"/>
        <v>73.569398875268789</v>
      </c>
      <c r="BI153" s="171">
        <f t="shared" si="44"/>
        <v>117.46133182944421</v>
      </c>
      <c r="BJ153" s="2">
        <f t="shared" si="45"/>
        <v>0.3</v>
      </c>
      <c r="BL153" s="261">
        <v>82</v>
      </c>
      <c r="BM153" s="546">
        <f t="shared" si="13"/>
        <v>229.5</v>
      </c>
      <c r="BN153" s="540">
        <f t="shared" si="24"/>
        <v>229.5</v>
      </c>
      <c r="BO153" s="548">
        <f t="shared" si="14"/>
        <v>140.33013285433202</v>
      </c>
      <c r="BP153" s="262">
        <f t="shared" si="10"/>
        <v>140.33013285433202</v>
      </c>
      <c r="BQ153" s="262">
        <f t="shared" si="11"/>
        <v>12.669867145667965</v>
      </c>
      <c r="BR153" s="262" t="b">
        <f t="shared" si="12"/>
        <v>0</v>
      </c>
    </row>
    <row r="154" spans="2:134" ht="21" customHeight="1" thickBot="1" x14ac:dyDescent="0.3">
      <c r="B154" s="174">
        <v>22</v>
      </c>
      <c r="C154" s="175"/>
      <c r="D154" s="505">
        <v>0</v>
      </c>
      <c r="E154" s="146">
        <v>0</v>
      </c>
      <c r="F154" s="147">
        <v>1</v>
      </c>
      <c r="G154" s="147">
        <f t="shared" si="48"/>
        <v>4</v>
      </c>
      <c r="H154" s="147">
        <v>5</v>
      </c>
      <c r="I154" s="147" t="str">
        <f t="shared" si="49"/>
        <v/>
      </c>
      <c r="J154" s="147">
        <v>9</v>
      </c>
      <c r="K154" s="148">
        <v>12</v>
      </c>
      <c r="L154" s="150" t="s">
        <v>65</v>
      </c>
      <c r="M154" s="150">
        <f t="shared" si="25"/>
        <v>0.3</v>
      </c>
      <c r="N154" s="150">
        <f t="shared" si="51"/>
        <v>0.3</v>
      </c>
      <c r="O154" s="152">
        <v>118.90260000000001</v>
      </c>
      <c r="P154" s="152">
        <v>83.076694799999999</v>
      </c>
      <c r="Q154" s="153">
        <f t="shared" si="26"/>
        <v>83.076694799999999</v>
      </c>
      <c r="R154" s="153">
        <f t="shared" si="27"/>
        <v>41.538347399999999</v>
      </c>
      <c r="S154" s="153">
        <f t="shared" si="15"/>
        <v>0.66312116713723779</v>
      </c>
      <c r="T154" s="153">
        <f t="shared" si="16"/>
        <v>78.846830887652132</v>
      </c>
      <c r="U154" s="153">
        <f t="shared" si="17"/>
        <v>157.69366177530426</v>
      </c>
      <c r="V154" s="153">
        <f>+C133+D134+D135+D136+D137+D138+D139+D140+D141+D142+D143+D144+D145+D146+D147+D148+D149+D150+D151+D152+D153+(D154/2)</f>
        <v>0</v>
      </c>
      <c r="W154" s="153">
        <f t="shared" si="18"/>
        <v>0</v>
      </c>
      <c r="X154" s="153">
        <f t="shared" si="19"/>
        <v>0</v>
      </c>
      <c r="Y154" s="153">
        <f t="shared" si="28"/>
        <v>89</v>
      </c>
      <c r="Z154" s="153">
        <f t="shared" si="46"/>
        <v>89</v>
      </c>
      <c r="AA154" s="155">
        <f t="shared" si="20"/>
        <v>89</v>
      </c>
      <c r="AB154" s="17"/>
      <c r="AC154" s="156">
        <f t="shared" si="21"/>
        <v>0</v>
      </c>
      <c r="AD154" s="156"/>
      <c r="AE154" s="156"/>
      <c r="AF154" s="156"/>
      <c r="AG154" s="156"/>
      <c r="AH154" s="156"/>
      <c r="AI154" s="528" t="str">
        <f t="shared" si="22"/>
        <v>pin in groundstacking hole</v>
      </c>
      <c r="AJ154" s="29" t="b">
        <f>IF(AK154=22,AM154)</f>
        <v>0</v>
      </c>
      <c r="AK154" s="29">
        <f t="shared" si="29"/>
        <v>1</v>
      </c>
      <c r="AL154" s="29">
        <f>IF(AC154=0,0,22)</f>
        <v>0</v>
      </c>
      <c r="AM154" s="156">
        <f>SUM(AC154:AC156)/($B$130-B153)</f>
        <v>0</v>
      </c>
      <c r="AN154" s="156"/>
      <c r="AO154" s="177">
        <f>SUM(D134:D154)+$C$133</f>
        <v>0</v>
      </c>
      <c r="AP154" s="159" t="b">
        <f t="shared" si="30"/>
        <v>0</v>
      </c>
      <c r="AQ154" s="160">
        <f t="shared" si="31"/>
        <v>70.630179100000007</v>
      </c>
      <c r="AR154" s="178">
        <f t="shared" si="23"/>
        <v>0.94339748455555306</v>
      </c>
      <c r="AS154" s="162">
        <f t="shared" si="32"/>
        <v>125.38573325554864</v>
      </c>
      <c r="AT154" s="160">
        <f t="shared" si="33"/>
        <v>48.461652999999998</v>
      </c>
      <c r="AU154" s="179">
        <f t="shared" si="34"/>
        <v>0.74851207380038831</v>
      </c>
      <c r="AV154" s="162">
        <f t="shared" si="35"/>
        <v>89.000031706258056</v>
      </c>
      <c r="AW154" s="164">
        <f t="shared" si="36"/>
        <v>-31.909667624043461</v>
      </c>
      <c r="AX154" s="162">
        <f t="shared" si="47"/>
        <v>-198</v>
      </c>
      <c r="AY154" s="164">
        <f t="shared" si="37"/>
        <v>-156.1</v>
      </c>
      <c r="AZ154" s="181">
        <f t="shared" si="38"/>
        <v>214.3857649618067</v>
      </c>
      <c r="BA154" s="182">
        <f t="shared" si="50"/>
        <v>-89.000031706258056</v>
      </c>
      <c r="BB154" s="183">
        <f t="shared" si="39"/>
        <v>57.090364082214592</v>
      </c>
      <c r="BC154" s="182"/>
      <c r="BD154" s="184">
        <f t="shared" si="40"/>
        <v>-114.53098148414212</v>
      </c>
      <c r="BE154" s="184">
        <f t="shared" si="41"/>
        <v>-41.569018515857877</v>
      </c>
      <c r="BF154" s="170">
        <f t="shared" si="42"/>
        <v>-69.850095549104111</v>
      </c>
      <c r="BG154" s="170">
        <f t="shared" si="43"/>
        <v>-105.84806081773316</v>
      </c>
      <c r="BH154" s="171">
        <f t="shared" si="44"/>
        <v>69.850095549104111</v>
      </c>
      <c r="BI154" s="171">
        <f t="shared" si="44"/>
        <v>105.84806081773316</v>
      </c>
      <c r="BJ154" s="2">
        <f t="shared" si="45"/>
        <v>0.3</v>
      </c>
      <c r="BL154" s="261">
        <v>83</v>
      </c>
      <c r="BM154" s="546">
        <f t="shared" si="13"/>
        <v>255</v>
      </c>
      <c r="BN154" s="540">
        <f t="shared" si="24"/>
        <v>255</v>
      </c>
      <c r="BO154" s="548">
        <f t="shared" si="14"/>
        <v>165.83013285433202</v>
      </c>
      <c r="BP154" s="262">
        <f t="shared" si="10"/>
        <v>165.83013285433202</v>
      </c>
      <c r="BQ154" s="262">
        <f t="shared" si="11"/>
        <v>12.669867145667965</v>
      </c>
      <c r="BR154" s="262" t="b">
        <f t="shared" si="12"/>
        <v>0</v>
      </c>
    </row>
    <row r="155" spans="2:134" ht="21" customHeight="1" thickBot="1" x14ac:dyDescent="0.3">
      <c r="B155" s="174">
        <v>23</v>
      </c>
      <c r="C155" s="175"/>
      <c r="D155" s="505">
        <v>0</v>
      </c>
      <c r="E155" s="146">
        <v>0</v>
      </c>
      <c r="F155" s="147">
        <v>1</v>
      </c>
      <c r="G155" s="147">
        <f t="shared" si="48"/>
        <v>4</v>
      </c>
      <c r="H155" s="147">
        <v>5</v>
      </c>
      <c r="I155" s="147" t="str">
        <f t="shared" si="49"/>
        <v/>
      </c>
      <c r="J155" s="147">
        <v>9</v>
      </c>
      <c r="K155" s="148">
        <v>12</v>
      </c>
      <c r="L155" s="150" t="s">
        <v>65</v>
      </c>
      <c r="M155" s="150">
        <f t="shared" si="25"/>
        <v>0.3</v>
      </c>
      <c r="N155" s="150">
        <f t="shared" si="51"/>
        <v>0.3</v>
      </c>
      <c r="O155" s="152">
        <v>118.90260000000001</v>
      </c>
      <c r="P155" s="152">
        <v>83.076694799999999</v>
      </c>
      <c r="Q155" s="153">
        <f t="shared" si="26"/>
        <v>83.076694799999999</v>
      </c>
      <c r="R155" s="153">
        <f t="shared" si="27"/>
        <v>41.538347399999999</v>
      </c>
      <c r="S155" s="153">
        <f t="shared" si="15"/>
        <v>0.66312116713723779</v>
      </c>
      <c r="T155" s="153">
        <f t="shared" si="16"/>
        <v>78.846830887652132</v>
      </c>
      <c r="U155" s="153">
        <f t="shared" si="17"/>
        <v>157.69366177530426</v>
      </c>
      <c r="V155" s="153">
        <f>+C133+D134+D135+D136+D137+D138+D139+D140+D141+D142+D143+D144+D145+D146+D147+D148+D149+D150+D151+D152+D153+D154+(D155/2)</f>
        <v>0</v>
      </c>
      <c r="W155" s="153">
        <f t="shared" si="18"/>
        <v>0</v>
      </c>
      <c r="X155" s="153">
        <f t="shared" si="19"/>
        <v>0</v>
      </c>
      <c r="Y155" s="153">
        <f t="shared" si="28"/>
        <v>89</v>
      </c>
      <c r="Z155" s="153">
        <f t="shared" si="46"/>
        <v>89</v>
      </c>
      <c r="AA155" s="155">
        <f t="shared" si="20"/>
        <v>89</v>
      </c>
      <c r="AB155" s="17"/>
      <c r="AC155" s="156">
        <f t="shared" si="21"/>
        <v>0</v>
      </c>
      <c r="AD155" s="156"/>
      <c r="AE155" s="156"/>
      <c r="AF155" s="156"/>
      <c r="AG155" s="156"/>
      <c r="AH155" s="156"/>
      <c r="AI155" s="528" t="str">
        <f t="shared" si="22"/>
        <v>pin in groundstacking hole</v>
      </c>
      <c r="AJ155" s="29" t="b">
        <f>IF(AK155=23,AM155)</f>
        <v>0</v>
      </c>
      <c r="AK155" s="29">
        <f t="shared" si="29"/>
        <v>1</v>
      </c>
      <c r="AL155" s="29">
        <f>IF(AC155=0,0,23)</f>
        <v>0</v>
      </c>
      <c r="AM155" s="156">
        <f>SUM(AC155:AC156)/($B$130-B154)</f>
        <v>0</v>
      </c>
      <c r="AN155" s="156"/>
      <c r="AO155" s="177">
        <f>SUM(D134:D155)+$C$133</f>
        <v>0</v>
      </c>
      <c r="AP155" s="159" t="b">
        <f t="shared" si="30"/>
        <v>0</v>
      </c>
      <c r="AQ155" s="160">
        <f t="shared" si="31"/>
        <v>70.630179100000007</v>
      </c>
      <c r="AR155" s="178">
        <f t="shared" si="23"/>
        <v>0.94339748455555306</v>
      </c>
      <c r="AS155" s="162">
        <f t="shared" si="32"/>
        <v>125.38573325554864</v>
      </c>
      <c r="AT155" s="160">
        <f t="shared" si="33"/>
        <v>48.461652999999998</v>
      </c>
      <c r="AU155" s="179">
        <f t="shared" si="34"/>
        <v>0.74851207380038831</v>
      </c>
      <c r="AV155" s="162">
        <f t="shared" si="35"/>
        <v>89.000031706258056</v>
      </c>
      <c r="AW155" s="164">
        <f t="shared" si="36"/>
        <v>-30.006621181404725</v>
      </c>
      <c r="AX155" s="162">
        <f t="shared" si="47"/>
        <v>-207.9</v>
      </c>
      <c r="AY155" s="164">
        <f t="shared" si="37"/>
        <v>-166</v>
      </c>
      <c r="AZ155" s="181">
        <f t="shared" si="38"/>
        <v>214.3857649618067</v>
      </c>
      <c r="BA155" s="182">
        <f t="shared" si="50"/>
        <v>-89.000031706258056</v>
      </c>
      <c r="BB155" s="183">
        <f t="shared" si="39"/>
        <v>58.993410524853331</v>
      </c>
      <c r="BC155" s="182"/>
      <c r="BD155" s="184">
        <f t="shared" si="40"/>
        <v>-120.32109893644162</v>
      </c>
      <c r="BE155" s="184">
        <f t="shared" si="41"/>
        <v>-45.678901063558399</v>
      </c>
      <c r="BF155" s="170">
        <f t="shared" si="42"/>
        <v>-66.488754430558501</v>
      </c>
      <c r="BG155" s="170">
        <f t="shared" si="43"/>
        <v>-96.324558987917968</v>
      </c>
      <c r="BH155" s="171">
        <f t="shared" si="44"/>
        <v>66.488754430558501</v>
      </c>
      <c r="BI155" s="171">
        <f t="shared" si="44"/>
        <v>96.324558987917968</v>
      </c>
      <c r="BJ155" s="2">
        <f t="shared" si="45"/>
        <v>0.3</v>
      </c>
      <c r="BL155" s="261">
        <v>9</v>
      </c>
      <c r="BM155" s="546">
        <f t="shared" si="13"/>
        <v>280.5</v>
      </c>
      <c r="BN155" s="540">
        <f t="shared" si="24"/>
        <v>280.5</v>
      </c>
      <c r="BO155" s="548">
        <f t="shared" si="14"/>
        <v>191.33013285433202</v>
      </c>
      <c r="BP155" s="262">
        <f t="shared" si="10"/>
        <v>191.33013285433202</v>
      </c>
      <c r="BQ155" s="262">
        <f t="shared" si="11"/>
        <v>12.669867145667965</v>
      </c>
      <c r="BR155" s="262" t="b">
        <f t="shared" si="12"/>
        <v>0</v>
      </c>
    </row>
    <row r="156" spans="2:134" ht="21" customHeight="1" thickBot="1" x14ac:dyDescent="0.3">
      <c r="B156" s="174">
        <v>24</v>
      </c>
      <c r="C156" s="175"/>
      <c r="D156" s="505">
        <v>0</v>
      </c>
      <c r="E156" s="146">
        <v>0</v>
      </c>
      <c r="F156" s="147">
        <v>1</v>
      </c>
      <c r="G156" s="147">
        <f t="shared" si="48"/>
        <v>4</v>
      </c>
      <c r="H156" s="147">
        <v>5</v>
      </c>
      <c r="I156" s="147" t="str">
        <f t="shared" si="49"/>
        <v/>
      </c>
      <c r="J156" s="147">
        <v>9</v>
      </c>
      <c r="K156" s="148">
        <v>12</v>
      </c>
      <c r="L156" s="150" t="s">
        <v>65</v>
      </c>
      <c r="M156" s="150">
        <f t="shared" si="25"/>
        <v>0.3</v>
      </c>
      <c r="N156" s="150">
        <f t="shared" si="51"/>
        <v>0.3</v>
      </c>
      <c r="O156" s="152">
        <v>118.90260000000001</v>
      </c>
      <c r="P156" s="152">
        <v>83.076694799999999</v>
      </c>
      <c r="Q156" s="153">
        <f t="shared" si="26"/>
        <v>83.076694799999999</v>
      </c>
      <c r="R156" s="153">
        <f t="shared" si="27"/>
        <v>41.538347399999999</v>
      </c>
      <c r="S156" s="153">
        <f t="shared" si="15"/>
        <v>0.66312116713723779</v>
      </c>
      <c r="T156" s="153">
        <f t="shared" si="16"/>
        <v>78.846830887652132</v>
      </c>
      <c r="U156" s="153">
        <f t="shared" si="17"/>
        <v>157.69366177530426</v>
      </c>
      <c r="V156" s="153">
        <f>+SUM(D134:D155)+(D156/2)+C133</f>
        <v>0</v>
      </c>
      <c r="W156" s="153">
        <f t="shared" si="18"/>
        <v>0</v>
      </c>
      <c r="X156" s="153">
        <f t="shared" si="19"/>
        <v>0</v>
      </c>
      <c r="Y156" s="153">
        <f t="shared" si="28"/>
        <v>89</v>
      </c>
      <c r="Z156" s="153">
        <f t="shared" si="46"/>
        <v>89</v>
      </c>
      <c r="AA156" s="155">
        <f t="shared" si="20"/>
        <v>89</v>
      </c>
      <c r="AB156" s="17"/>
      <c r="AC156" s="156">
        <f t="shared" si="21"/>
        <v>0</v>
      </c>
      <c r="AD156" s="156"/>
      <c r="AE156" s="156"/>
      <c r="AF156" s="156"/>
      <c r="AG156" s="156"/>
      <c r="AH156" s="156"/>
      <c r="AI156" s="528" t="str">
        <f t="shared" si="22"/>
        <v>pin in groundstacking hole</v>
      </c>
      <c r="AJ156" s="29" t="b">
        <f>IF(AK156=24,AM156)</f>
        <v>0</v>
      </c>
      <c r="AK156" s="29">
        <f t="shared" si="29"/>
        <v>1</v>
      </c>
      <c r="AL156" s="29">
        <f>IF(AC156=0,0,24)</f>
        <v>0</v>
      </c>
      <c r="AM156" s="156">
        <f>SUM(AC156)/($B$130-B155)</f>
        <v>0</v>
      </c>
      <c r="AN156" s="156"/>
      <c r="AO156" s="177">
        <f>SUM(D134:D156)+$C$133</f>
        <v>0</v>
      </c>
      <c r="AP156" s="159" t="b">
        <f t="shared" si="30"/>
        <v>0</v>
      </c>
      <c r="AQ156" s="160">
        <f t="shared" si="31"/>
        <v>70.630179100000007</v>
      </c>
      <c r="AR156" s="178">
        <f t="shared" si="23"/>
        <v>0.94339748455555306</v>
      </c>
      <c r="AS156" s="162">
        <f t="shared" si="32"/>
        <v>125.38573325554864</v>
      </c>
      <c r="AT156" s="160">
        <f t="shared" si="33"/>
        <v>48.461652999999998</v>
      </c>
      <c r="AU156" s="179">
        <f t="shared" si="34"/>
        <v>0.74851207380038831</v>
      </c>
      <c r="AV156" s="162">
        <f t="shared" si="35"/>
        <v>89.000031706258056</v>
      </c>
      <c r="AW156" s="164">
        <f t="shared" si="36"/>
        <v>-28.31778917631145</v>
      </c>
      <c r="AX156" s="162">
        <f t="shared" si="47"/>
        <v>-217.8</v>
      </c>
      <c r="AY156" s="164">
        <f t="shared" si="37"/>
        <v>-175.9</v>
      </c>
      <c r="AZ156" s="181">
        <f t="shared" si="38"/>
        <v>214.3857649618067</v>
      </c>
      <c r="BA156" s="182">
        <f t="shared" si="50"/>
        <v>-89.000031706258056</v>
      </c>
      <c r="BB156" s="183">
        <f t="shared" si="39"/>
        <v>60.682242529946606</v>
      </c>
      <c r="BC156" s="182"/>
      <c r="BD156" s="184">
        <f t="shared" si="40"/>
        <v>-126.1112163887411</v>
      </c>
      <c r="BE156" s="184">
        <f t="shared" si="41"/>
        <v>-49.788783611258921</v>
      </c>
      <c r="BF156" s="170">
        <f t="shared" si="42"/>
        <v>-63.436070391548618</v>
      </c>
      <c r="BG156" s="170">
        <f t="shared" si="43"/>
        <v>-88.373317861194181</v>
      </c>
      <c r="BH156" s="171">
        <f t="shared" si="44"/>
        <v>63.436070391548618</v>
      </c>
      <c r="BI156" s="171">
        <f t="shared" si="44"/>
        <v>88.373317861194181</v>
      </c>
      <c r="BJ156" s="2">
        <f t="shared" si="45"/>
        <v>0.3</v>
      </c>
      <c r="BL156" s="261">
        <v>10</v>
      </c>
      <c r="BM156" s="546">
        <f t="shared" si="13"/>
        <v>306</v>
      </c>
      <c r="BN156" s="540">
        <f t="shared" si="24"/>
        <v>306</v>
      </c>
      <c r="BO156" s="548">
        <f t="shared" si="14"/>
        <v>216.83013285433202</v>
      </c>
      <c r="BP156" s="262">
        <f t="shared" si="10"/>
        <v>216.83013285433202</v>
      </c>
      <c r="BQ156" s="262">
        <f t="shared" si="11"/>
        <v>12.669867145667965</v>
      </c>
      <c r="BR156" s="262" t="b">
        <f t="shared" si="12"/>
        <v>0</v>
      </c>
    </row>
    <row r="157" spans="2:134" s="16" customFormat="1" ht="21" customHeight="1" thickBot="1" x14ac:dyDescent="0.3">
      <c r="B157" s="192"/>
      <c r="C157" s="192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194"/>
      <c r="AD157" s="194"/>
      <c r="AE157" s="194"/>
      <c r="AF157" s="194"/>
      <c r="AG157" s="194"/>
      <c r="AH157" s="194"/>
      <c r="AI157" s="195"/>
      <c r="AJ157" s="195"/>
      <c r="AK157" s="195"/>
      <c r="AL157" s="195"/>
      <c r="AM157" s="194"/>
      <c r="AN157" s="194"/>
      <c r="AO157" s="194"/>
      <c r="AP157" s="194"/>
      <c r="AQ157" s="193"/>
      <c r="AR157" s="196"/>
      <c r="AS157" s="197"/>
      <c r="AT157" s="193"/>
      <c r="AU157" s="196"/>
      <c r="AV157" s="197"/>
      <c r="AW157" s="198"/>
      <c r="AX157" s="197"/>
      <c r="AY157" s="198"/>
      <c r="AZ157" s="198"/>
      <c r="BA157" s="198"/>
      <c r="BB157" s="198"/>
      <c r="BC157" s="198"/>
      <c r="BD157" s="198"/>
      <c r="BE157" s="198"/>
      <c r="BF157" s="199"/>
      <c r="BG157" s="199"/>
      <c r="BH157" s="199"/>
      <c r="BI157" s="199"/>
      <c r="BL157" s="261">
        <v>11</v>
      </c>
      <c r="BM157" s="546">
        <f t="shared" si="13"/>
        <v>331.5</v>
      </c>
      <c r="BN157" s="540">
        <f t="shared" si="24"/>
        <v>331.5</v>
      </c>
      <c r="BO157" s="548">
        <f t="shared" si="14"/>
        <v>242.33013285433202</v>
      </c>
      <c r="BP157" s="262">
        <f t="shared" si="10"/>
        <v>242.33013285433202</v>
      </c>
      <c r="BQ157" s="262">
        <f t="shared" si="11"/>
        <v>12.669867145667965</v>
      </c>
      <c r="BR157" s="262" t="b">
        <f t="shared" si="12"/>
        <v>0</v>
      </c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</row>
    <row r="158" spans="2:134" s="16" customFormat="1" ht="41.25" customHeight="1" thickBot="1" x14ac:dyDescent="0.35">
      <c r="B158" s="751" t="s">
        <v>140</v>
      </c>
      <c r="C158" s="192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194"/>
      <c r="AD158" s="194"/>
      <c r="AE158" s="194"/>
      <c r="AF158" s="194"/>
      <c r="AG158" s="194"/>
      <c r="AH158" s="194"/>
      <c r="AI158" s="195"/>
      <c r="AJ158" s="195"/>
      <c r="AK158" s="195"/>
      <c r="AL158" s="195"/>
      <c r="AM158" s="194"/>
      <c r="AN158" s="194"/>
      <c r="AO158" s="201" t="s">
        <v>63</v>
      </c>
      <c r="AP158" s="202">
        <f>MAX(AP133:AP156)</f>
        <v>0</v>
      </c>
      <c r="AQ158" s="193"/>
      <c r="AR158" s="196"/>
      <c r="AS158" s="197"/>
      <c r="AT158" s="193"/>
      <c r="AU158" s="196"/>
      <c r="AV158" s="197"/>
      <c r="AW158" s="198"/>
      <c r="AX158" s="197"/>
      <c r="AY158" s="198"/>
      <c r="AZ158" s="198"/>
      <c r="BA158" s="198"/>
      <c r="BB158" s="198"/>
      <c r="BC158" s="198"/>
      <c r="BD158" s="198"/>
      <c r="BE158" s="198"/>
      <c r="BF158" s="199"/>
      <c r="BG158" s="199"/>
      <c r="BH158" s="199"/>
      <c r="BI158" s="199"/>
      <c r="BL158" s="261">
        <v>12</v>
      </c>
      <c r="BM158" s="546">
        <f t="shared" si="13"/>
        <v>357</v>
      </c>
      <c r="BN158" s="540">
        <f t="shared" si="24"/>
        <v>357</v>
      </c>
      <c r="BO158" s="548">
        <f t="shared" si="14"/>
        <v>267.83013285433202</v>
      </c>
      <c r="BP158" s="262">
        <f t="shared" si="10"/>
        <v>267.83013285433202</v>
      </c>
      <c r="BQ158" s="262">
        <f t="shared" si="11"/>
        <v>12.669867145667965</v>
      </c>
      <c r="BR158" s="262" t="b">
        <f t="shared" si="12"/>
        <v>0</v>
      </c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</row>
    <row r="159" spans="2:134" s="16" customFormat="1" ht="37.5" customHeight="1" thickBot="1" x14ac:dyDescent="0.3">
      <c r="B159" s="752"/>
      <c r="C159" s="203" t="s">
        <v>133</v>
      </c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194"/>
      <c r="AD159" s="194"/>
      <c r="AE159" s="194"/>
      <c r="AF159" s="194"/>
      <c r="AG159" s="194"/>
      <c r="AH159" s="194"/>
      <c r="AI159" s="195"/>
      <c r="AJ159" s="195"/>
      <c r="AK159" s="195"/>
      <c r="AL159" s="195"/>
      <c r="AM159" s="194"/>
      <c r="AN159" s="194"/>
      <c r="AO159" s="194"/>
      <c r="AP159" s="194"/>
      <c r="AQ159" s="193"/>
      <c r="AR159" s="196"/>
      <c r="AS159" s="197"/>
      <c r="AT159" s="193"/>
      <c r="AU159" s="196"/>
      <c r="AV159" s="197"/>
      <c r="AW159" s="198"/>
      <c r="AX159" s="197"/>
      <c r="AY159" s="198"/>
      <c r="AZ159" s="198"/>
      <c r="BA159" s="198"/>
      <c r="BB159" s="198"/>
      <c r="BC159" s="198"/>
      <c r="BD159" s="198"/>
      <c r="BE159" s="198"/>
      <c r="BF159" s="199"/>
      <c r="BG159" s="199"/>
      <c r="BH159" s="199"/>
      <c r="BI159" s="199"/>
      <c r="BL159" s="261">
        <v>13</v>
      </c>
      <c r="BM159" s="546">
        <f t="shared" si="13"/>
        <v>382.5</v>
      </c>
      <c r="BN159" s="540">
        <f t="shared" si="24"/>
        <v>382.5</v>
      </c>
      <c r="BO159" s="548">
        <f t="shared" si="14"/>
        <v>293.33013285433202</v>
      </c>
      <c r="BP159" s="262">
        <f t="shared" si="10"/>
        <v>293.33013285433202</v>
      </c>
      <c r="BQ159" s="262">
        <f t="shared" si="11"/>
        <v>12.669867145667965</v>
      </c>
      <c r="BR159" s="262" t="b">
        <f t="shared" si="12"/>
        <v>0</v>
      </c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</row>
    <row r="160" spans="2:134" s="16" customFormat="1" ht="37.5" customHeight="1" thickBot="1" x14ac:dyDescent="0.45">
      <c r="B160" s="503">
        <v>0</v>
      </c>
      <c r="C160" s="192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194"/>
      <c r="AD160" s="194"/>
      <c r="AE160" s="194"/>
      <c r="AF160" s="194"/>
      <c r="AG160" s="194"/>
      <c r="AH160" s="194"/>
      <c r="AI160" s="195"/>
      <c r="AJ160" s="195"/>
      <c r="AK160" s="195"/>
      <c r="AL160" s="195"/>
      <c r="AM160" s="194"/>
      <c r="AN160" s="194"/>
      <c r="AO160" s="194"/>
      <c r="AP160" s="194"/>
      <c r="AQ160" s="193"/>
      <c r="AR160" s="196"/>
      <c r="AS160" s="197"/>
      <c r="AT160" s="193"/>
      <c r="AU160" s="196"/>
      <c r="AV160" s="197"/>
      <c r="AW160" s="198"/>
      <c r="AX160" s="197"/>
      <c r="AY160" s="198"/>
      <c r="AZ160" s="198"/>
      <c r="BA160" s="198"/>
      <c r="BB160" s="198"/>
      <c r="BC160" s="198"/>
      <c r="BD160" s="198"/>
      <c r="BE160" s="198"/>
      <c r="BF160" s="199"/>
      <c r="BG160" s="199"/>
      <c r="BH160" s="199"/>
      <c r="BI160" s="199"/>
      <c r="BL160" s="261">
        <v>14</v>
      </c>
      <c r="BM160" s="546">
        <f t="shared" si="13"/>
        <v>408</v>
      </c>
      <c r="BN160" s="540">
        <f t="shared" si="24"/>
        <v>408</v>
      </c>
      <c r="BO160" s="548">
        <f t="shared" si="14"/>
        <v>318.83013285433202</v>
      </c>
      <c r="BP160" s="262">
        <f t="shared" si="10"/>
        <v>318.83013285433202</v>
      </c>
      <c r="BQ160" s="262">
        <f t="shared" si="11"/>
        <v>12.669867145667965</v>
      </c>
      <c r="BR160" s="262" t="b">
        <f t="shared" si="12"/>
        <v>0</v>
      </c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</row>
    <row r="161" spans="2:134" s="16" customFormat="1" ht="21" customHeight="1" thickBot="1" x14ac:dyDescent="0.3">
      <c r="B161" s="192"/>
      <c r="C161" s="192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194"/>
      <c r="AD161" s="194"/>
      <c r="AE161" s="194"/>
      <c r="AF161" s="194"/>
      <c r="AG161" s="194"/>
      <c r="AH161" s="194"/>
      <c r="AI161" s="195"/>
      <c r="AJ161" s="195"/>
      <c r="AK161" s="195"/>
      <c r="AL161" s="195"/>
      <c r="AM161" s="194"/>
      <c r="AN161" s="194"/>
      <c r="AO161" s="194"/>
      <c r="AP161" s="194"/>
      <c r="AQ161" s="193"/>
      <c r="AR161" s="196"/>
      <c r="AS161" s="197"/>
      <c r="AT161" s="193"/>
      <c r="AU161" s="196"/>
      <c r="AV161" s="197"/>
      <c r="AW161" s="198"/>
      <c r="AX161" s="197"/>
      <c r="AY161" s="198"/>
      <c r="AZ161" s="198"/>
      <c r="BA161" s="198"/>
      <c r="BB161" s="198"/>
      <c r="BC161" s="198"/>
      <c r="BD161" s="198"/>
      <c r="BE161" s="198"/>
      <c r="BF161" s="199"/>
      <c r="BG161" s="199"/>
      <c r="BH161" s="199"/>
      <c r="BI161" s="199"/>
      <c r="BL161" s="261">
        <v>15</v>
      </c>
      <c r="BM161" s="546">
        <f t="shared" si="13"/>
        <v>433.5</v>
      </c>
      <c r="BN161" s="540">
        <f t="shared" si="24"/>
        <v>433.5</v>
      </c>
      <c r="BO161" s="548">
        <f t="shared" si="14"/>
        <v>344.33013285433202</v>
      </c>
      <c r="BP161" s="262">
        <f t="shared" si="10"/>
        <v>344.33013285433202</v>
      </c>
      <c r="BQ161" s="262">
        <f t="shared" si="11"/>
        <v>12.669867145667965</v>
      </c>
      <c r="BR161" s="262" t="b">
        <f t="shared" si="12"/>
        <v>0</v>
      </c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</row>
    <row r="162" spans="2:134" ht="61.5" customHeight="1" thickBot="1" x14ac:dyDescent="0.35">
      <c r="B162" s="97" t="s">
        <v>38</v>
      </c>
      <c r="C162" s="20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522" t="s">
        <v>147</v>
      </c>
      <c r="P162" s="522" t="s">
        <v>153</v>
      </c>
      <c r="Q162" s="522" t="s">
        <v>149</v>
      </c>
      <c r="R162" s="523"/>
      <c r="S162" s="523"/>
      <c r="T162" s="523"/>
      <c r="U162" s="523"/>
      <c r="V162" s="523"/>
      <c r="W162" s="522" t="s">
        <v>150</v>
      </c>
      <c r="X162" s="522" t="s">
        <v>151</v>
      </c>
      <c r="Y162" s="523"/>
      <c r="Z162" s="522" t="s">
        <v>152</v>
      </c>
      <c r="AA162" s="104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4"/>
      <c r="BK162" s="14"/>
      <c r="BL162" s="261">
        <v>16</v>
      </c>
      <c r="BM162" s="546">
        <f t="shared" si="13"/>
        <v>459</v>
      </c>
      <c r="BN162" s="540">
        <f t="shared" si="24"/>
        <v>459</v>
      </c>
      <c r="BO162" s="548">
        <f t="shared" si="14"/>
        <v>369.83013285433202</v>
      </c>
      <c r="BP162" s="262">
        <f t="shared" si="10"/>
        <v>369.83013285433202</v>
      </c>
      <c r="BQ162" s="262">
        <f t="shared" si="11"/>
        <v>12.669867145667965</v>
      </c>
      <c r="BR162" s="262" t="b">
        <f t="shared" si="12"/>
        <v>0</v>
      </c>
    </row>
    <row r="163" spans="2:134" ht="48.75" customHeight="1" thickBot="1" x14ac:dyDescent="0.45">
      <c r="B163" s="504">
        <v>1</v>
      </c>
      <c r="C163" s="106"/>
      <c r="D163" s="97" t="s">
        <v>118</v>
      </c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D163" s="760" t="s">
        <v>142</v>
      </c>
      <c r="AE163" s="760"/>
      <c r="AF163" s="760"/>
      <c r="AG163" s="760"/>
      <c r="AH163" s="760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22"/>
      <c r="BH163" s="753" t="s">
        <v>54</v>
      </c>
      <c r="BI163" s="754"/>
      <c r="BJ163" s="14"/>
      <c r="BK163" s="14"/>
      <c r="BL163" s="261">
        <v>17</v>
      </c>
      <c r="BM163" s="546">
        <f t="shared" si="13"/>
        <v>484.5</v>
      </c>
      <c r="BN163" s="540">
        <f t="shared" si="24"/>
        <v>484.5</v>
      </c>
      <c r="BO163" s="548">
        <f t="shared" si="14"/>
        <v>395.33013285433202</v>
      </c>
      <c r="BP163" s="262">
        <f t="shared" si="10"/>
        <v>395.33013285433202</v>
      </c>
      <c r="BQ163" s="262">
        <f t="shared" si="11"/>
        <v>12.669867145667965</v>
      </c>
      <c r="BR163" s="262" t="b">
        <f t="shared" si="12"/>
        <v>0</v>
      </c>
    </row>
    <row r="164" spans="2:134" ht="21" hidden="1" thickBot="1" x14ac:dyDescent="0.35">
      <c r="B164" s="115"/>
      <c r="C164" s="115"/>
      <c r="D164" s="206" t="s">
        <v>13</v>
      </c>
      <c r="E164" s="207"/>
      <c r="F164" s="207"/>
      <c r="G164" s="207"/>
      <c r="H164" s="207"/>
      <c r="I164" s="207"/>
      <c r="J164" s="207"/>
      <c r="K164" s="207"/>
      <c r="L164" s="16"/>
      <c r="M164" s="16"/>
      <c r="N164" s="16"/>
      <c r="O164" s="208" t="s">
        <v>4</v>
      </c>
      <c r="P164" s="208" t="s">
        <v>1</v>
      </c>
      <c r="Q164" s="209" t="s">
        <v>62</v>
      </c>
      <c r="R164" s="210" t="s">
        <v>2</v>
      </c>
      <c r="S164" s="210" t="s">
        <v>3</v>
      </c>
      <c r="T164" s="210" t="s">
        <v>8</v>
      </c>
      <c r="U164" s="210" t="s">
        <v>5</v>
      </c>
      <c r="V164" s="210" t="s">
        <v>6</v>
      </c>
      <c r="W164" s="210" t="s">
        <v>7</v>
      </c>
      <c r="X164" s="210" t="s">
        <v>9</v>
      </c>
      <c r="Y164" s="208" t="s">
        <v>10</v>
      </c>
      <c r="Z164" s="210" t="s">
        <v>11</v>
      </c>
      <c r="AA164" s="211" t="s">
        <v>12</v>
      </c>
      <c r="AD164" s="511" t="s">
        <v>146</v>
      </c>
      <c r="AE164" s="512" t="s">
        <v>143</v>
      </c>
      <c r="AF164" s="511" t="s">
        <v>147</v>
      </c>
      <c r="AG164" s="513" t="s">
        <v>144</v>
      </c>
      <c r="AH164" s="513" t="s">
        <v>145</v>
      </c>
      <c r="AJ164" s="518" t="s">
        <v>148</v>
      </c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 t="s">
        <v>134</v>
      </c>
      <c r="AX164" s="121"/>
      <c r="AY164" s="121" t="s">
        <v>134</v>
      </c>
      <c r="AZ164" s="121"/>
      <c r="BA164" s="121"/>
      <c r="BB164" s="121" t="s">
        <v>82</v>
      </c>
      <c r="BC164" s="121"/>
      <c r="BD164" s="121"/>
      <c r="BE164" s="121"/>
      <c r="BF164" s="122"/>
      <c r="BG164" s="122"/>
      <c r="BH164" s="135"/>
      <c r="BI164" s="135"/>
      <c r="BJ164" s="123"/>
      <c r="BL164" s="261">
        <v>18</v>
      </c>
      <c r="BM164" s="546">
        <f t="shared" si="13"/>
        <v>510</v>
      </c>
      <c r="BN164" s="540">
        <f t="shared" si="24"/>
        <v>510</v>
      </c>
      <c r="BO164" s="548">
        <f t="shared" si="14"/>
        <v>420.83013285433202</v>
      </c>
      <c r="BP164" s="262">
        <f t="shared" si="10"/>
        <v>420.83013285433202</v>
      </c>
      <c r="BQ164" s="262">
        <f t="shared" si="11"/>
        <v>12.669867145667965</v>
      </c>
      <c r="BR164" s="262" t="b">
        <f t="shared" si="12"/>
        <v>0</v>
      </c>
    </row>
    <row r="165" spans="2:134" ht="31.5" customHeight="1" thickBot="1" x14ac:dyDescent="0.35">
      <c r="B165" s="212"/>
      <c r="C165" s="213"/>
      <c r="D165" s="127"/>
      <c r="E165" s="747"/>
      <c r="F165" s="748"/>
      <c r="G165" s="748"/>
      <c r="H165" s="748"/>
      <c r="I165" s="748"/>
      <c r="J165" s="748"/>
      <c r="K165" s="749"/>
      <c r="L165" s="214"/>
      <c r="M165" s="215"/>
      <c r="N165" s="128"/>
      <c r="O165" s="129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216"/>
      <c r="AB165" s="131"/>
      <c r="AC165" s="134"/>
      <c r="AD165" s="134"/>
      <c r="AE165" s="134"/>
      <c r="AF165" s="134"/>
      <c r="AG165" s="134"/>
      <c r="AH165" s="134"/>
      <c r="AI165" s="133"/>
      <c r="AJ165" s="515">
        <f>SUM(AJ166:AJ177)</f>
        <v>205.00000968766321</v>
      </c>
      <c r="AK165" s="516"/>
      <c r="AL165" s="516"/>
      <c r="AM165" s="121" t="s">
        <v>46</v>
      </c>
      <c r="AN165" s="529" t="s">
        <v>156</v>
      </c>
      <c r="AO165" s="217" t="s">
        <v>39</v>
      </c>
      <c r="AP165" s="217"/>
      <c r="AQ165" s="218" t="s">
        <v>119</v>
      </c>
      <c r="AR165" s="219" t="s">
        <v>40</v>
      </c>
      <c r="AS165" s="218" t="s">
        <v>41</v>
      </c>
      <c r="AT165" s="220" t="s">
        <v>120</v>
      </c>
      <c r="AU165" s="221" t="s">
        <v>42</v>
      </c>
      <c r="AV165" s="218" t="s">
        <v>43</v>
      </c>
      <c r="AW165" s="222" t="s">
        <v>53</v>
      </c>
      <c r="AX165" s="218" t="s">
        <v>83</v>
      </c>
      <c r="AY165" s="222" t="s">
        <v>135</v>
      </c>
      <c r="AZ165" s="223" t="s">
        <v>52</v>
      </c>
      <c r="BA165" s="224" t="s">
        <v>78</v>
      </c>
      <c r="BB165" s="222" t="s">
        <v>84</v>
      </c>
      <c r="BC165" s="225"/>
      <c r="BD165" s="226" t="s">
        <v>49</v>
      </c>
      <c r="BE165" s="226" t="s">
        <v>50</v>
      </c>
      <c r="BF165" s="227" t="s">
        <v>24</v>
      </c>
      <c r="BG165" s="227" t="s">
        <v>25</v>
      </c>
      <c r="BH165" s="228" t="s">
        <v>24</v>
      </c>
      <c r="BI165" s="228" t="s">
        <v>25</v>
      </c>
      <c r="BJ165" s="14"/>
      <c r="BK165" s="229"/>
      <c r="BL165" s="261">
        <v>19</v>
      </c>
      <c r="BM165" s="546">
        <f t="shared" si="13"/>
        <v>535.5</v>
      </c>
      <c r="BN165" s="540">
        <f t="shared" si="24"/>
        <v>535.5</v>
      </c>
      <c r="BO165" s="548">
        <f t="shared" si="14"/>
        <v>446.33013285433202</v>
      </c>
      <c r="BP165" s="262">
        <f t="shared" si="10"/>
        <v>446.33013285433202</v>
      </c>
      <c r="BQ165" s="262">
        <f t="shared" si="11"/>
        <v>12.669867145667965</v>
      </c>
      <c r="BR165" s="262" t="b">
        <f t="shared" si="12"/>
        <v>0</v>
      </c>
    </row>
    <row r="166" spans="2:134" ht="18.75" thickBot="1" x14ac:dyDescent="0.3">
      <c r="B166" s="230">
        <v>1</v>
      </c>
      <c r="C166" s="175">
        <f>+B160+AP158+D166</f>
        <v>0</v>
      </c>
      <c r="D166" s="507"/>
      <c r="E166" s="231"/>
      <c r="F166" s="232"/>
      <c r="G166" s="232"/>
      <c r="H166" s="232"/>
      <c r="I166" s="232"/>
      <c r="J166" s="232"/>
      <c r="K166" s="233"/>
      <c r="L166" s="150"/>
      <c r="M166" s="150"/>
      <c r="N166" s="150"/>
      <c r="O166" s="522">
        <v>267.59859999999998</v>
      </c>
      <c r="P166" s="522">
        <v>39.997472000000002</v>
      </c>
      <c r="Q166" s="522">
        <f>+P166-C166</f>
        <v>39.997472000000002</v>
      </c>
      <c r="R166" s="150"/>
      <c r="S166" s="150"/>
      <c r="T166" s="150"/>
      <c r="U166" s="150"/>
      <c r="V166" s="150"/>
      <c r="W166" s="522">
        <f>COS(Q166*3.14159265358979/180)</f>
        <v>0.76607280339905826</v>
      </c>
      <c r="X166" s="522">
        <f>+W166*O166</f>
        <v>205.00000968766321</v>
      </c>
      <c r="Y166" s="234">
        <v>205</v>
      </c>
      <c r="Z166" s="522">
        <f>+X166</f>
        <v>205.00000968766321</v>
      </c>
      <c r="AA166" s="150">
        <f t="shared" ref="AA166:AA177" si="52">+Z166</f>
        <v>205.00000968766321</v>
      </c>
      <c r="AB166" s="150"/>
      <c r="AC166" s="150">
        <f>IF(B166&lt;($B$163+1),AA166,0)</f>
        <v>205.00000968766321</v>
      </c>
      <c r="AD166" s="511">
        <v>39.997467499999999</v>
      </c>
      <c r="AE166" s="513">
        <f>+AD166+AP178</f>
        <v>39.997467499999999</v>
      </c>
      <c r="AF166" s="511">
        <v>267.59859999999998</v>
      </c>
      <c r="AG166" s="520">
        <f>+COS(AE166*3.14159265358979/180)*AF166</f>
        <v>205.00002319651253</v>
      </c>
      <c r="AH166" s="521">
        <f>+AJ165-AG166</f>
        <v>-1.3508849320942318E-5</v>
      </c>
      <c r="AI166" s="150"/>
      <c r="AJ166" s="517">
        <f>IF(AK166=1,AM166)</f>
        <v>205.00000968766321</v>
      </c>
      <c r="AK166" s="517">
        <f>MAX(AL$166:AL$177)</f>
        <v>1</v>
      </c>
      <c r="AL166" s="516">
        <f>IF(AC166=0,0,1)</f>
        <v>1</v>
      </c>
      <c r="AM166" s="156">
        <f>SUM(AC166:AC177)/($B$163)</f>
        <v>205.00000968766321</v>
      </c>
      <c r="AN166" s="530">
        <f>+AM166+$AH$133</f>
        <v>204.99997811901869</v>
      </c>
      <c r="AO166" s="177">
        <f>+D166+C166</f>
        <v>0</v>
      </c>
      <c r="AP166" s="235">
        <f>IF(B166&lt;($B$163+1),AO166)</f>
        <v>0</v>
      </c>
      <c r="AQ166" s="236">
        <f>50.0025336+AO166</f>
        <v>50.0025336</v>
      </c>
      <c r="AR166" s="237">
        <f>SIN(AQ166*3.14159265358979/180)</f>
        <v>0.76607286622080695</v>
      </c>
      <c r="AS166" s="238">
        <f>+AR166*267.5986</f>
        <v>205.00002649867523</v>
      </c>
      <c r="AT166" s="236">
        <f>55.5829435-AO166</f>
        <v>55.582943499999999</v>
      </c>
      <c r="AU166" s="179">
        <f>SIN(AT166*3.14159265358979/180)</f>
        <v>0.82494527551519659</v>
      </c>
      <c r="AV166" s="238">
        <f>+AU166*304.3102</f>
        <v>251.03926178108458</v>
      </c>
      <c r="AW166" s="180">
        <f>+((AM166*AX166)+($AX$187*($AM$187+$AH$166)))/AY166</f>
        <v>72.294630769457982</v>
      </c>
      <c r="AX166" s="238">
        <f>20*B163</f>
        <v>20</v>
      </c>
      <c r="AY166" s="180">
        <f>+AX166+$AX$187+39</f>
        <v>68.900000000000006</v>
      </c>
      <c r="AZ166" s="181">
        <f>+AV166+AS166</f>
        <v>456.03928827975983</v>
      </c>
      <c r="BA166" s="198">
        <f>+AC166-AS166</f>
        <v>-1.681101201711499E-5</v>
      </c>
      <c r="BB166" s="183">
        <f>+AW166-BA166</f>
        <v>72.294647580469999</v>
      </c>
      <c r="BC166" s="239"/>
      <c r="BD166" s="184">
        <f>+((AZ166-BB166)/AZ166)*AY166</f>
        <v>57.977473484611934</v>
      </c>
      <c r="BE166" s="184">
        <f>+(BB166/AZ166)*AY166</f>
        <v>10.922526515388077</v>
      </c>
      <c r="BF166" s="170">
        <f>2*$C$25/BD166</f>
        <v>103.4884695621048</v>
      </c>
      <c r="BG166" s="170">
        <f>2*$D$25/BE166</f>
        <v>549.32345474711997</v>
      </c>
      <c r="BH166" s="171">
        <f>ABS(BF166)</f>
        <v>103.4884695621048</v>
      </c>
      <c r="BI166" s="171">
        <f>ABS(BG166)</f>
        <v>549.32345474711997</v>
      </c>
      <c r="BJ166" s="172"/>
      <c r="BK166" s="229"/>
      <c r="BL166" s="261">
        <v>20</v>
      </c>
      <c r="BM166" s="546">
        <f t="shared" si="13"/>
        <v>561</v>
      </c>
      <c r="BN166" s="540">
        <f t="shared" si="24"/>
        <v>561</v>
      </c>
      <c r="BO166" s="548">
        <f t="shared" si="14"/>
        <v>471.83013285433202</v>
      </c>
      <c r="BP166" s="262">
        <f t="shared" si="10"/>
        <v>471.83013285433202</v>
      </c>
      <c r="BQ166" s="262">
        <f t="shared" si="11"/>
        <v>12.669867145667965</v>
      </c>
      <c r="BR166" s="262" t="b">
        <f t="shared" si="12"/>
        <v>0</v>
      </c>
    </row>
    <row r="167" spans="2:134" ht="21" customHeight="1" thickBot="1" x14ac:dyDescent="0.3">
      <c r="B167" s="230">
        <v>2</v>
      </c>
      <c r="C167" s="175"/>
      <c r="D167" s="507"/>
      <c r="E167" s="231"/>
      <c r="F167" s="232"/>
      <c r="G167" s="232"/>
      <c r="H167" s="232"/>
      <c r="I167" s="232"/>
      <c r="J167" s="232"/>
      <c r="K167" s="233"/>
      <c r="L167" s="150"/>
      <c r="M167" s="150"/>
      <c r="N167" s="150"/>
      <c r="O167" s="234">
        <v>304.31020000000001</v>
      </c>
      <c r="P167" s="234">
        <v>68.834131099999993</v>
      </c>
      <c r="Q167" s="150">
        <f>+P167+D167</f>
        <v>68.834131099999993</v>
      </c>
      <c r="R167" s="150">
        <f t="shared" ref="R167:R177" si="53">+Q167/2</f>
        <v>34.417065549999997</v>
      </c>
      <c r="S167" s="150">
        <f t="shared" ref="S167:S177" si="54">SIN(R167*3.14159265358979/180)</f>
        <v>0.56521273844618192</v>
      </c>
      <c r="T167" s="150">
        <f t="shared" ref="T167:T177" si="55">+S167*O167</f>
        <v>172.00000147910532</v>
      </c>
      <c r="U167" s="150">
        <f t="shared" ref="U167:U177" si="56">+T167*2</f>
        <v>344.00000295821064</v>
      </c>
      <c r="V167" s="150">
        <f>+C166+(D167/2)</f>
        <v>0</v>
      </c>
      <c r="W167" s="150">
        <f t="shared" ref="W167:W177" si="57">SIN(V167*3.14159265358979/180)</f>
        <v>0</v>
      </c>
      <c r="X167" s="150">
        <f t="shared" ref="X167:X177" si="58">+W167*U167</f>
        <v>0</v>
      </c>
      <c r="Y167" s="150">
        <f t="shared" ref="Y167:Y177" si="59">+AA166</f>
        <v>205.00000968766321</v>
      </c>
      <c r="Z167" s="150">
        <f>+Y167+X167</f>
        <v>205.00000968766321</v>
      </c>
      <c r="AA167" s="150">
        <f t="shared" si="52"/>
        <v>205.00000968766321</v>
      </c>
      <c r="AB167" s="150"/>
      <c r="AC167" s="150">
        <f t="shared" ref="AC167:AC177" si="60">IF(B167&lt;($B$163+1),AA167,0)</f>
        <v>0</v>
      </c>
      <c r="AD167" s="150"/>
      <c r="AE167" s="150"/>
      <c r="AF167" s="150"/>
      <c r="AG167" s="150"/>
      <c r="AH167" s="150"/>
      <c r="AI167" s="150"/>
      <c r="AJ167" s="517" t="b">
        <f>IF(AK167=2,AM167)</f>
        <v>0</v>
      </c>
      <c r="AK167" s="517">
        <f t="shared" ref="AK167:AK177" si="61">MAX(AL$166:AL$177)</f>
        <v>1</v>
      </c>
      <c r="AL167" s="516">
        <f>IF(AC167=0,0,2)</f>
        <v>0</v>
      </c>
      <c r="AM167" s="156" t="e">
        <f>SUM(AC167:AC177)/($B$163-B166)</f>
        <v>#DIV/0!</v>
      </c>
      <c r="AN167" s="156"/>
      <c r="AO167" s="177">
        <f>SUM(D167)+$C$166</f>
        <v>0</v>
      </c>
      <c r="AP167" s="235" t="b">
        <f t="shared" ref="AP167:AP177" si="62">IF(B167&lt;($B$163+1),AO167)</f>
        <v>0</v>
      </c>
      <c r="AQ167" s="236">
        <f t="shared" ref="AQ167:AQ177" si="63">50.0025336+AO167</f>
        <v>50.0025336</v>
      </c>
      <c r="AR167" s="237">
        <f>SIN(AQ167*3.14159265358979/180)</f>
        <v>0.76607286622080695</v>
      </c>
      <c r="AS167" s="238">
        <f t="shared" ref="AS167:AS177" si="64">+AR167*267.5986</f>
        <v>205.00002649867523</v>
      </c>
      <c r="AT167" s="236">
        <f t="shared" ref="AT167:AT177" si="65">55.5829435-AO167</f>
        <v>55.582943499999999</v>
      </c>
      <c r="AU167" s="179">
        <f t="shared" ref="AU167:AU177" si="66">SIN(AT167*3.14159265358979/180)</f>
        <v>0.82494527551519659</v>
      </c>
      <c r="AV167" s="238">
        <f t="shared" ref="AV167:AV177" si="67">+AU167*304.3102</f>
        <v>251.03926178108458</v>
      </c>
      <c r="AW167" s="180" t="e">
        <f t="shared" ref="AW167:AW177" si="68">+((AM167*AX167)+($AX$187*($AM$187+$AH$166)))/AY167</f>
        <v>#DIV/0!</v>
      </c>
      <c r="AX167" s="238">
        <f>20*($B$163-B166)</f>
        <v>0</v>
      </c>
      <c r="AY167" s="180">
        <f t="shared" ref="AY167:AY177" si="69">+AX167+$AX$187+39</f>
        <v>48.9</v>
      </c>
      <c r="AZ167" s="181">
        <f t="shared" ref="AZ167:AZ177" si="70">+AV167+AS167</f>
        <v>456.03928827975983</v>
      </c>
      <c r="BA167" s="198">
        <f t="shared" ref="BA167:BA177" si="71">+AC167-AS167</f>
        <v>-205.00002649867523</v>
      </c>
      <c r="BB167" s="183" t="e">
        <f t="shared" ref="BB167:BB177" si="72">+AW167-BA167</f>
        <v>#DIV/0!</v>
      </c>
      <c r="BC167" s="239"/>
      <c r="BD167" s="184" t="e">
        <f t="shared" ref="BD167:BD177" si="73">+((AZ167-BB167)/AZ167)*AY167</f>
        <v>#DIV/0!</v>
      </c>
      <c r="BE167" s="184" t="e">
        <f t="shared" ref="BE167:BE177" si="74">+(BB167/AZ167)*AY167</f>
        <v>#DIV/0!</v>
      </c>
      <c r="BF167" s="170" t="e">
        <f t="shared" ref="BF167:BF177" si="75">2*$C$25/BD167</f>
        <v>#DIV/0!</v>
      </c>
      <c r="BG167" s="170" t="e">
        <f t="shared" ref="BG167:BG177" si="76">2*$D$25/BE167</f>
        <v>#DIV/0!</v>
      </c>
      <c r="BH167" s="171" t="e">
        <f t="shared" ref="BH167:BI177" si="77">ABS(BF167)</f>
        <v>#DIV/0!</v>
      </c>
      <c r="BI167" s="171" t="e">
        <f t="shared" si="77"/>
        <v>#DIV/0!</v>
      </c>
      <c r="BK167" s="229"/>
      <c r="BL167" s="261">
        <v>21</v>
      </c>
      <c r="BM167" s="546">
        <f t="shared" si="13"/>
        <v>586.5</v>
      </c>
      <c r="BN167" s="540">
        <f t="shared" si="24"/>
        <v>586.5</v>
      </c>
      <c r="BO167" s="548">
        <f t="shared" si="14"/>
        <v>497.33013285433202</v>
      </c>
      <c r="BP167" s="262">
        <f t="shared" si="10"/>
        <v>497.33013285433202</v>
      </c>
      <c r="BQ167" s="262">
        <f t="shared" si="11"/>
        <v>12.669867145667965</v>
      </c>
      <c r="BR167" s="262" t="b">
        <f t="shared" si="12"/>
        <v>0</v>
      </c>
    </row>
    <row r="168" spans="2:134" ht="21" customHeight="1" thickBot="1" x14ac:dyDescent="0.3">
      <c r="B168" s="230">
        <v>3</v>
      </c>
      <c r="C168" s="175"/>
      <c r="D168" s="507"/>
      <c r="E168" s="231"/>
      <c r="F168" s="232"/>
      <c r="G168" s="232"/>
      <c r="H168" s="232"/>
      <c r="I168" s="232"/>
      <c r="J168" s="232"/>
      <c r="K168" s="233"/>
      <c r="L168" s="150"/>
      <c r="M168" s="150"/>
      <c r="N168" s="150"/>
      <c r="O168" s="234">
        <v>304.31020000000001</v>
      </c>
      <c r="P168" s="234">
        <v>68.834131099999993</v>
      </c>
      <c r="Q168" s="150">
        <f t="shared" ref="Q168:Q177" si="78">+P168+D168</f>
        <v>68.834131099999993</v>
      </c>
      <c r="R168" s="150">
        <f t="shared" si="53"/>
        <v>34.417065549999997</v>
      </c>
      <c r="S168" s="150">
        <f t="shared" si="54"/>
        <v>0.56521273844618192</v>
      </c>
      <c r="T168" s="150">
        <f t="shared" si="55"/>
        <v>172.00000147910532</v>
      </c>
      <c r="U168" s="150">
        <f t="shared" si="56"/>
        <v>344.00000295821064</v>
      </c>
      <c r="V168" s="150">
        <f>+C166+D167+(D168/2)</f>
        <v>0</v>
      </c>
      <c r="W168" s="150">
        <f t="shared" si="57"/>
        <v>0</v>
      </c>
      <c r="X168" s="150">
        <f t="shared" si="58"/>
        <v>0</v>
      </c>
      <c r="Y168" s="150">
        <f t="shared" si="59"/>
        <v>205.00000968766321</v>
      </c>
      <c r="Z168" s="150">
        <f t="shared" ref="Z168:Z177" si="79">+Z167+X168</f>
        <v>205.00000968766321</v>
      </c>
      <c r="AA168" s="150">
        <f t="shared" si="52"/>
        <v>205.00000968766321</v>
      </c>
      <c r="AB168" s="150"/>
      <c r="AC168" s="150">
        <f t="shared" si="60"/>
        <v>0</v>
      </c>
      <c r="AD168" s="150"/>
      <c r="AE168" s="150"/>
      <c r="AF168" s="150"/>
      <c r="AG168" s="150"/>
      <c r="AH168" s="150"/>
      <c r="AI168" s="150"/>
      <c r="AJ168" s="517" t="b">
        <f>IF(AK168=3,AM168)</f>
        <v>0</v>
      </c>
      <c r="AK168" s="517">
        <f t="shared" si="61"/>
        <v>1</v>
      </c>
      <c r="AL168" s="516">
        <f>IF(AC168=0,0,3)</f>
        <v>0</v>
      </c>
      <c r="AM168" s="156">
        <f>SUM(AC168:AC177)/($B$163-B167)</f>
        <v>0</v>
      </c>
      <c r="AN168" s="156"/>
      <c r="AO168" s="177">
        <f>SUM(D167:D168)+$C$166</f>
        <v>0</v>
      </c>
      <c r="AP168" s="235" t="b">
        <f t="shared" si="62"/>
        <v>0</v>
      </c>
      <c r="AQ168" s="236">
        <f t="shared" si="63"/>
        <v>50.0025336</v>
      </c>
      <c r="AR168" s="237">
        <f t="shared" ref="AR168:AR177" si="80">SIN(AQ168*3.14159265358979/180)</f>
        <v>0.76607286622080695</v>
      </c>
      <c r="AS168" s="238">
        <f t="shared" si="64"/>
        <v>205.00002649867523</v>
      </c>
      <c r="AT168" s="236">
        <f t="shared" si="65"/>
        <v>55.582943499999999</v>
      </c>
      <c r="AU168" s="179">
        <f t="shared" si="66"/>
        <v>0.82494527551519659</v>
      </c>
      <c r="AV168" s="238">
        <f t="shared" si="67"/>
        <v>251.03926178108458</v>
      </c>
      <c r="AW168" s="180">
        <f t="shared" si="68"/>
        <v>30.4878846457575</v>
      </c>
      <c r="AX168" s="238">
        <f t="shared" ref="AX168:AX177" si="81">20*($B$163-B167)</f>
        <v>-20</v>
      </c>
      <c r="AY168" s="180">
        <f t="shared" si="69"/>
        <v>28.9</v>
      </c>
      <c r="AZ168" s="181">
        <f t="shared" si="70"/>
        <v>456.03928827975983</v>
      </c>
      <c r="BA168" s="198">
        <f t="shared" si="71"/>
        <v>-205.00002649867523</v>
      </c>
      <c r="BB168" s="183">
        <f t="shared" si="72"/>
        <v>235.48791114443273</v>
      </c>
      <c r="BC168" s="239"/>
      <c r="BD168" s="184">
        <f t="shared" si="73"/>
        <v>13.976722977650178</v>
      </c>
      <c r="BE168" s="184">
        <f t="shared" si="74"/>
        <v>14.923277022349819</v>
      </c>
      <c r="BF168" s="170">
        <f t="shared" si="75"/>
        <v>429.28517719027894</v>
      </c>
      <c r="BG168" s="170">
        <f t="shared" si="76"/>
        <v>402.05646460989169</v>
      </c>
      <c r="BH168" s="171">
        <f t="shared" si="77"/>
        <v>429.28517719027894</v>
      </c>
      <c r="BI168" s="171">
        <f t="shared" si="77"/>
        <v>402.05646460989169</v>
      </c>
      <c r="BK168" s="229"/>
      <c r="BL168" s="261">
        <v>22</v>
      </c>
      <c r="BM168" s="546">
        <f t="shared" si="13"/>
        <v>612</v>
      </c>
      <c r="BN168" s="540">
        <f t="shared" si="24"/>
        <v>612</v>
      </c>
      <c r="BO168" s="548">
        <f t="shared" si="14"/>
        <v>522.83013285433208</v>
      </c>
      <c r="BP168" s="262">
        <f t="shared" si="10"/>
        <v>522.83013285433208</v>
      </c>
      <c r="BQ168" s="262">
        <f t="shared" si="11"/>
        <v>12.669867145667965</v>
      </c>
      <c r="BR168" s="262" t="b">
        <f t="shared" si="12"/>
        <v>0</v>
      </c>
    </row>
    <row r="169" spans="2:134" ht="21" customHeight="1" thickBot="1" x14ac:dyDescent="0.3">
      <c r="B169" s="230">
        <v>4</v>
      </c>
      <c r="C169" s="175"/>
      <c r="D169" s="507"/>
      <c r="E169" s="231"/>
      <c r="F169" s="232"/>
      <c r="G169" s="232"/>
      <c r="H169" s="232"/>
      <c r="I169" s="232"/>
      <c r="J169" s="232"/>
      <c r="K169" s="233"/>
      <c r="L169" s="150"/>
      <c r="M169" s="150"/>
      <c r="N169" s="150"/>
      <c r="O169" s="234">
        <v>304.31020000000001</v>
      </c>
      <c r="P169" s="234">
        <v>68.834131099999993</v>
      </c>
      <c r="Q169" s="150">
        <f t="shared" si="78"/>
        <v>68.834131099999993</v>
      </c>
      <c r="R169" s="150">
        <f t="shared" si="53"/>
        <v>34.417065549999997</v>
      </c>
      <c r="S169" s="150">
        <f t="shared" si="54"/>
        <v>0.56521273844618192</v>
      </c>
      <c r="T169" s="150">
        <f t="shared" si="55"/>
        <v>172.00000147910532</v>
      </c>
      <c r="U169" s="150">
        <f t="shared" si="56"/>
        <v>344.00000295821064</v>
      </c>
      <c r="V169" s="150">
        <f>+C166+D167+D168+(D169/2)</f>
        <v>0</v>
      </c>
      <c r="W169" s="150">
        <f t="shared" si="57"/>
        <v>0</v>
      </c>
      <c r="X169" s="150">
        <f t="shared" si="58"/>
        <v>0</v>
      </c>
      <c r="Y169" s="150">
        <f t="shared" si="59"/>
        <v>205.00000968766321</v>
      </c>
      <c r="Z169" s="150">
        <f t="shared" si="79"/>
        <v>205.00000968766321</v>
      </c>
      <c r="AA169" s="150">
        <f t="shared" si="52"/>
        <v>205.00000968766321</v>
      </c>
      <c r="AB169" s="150"/>
      <c r="AC169" s="150">
        <f t="shared" si="60"/>
        <v>0</v>
      </c>
      <c r="AD169" s="150"/>
      <c r="AE169" s="150"/>
      <c r="AF169" s="150"/>
      <c r="AG169" s="150"/>
      <c r="AH169" s="150"/>
      <c r="AI169" s="150"/>
      <c r="AJ169" s="517" t="b">
        <f>IF(AK169=4,AM169)</f>
        <v>0</v>
      </c>
      <c r="AK169" s="517">
        <f t="shared" si="61"/>
        <v>1</v>
      </c>
      <c r="AL169" s="516">
        <f>IF(AC169=0,0,4)</f>
        <v>0</v>
      </c>
      <c r="AM169" s="156">
        <f>SUM(AC169:AC177)/($B$163-B168)</f>
        <v>0</v>
      </c>
      <c r="AN169" s="156"/>
      <c r="AO169" s="177">
        <f>SUM(D167:D169)+$C$166</f>
        <v>0</v>
      </c>
      <c r="AP169" s="235" t="b">
        <f t="shared" si="62"/>
        <v>0</v>
      </c>
      <c r="AQ169" s="236">
        <f t="shared" si="63"/>
        <v>50.0025336</v>
      </c>
      <c r="AR169" s="237">
        <f t="shared" si="80"/>
        <v>0.76607286622080695</v>
      </c>
      <c r="AS169" s="238">
        <f t="shared" si="64"/>
        <v>205.00002649867523</v>
      </c>
      <c r="AT169" s="236">
        <f t="shared" si="65"/>
        <v>55.582943499999999</v>
      </c>
      <c r="AU169" s="179">
        <f t="shared" si="66"/>
        <v>0.82494527551519659</v>
      </c>
      <c r="AV169" s="238">
        <f t="shared" si="67"/>
        <v>251.03926178108458</v>
      </c>
      <c r="AW169" s="180">
        <f t="shared" si="68"/>
        <v>98.99998497330246</v>
      </c>
      <c r="AX169" s="238">
        <f t="shared" si="81"/>
        <v>-40</v>
      </c>
      <c r="AY169" s="180">
        <f t="shared" si="69"/>
        <v>8.8999999999999986</v>
      </c>
      <c r="AZ169" s="181">
        <f t="shared" si="70"/>
        <v>456.03928827975983</v>
      </c>
      <c r="BA169" s="198">
        <f t="shared" si="71"/>
        <v>-205.00002649867523</v>
      </c>
      <c r="BB169" s="183">
        <f t="shared" si="72"/>
        <v>304.0000114719777</v>
      </c>
      <c r="BC169" s="239"/>
      <c r="BD169" s="184">
        <f t="shared" si="73"/>
        <v>2.9671776058889989</v>
      </c>
      <c r="BE169" s="184">
        <f t="shared" si="74"/>
        <v>5.9328223941109997</v>
      </c>
      <c r="BF169" s="170">
        <f t="shared" si="75"/>
        <v>2022.1236464213387</v>
      </c>
      <c r="BG169" s="170">
        <f t="shared" si="76"/>
        <v>1011.3230434734877</v>
      </c>
      <c r="BH169" s="171">
        <f t="shared" si="77"/>
        <v>2022.1236464213387</v>
      </c>
      <c r="BI169" s="171">
        <f t="shared" si="77"/>
        <v>1011.3230434734877</v>
      </c>
      <c r="BK169" s="229"/>
      <c r="BL169" s="261">
        <v>23</v>
      </c>
      <c r="BM169" s="546">
        <f t="shared" si="13"/>
        <v>637.5</v>
      </c>
      <c r="BN169" s="540">
        <f t="shared" si="24"/>
        <v>637.5</v>
      </c>
      <c r="BO169" s="548">
        <f t="shared" si="14"/>
        <v>548.33013285433208</v>
      </c>
      <c r="BP169" s="262">
        <f t="shared" si="10"/>
        <v>548.33013285433208</v>
      </c>
      <c r="BQ169" s="262">
        <f t="shared" si="11"/>
        <v>12.669867145667965</v>
      </c>
      <c r="BR169" s="262" t="b">
        <f t="shared" si="12"/>
        <v>0</v>
      </c>
    </row>
    <row r="170" spans="2:134" ht="21" customHeight="1" thickBot="1" x14ac:dyDescent="0.3">
      <c r="B170" s="230">
        <v>5</v>
      </c>
      <c r="C170" s="175"/>
      <c r="D170" s="507"/>
      <c r="E170" s="231"/>
      <c r="F170" s="232"/>
      <c r="G170" s="232"/>
      <c r="H170" s="232"/>
      <c r="I170" s="232"/>
      <c r="J170" s="232"/>
      <c r="K170" s="233"/>
      <c r="L170" s="150"/>
      <c r="M170" s="150"/>
      <c r="N170" s="150"/>
      <c r="O170" s="234">
        <v>304.31020000000001</v>
      </c>
      <c r="P170" s="234">
        <v>68.834131099999993</v>
      </c>
      <c r="Q170" s="150">
        <f t="shared" si="78"/>
        <v>68.834131099999993</v>
      </c>
      <c r="R170" s="150">
        <f t="shared" si="53"/>
        <v>34.417065549999997</v>
      </c>
      <c r="S170" s="150">
        <f t="shared" si="54"/>
        <v>0.56521273844618192</v>
      </c>
      <c r="T170" s="150">
        <f t="shared" si="55"/>
        <v>172.00000147910532</v>
      </c>
      <c r="U170" s="150">
        <f t="shared" si="56"/>
        <v>344.00000295821064</v>
      </c>
      <c r="V170" s="150">
        <f>+C166+D167+D168+D169+(D170/2)</f>
        <v>0</v>
      </c>
      <c r="W170" s="150">
        <f t="shared" si="57"/>
        <v>0</v>
      </c>
      <c r="X170" s="150">
        <f t="shared" si="58"/>
        <v>0</v>
      </c>
      <c r="Y170" s="150">
        <f t="shared" si="59"/>
        <v>205.00000968766321</v>
      </c>
      <c r="Z170" s="150">
        <f t="shared" si="79"/>
        <v>205.00000968766321</v>
      </c>
      <c r="AA170" s="150">
        <f t="shared" si="52"/>
        <v>205.00000968766321</v>
      </c>
      <c r="AB170" s="150"/>
      <c r="AC170" s="150">
        <f t="shared" si="60"/>
        <v>0</v>
      </c>
      <c r="AD170" s="150"/>
      <c r="AE170" s="150"/>
      <c r="AF170" s="150"/>
      <c r="AG170" s="150"/>
      <c r="AH170" s="150"/>
      <c r="AI170" s="150"/>
      <c r="AJ170" s="517" t="b">
        <f>IF(AK170=5,AM170)</f>
        <v>0</v>
      </c>
      <c r="AK170" s="517">
        <f t="shared" si="61"/>
        <v>1</v>
      </c>
      <c r="AL170" s="516">
        <f>IF(AC170=0,0,5)</f>
        <v>0</v>
      </c>
      <c r="AM170" s="156">
        <f>SUM(AC170:AC177)/($B$163-B169)</f>
        <v>0</v>
      </c>
      <c r="AN170" s="156"/>
      <c r="AO170" s="177">
        <f>SUM(D167:D170)+$C$166</f>
        <v>0</v>
      </c>
      <c r="AP170" s="235" t="b">
        <f t="shared" si="62"/>
        <v>0</v>
      </c>
      <c r="AQ170" s="236">
        <f t="shared" si="63"/>
        <v>50.0025336</v>
      </c>
      <c r="AR170" s="237">
        <f t="shared" si="80"/>
        <v>0.76607286622080695</v>
      </c>
      <c r="AS170" s="238">
        <f t="shared" si="64"/>
        <v>205.00002649867523</v>
      </c>
      <c r="AT170" s="236">
        <f t="shared" si="65"/>
        <v>55.582943499999999</v>
      </c>
      <c r="AU170" s="179">
        <f t="shared" si="66"/>
        <v>0.82494527551519659</v>
      </c>
      <c r="AV170" s="238">
        <f t="shared" si="67"/>
        <v>251.03926178108458</v>
      </c>
      <c r="AW170" s="180">
        <f t="shared" si="68"/>
        <v>-79.378366329945194</v>
      </c>
      <c r="AX170" s="238">
        <f t="shared" si="81"/>
        <v>-60</v>
      </c>
      <c r="AY170" s="180">
        <f t="shared" si="69"/>
        <v>-11.100000000000001</v>
      </c>
      <c r="AZ170" s="181">
        <f t="shared" si="70"/>
        <v>456.03928827975983</v>
      </c>
      <c r="BA170" s="198">
        <f t="shared" si="71"/>
        <v>-205.00002649867523</v>
      </c>
      <c r="BB170" s="183">
        <f t="shared" si="72"/>
        <v>125.62166016873003</v>
      </c>
      <c r="BC170" s="239"/>
      <c r="BD170" s="184">
        <f t="shared" si="73"/>
        <v>-8.0423677658721804</v>
      </c>
      <c r="BE170" s="184">
        <f t="shared" si="74"/>
        <v>-3.057632234127821</v>
      </c>
      <c r="BF170" s="170">
        <f t="shared" si="75"/>
        <v>-746.04894661259141</v>
      </c>
      <c r="BG170" s="170">
        <f t="shared" si="76"/>
        <v>-1962.3027037165832</v>
      </c>
      <c r="BH170" s="171">
        <f t="shared" si="77"/>
        <v>746.04894661259141</v>
      </c>
      <c r="BI170" s="171">
        <f t="shared" si="77"/>
        <v>1962.3027037165832</v>
      </c>
      <c r="BK170" s="229"/>
      <c r="BL170" s="261">
        <v>24</v>
      </c>
      <c r="BM170" s="546">
        <f t="shared" si="13"/>
        <v>663</v>
      </c>
      <c r="BN170" s="540">
        <f t="shared" si="24"/>
        <v>663</v>
      </c>
      <c r="BO170" s="548">
        <f t="shared" si="14"/>
        <v>573.83013285433208</v>
      </c>
      <c r="BP170" s="262">
        <f t="shared" si="10"/>
        <v>573.83013285433208</v>
      </c>
      <c r="BQ170" s="262">
        <f t="shared" si="11"/>
        <v>12.669867145667965</v>
      </c>
      <c r="BR170" s="262" t="b">
        <f t="shared" si="12"/>
        <v>0</v>
      </c>
    </row>
    <row r="171" spans="2:134" ht="21" customHeight="1" thickBot="1" x14ac:dyDescent="0.3">
      <c r="B171" s="230">
        <v>6</v>
      </c>
      <c r="C171" s="175"/>
      <c r="D171" s="507"/>
      <c r="E171" s="231"/>
      <c r="F171" s="232"/>
      <c r="G171" s="232"/>
      <c r="H171" s="232"/>
      <c r="I171" s="232"/>
      <c r="J171" s="232"/>
      <c r="K171" s="233"/>
      <c r="L171" s="150"/>
      <c r="M171" s="150"/>
      <c r="N171" s="150"/>
      <c r="O171" s="234">
        <v>304.31020000000001</v>
      </c>
      <c r="P171" s="234">
        <v>68.834131099999993</v>
      </c>
      <c r="Q171" s="150">
        <f t="shared" si="78"/>
        <v>68.834131099999993</v>
      </c>
      <c r="R171" s="150">
        <f t="shared" si="53"/>
        <v>34.417065549999997</v>
      </c>
      <c r="S171" s="150">
        <f t="shared" si="54"/>
        <v>0.56521273844618192</v>
      </c>
      <c r="T171" s="150">
        <f t="shared" si="55"/>
        <v>172.00000147910532</v>
      </c>
      <c r="U171" s="150">
        <f t="shared" si="56"/>
        <v>344.00000295821064</v>
      </c>
      <c r="V171" s="150">
        <f>+C166+D167+D168+D169+D170+(D171/2)</f>
        <v>0</v>
      </c>
      <c r="W171" s="150">
        <f t="shared" si="57"/>
        <v>0</v>
      </c>
      <c r="X171" s="150">
        <f t="shared" si="58"/>
        <v>0</v>
      </c>
      <c r="Y171" s="150">
        <f t="shared" si="59"/>
        <v>205.00000968766321</v>
      </c>
      <c r="Z171" s="150">
        <f t="shared" si="79"/>
        <v>205.00000968766321</v>
      </c>
      <c r="AA171" s="150">
        <f t="shared" si="52"/>
        <v>205.00000968766321</v>
      </c>
      <c r="AB171" s="150"/>
      <c r="AC171" s="150">
        <f t="shared" si="60"/>
        <v>0</v>
      </c>
      <c r="AD171" s="150"/>
      <c r="AE171" s="150"/>
      <c r="AF171" s="150"/>
      <c r="AG171" s="150"/>
      <c r="AH171" s="150"/>
      <c r="AI171" s="150"/>
      <c r="AJ171" s="517" t="b">
        <f>IF(AK171=6,AM171)</f>
        <v>0</v>
      </c>
      <c r="AK171" s="517">
        <f t="shared" si="61"/>
        <v>1</v>
      </c>
      <c r="AL171" s="516">
        <f>IF(AC171=0,0,6)</f>
        <v>0</v>
      </c>
      <c r="AM171" s="156">
        <f>SUM(AC171:AC177)/($B$163-B170)</f>
        <v>0</v>
      </c>
      <c r="AN171" s="156"/>
      <c r="AO171" s="177">
        <f>SUM(D167:D171)+$C$166</f>
        <v>0</v>
      </c>
      <c r="AP171" s="235" t="b">
        <f t="shared" si="62"/>
        <v>0</v>
      </c>
      <c r="AQ171" s="236">
        <f t="shared" si="63"/>
        <v>50.0025336</v>
      </c>
      <c r="AR171" s="237">
        <f t="shared" si="80"/>
        <v>0.76607286622080695</v>
      </c>
      <c r="AS171" s="238">
        <f t="shared" si="64"/>
        <v>205.00002649867523</v>
      </c>
      <c r="AT171" s="236">
        <f t="shared" si="65"/>
        <v>55.582943499999999</v>
      </c>
      <c r="AU171" s="179">
        <f t="shared" si="66"/>
        <v>0.82494527551519659</v>
      </c>
      <c r="AV171" s="238">
        <f t="shared" si="67"/>
        <v>251.03926178108458</v>
      </c>
      <c r="AW171" s="180">
        <f t="shared" si="68"/>
        <v>-28.331185410366299</v>
      </c>
      <c r="AX171" s="238">
        <f t="shared" si="81"/>
        <v>-80</v>
      </c>
      <c r="AY171" s="180">
        <f t="shared" si="69"/>
        <v>-31.099999999999994</v>
      </c>
      <c r="AZ171" s="181">
        <f t="shared" si="70"/>
        <v>456.03928827975983</v>
      </c>
      <c r="BA171" s="198">
        <f t="shared" si="71"/>
        <v>-205.00002649867523</v>
      </c>
      <c r="BB171" s="183">
        <f t="shared" si="72"/>
        <v>176.66884108830894</v>
      </c>
      <c r="BC171" s="239"/>
      <c r="BD171" s="184">
        <f t="shared" si="73"/>
        <v>-19.051913137633356</v>
      </c>
      <c r="BE171" s="184">
        <f t="shared" si="74"/>
        <v>-12.04808686236664</v>
      </c>
      <c r="BF171" s="170">
        <f t="shared" si="75"/>
        <v>-314.92900249204712</v>
      </c>
      <c r="BG171" s="170">
        <f t="shared" si="76"/>
        <v>-498.00437766941889</v>
      </c>
      <c r="BH171" s="171">
        <f t="shared" si="77"/>
        <v>314.92900249204712</v>
      </c>
      <c r="BI171" s="171">
        <f t="shared" si="77"/>
        <v>498.00437766941889</v>
      </c>
      <c r="BK171" s="229"/>
      <c r="BL171" s="261">
        <v>25</v>
      </c>
      <c r="BM171" s="546">
        <f t="shared" si="13"/>
        <v>688.5</v>
      </c>
      <c r="BN171" s="540">
        <f t="shared" si="24"/>
        <v>688.5</v>
      </c>
      <c r="BO171" s="548">
        <f t="shared" si="14"/>
        <v>599.33013285433208</v>
      </c>
      <c r="BP171" s="262">
        <f t="shared" si="10"/>
        <v>599.33013285433208</v>
      </c>
      <c r="BQ171" s="262">
        <f t="shared" si="11"/>
        <v>12.669867145667965</v>
      </c>
      <c r="BR171" s="262" t="b">
        <f t="shared" si="12"/>
        <v>0</v>
      </c>
    </row>
    <row r="172" spans="2:134" ht="21" customHeight="1" thickBot="1" x14ac:dyDescent="0.3">
      <c r="B172" s="230">
        <v>7</v>
      </c>
      <c r="C172" s="175"/>
      <c r="D172" s="507"/>
      <c r="E172" s="231"/>
      <c r="F172" s="232"/>
      <c r="G172" s="232"/>
      <c r="H172" s="232"/>
      <c r="I172" s="232"/>
      <c r="J172" s="232"/>
      <c r="K172" s="233"/>
      <c r="L172" s="150"/>
      <c r="M172" s="150"/>
      <c r="N172" s="150"/>
      <c r="O172" s="234">
        <v>304.31020000000001</v>
      </c>
      <c r="P172" s="234">
        <v>68.834131099999993</v>
      </c>
      <c r="Q172" s="150">
        <f t="shared" si="78"/>
        <v>68.834131099999993</v>
      </c>
      <c r="R172" s="150">
        <f t="shared" si="53"/>
        <v>34.417065549999997</v>
      </c>
      <c r="S172" s="150">
        <f t="shared" si="54"/>
        <v>0.56521273844618192</v>
      </c>
      <c r="T172" s="150">
        <f t="shared" si="55"/>
        <v>172.00000147910532</v>
      </c>
      <c r="U172" s="150">
        <f t="shared" si="56"/>
        <v>344.00000295821064</v>
      </c>
      <c r="V172" s="150">
        <f>+C166+D167+D168+D169+D170+D171+(D172/2)</f>
        <v>0</v>
      </c>
      <c r="W172" s="150">
        <f t="shared" si="57"/>
        <v>0</v>
      </c>
      <c r="X172" s="150">
        <f t="shared" si="58"/>
        <v>0</v>
      </c>
      <c r="Y172" s="150">
        <f t="shared" si="59"/>
        <v>205.00000968766321</v>
      </c>
      <c r="Z172" s="150">
        <f t="shared" si="79"/>
        <v>205.00000968766321</v>
      </c>
      <c r="AA172" s="150">
        <f t="shared" si="52"/>
        <v>205.00000968766321</v>
      </c>
      <c r="AB172" s="150"/>
      <c r="AC172" s="150">
        <f t="shared" si="60"/>
        <v>0</v>
      </c>
      <c r="AD172" s="150"/>
      <c r="AE172" s="150"/>
      <c r="AF172" s="150"/>
      <c r="AG172" s="150"/>
      <c r="AH172" s="150"/>
      <c r="AI172" s="150"/>
      <c r="AJ172" s="517" t="b">
        <f>IF(AK172=7,AM172)</f>
        <v>0</v>
      </c>
      <c r="AK172" s="517">
        <f t="shared" si="61"/>
        <v>1</v>
      </c>
      <c r="AL172" s="516">
        <f>IF(AC172=0,0,7)</f>
        <v>0</v>
      </c>
      <c r="AM172" s="156">
        <f>SUM(AC172:AC177)/($B$163-B171)</f>
        <v>0</v>
      </c>
      <c r="AN172" s="156"/>
      <c r="AO172" s="177">
        <f>SUM(D167:D172)+$C$166</f>
        <v>0</v>
      </c>
      <c r="AP172" s="235" t="b">
        <f t="shared" si="62"/>
        <v>0</v>
      </c>
      <c r="AQ172" s="236">
        <f t="shared" si="63"/>
        <v>50.0025336</v>
      </c>
      <c r="AR172" s="237">
        <f t="shared" si="80"/>
        <v>0.76607286622080695</v>
      </c>
      <c r="AS172" s="238">
        <f t="shared" si="64"/>
        <v>205.00002649867523</v>
      </c>
      <c r="AT172" s="236">
        <f t="shared" si="65"/>
        <v>55.582943499999999</v>
      </c>
      <c r="AU172" s="179">
        <f t="shared" si="66"/>
        <v>0.82494527551519659</v>
      </c>
      <c r="AV172" s="238">
        <f t="shared" si="67"/>
        <v>251.03926178108458</v>
      </c>
      <c r="AW172" s="180">
        <f t="shared" si="68"/>
        <v>-17.242658830966572</v>
      </c>
      <c r="AX172" s="238">
        <f t="shared" si="81"/>
        <v>-100</v>
      </c>
      <c r="AY172" s="180">
        <f t="shared" si="69"/>
        <v>-51.099999999999994</v>
      </c>
      <c r="AZ172" s="181">
        <f t="shared" si="70"/>
        <v>456.03928827975983</v>
      </c>
      <c r="BA172" s="198">
        <f t="shared" si="71"/>
        <v>-205.00002649867523</v>
      </c>
      <c r="BB172" s="183">
        <f t="shared" si="72"/>
        <v>187.75736766770865</v>
      </c>
      <c r="BC172" s="239"/>
      <c r="BD172" s="184">
        <f t="shared" si="73"/>
        <v>-30.061458509394534</v>
      </c>
      <c r="BE172" s="184">
        <f t="shared" si="74"/>
        <v>-21.038541490605457</v>
      </c>
      <c r="BF172" s="170">
        <f t="shared" si="75"/>
        <v>-199.59111425431786</v>
      </c>
      <c r="BG172" s="170">
        <f t="shared" si="76"/>
        <v>-285.19087231780009</v>
      </c>
      <c r="BH172" s="171">
        <f t="shared" si="77"/>
        <v>199.59111425431786</v>
      </c>
      <c r="BI172" s="171">
        <f t="shared" si="77"/>
        <v>285.19087231780009</v>
      </c>
      <c r="BK172" s="229"/>
      <c r="BL172" s="261">
        <v>26</v>
      </c>
      <c r="BM172" s="546">
        <f t="shared" si="13"/>
        <v>714</v>
      </c>
      <c r="BN172" s="540">
        <f t="shared" si="24"/>
        <v>714</v>
      </c>
      <c r="BO172" s="548">
        <f t="shared" si="14"/>
        <v>624.83013285433208</v>
      </c>
      <c r="BP172" s="262">
        <f t="shared" si="10"/>
        <v>624.83013285433208</v>
      </c>
      <c r="BQ172" s="262">
        <f t="shared" si="11"/>
        <v>12.669867145667965</v>
      </c>
      <c r="BR172" s="262" t="b">
        <f t="shared" si="12"/>
        <v>0</v>
      </c>
    </row>
    <row r="173" spans="2:134" ht="21" customHeight="1" thickBot="1" x14ac:dyDescent="0.3">
      <c r="B173" s="230">
        <v>8</v>
      </c>
      <c r="C173" s="175"/>
      <c r="D173" s="507"/>
      <c r="E173" s="231"/>
      <c r="F173" s="232"/>
      <c r="G173" s="232"/>
      <c r="H173" s="232"/>
      <c r="I173" s="232"/>
      <c r="J173" s="232"/>
      <c r="K173" s="233"/>
      <c r="L173" s="150"/>
      <c r="M173" s="150"/>
      <c r="N173" s="150"/>
      <c r="O173" s="234">
        <v>304.31020000000001</v>
      </c>
      <c r="P173" s="234">
        <v>68.834131099999993</v>
      </c>
      <c r="Q173" s="150">
        <f t="shared" si="78"/>
        <v>68.834131099999993</v>
      </c>
      <c r="R173" s="150">
        <f t="shared" si="53"/>
        <v>34.417065549999997</v>
      </c>
      <c r="S173" s="150">
        <f t="shared" si="54"/>
        <v>0.56521273844618192</v>
      </c>
      <c r="T173" s="150">
        <f t="shared" si="55"/>
        <v>172.00000147910532</v>
      </c>
      <c r="U173" s="150">
        <f t="shared" si="56"/>
        <v>344.00000295821064</v>
      </c>
      <c r="V173" s="150">
        <f>+C166+D167+D168+D169+D170+D171+D172+(D173/2)</f>
        <v>0</v>
      </c>
      <c r="W173" s="150">
        <f t="shared" si="57"/>
        <v>0</v>
      </c>
      <c r="X173" s="150">
        <f t="shared" si="58"/>
        <v>0</v>
      </c>
      <c r="Y173" s="150">
        <f t="shared" si="59"/>
        <v>205.00000968766321</v>
      </c>
      <c r="Z173" s="150">
        <f t="shared" si="79"/>
        <v>205.00000968766321</v>
      </c>
      <c r="AA173" s="150">
        <f t="shared" si="52"/>
        <v>205.00000968766321</v>
      </c>
      <c r="AB173" s="150"/>
      <c r="AC173" s="150">
        <f t="shared" si="60"/>
        <v>0</v>
      </c>
      <c r="AD173" s="150"/>
      <c r="AE173" s="150"/>
      <c r="AF173" s="150"/>
      <c r="AG173" s="150"/>
      <c r="AH173" s="150"/>
      <c r="AI173" s="150"/>
      <c r="AJ173" s="517" t="b">
        <f>IF(AK173=8,AM173)</f>
        <v>0</v>
      </c>
      <c r="AK173" s="517">
        <f t="shared" si="61"/>
        <v>1</v>
      </c>
      <c r="AL173" s="516">
        <f>IF(AC173=0,0,8)</f>
        <v>0</v>
      </c>
      <c r="AM173" s="156">
        <f>SUM(AC173:AC177)/($B$163-B172)</f>
        <v>0</v>
      </c>
      <c r="AN173" s="156"/>
      <c r="AO173" s="177">
        <f>SUM(D167:D173)+$C$166</f>
        <v>0</v>
      </c>
      <c r="AP173" s="235" t="b">
        <f t="shared" si="62"/>
        <v>0</v>
      </c>
      <c r="AQ173" s="236">
        <f t="shared" si="63"/>
        <v>50.0025336</v>
      </c>
      <c r="AR173" s="237">
        <f t="shared" si="80"/>
        <v>0.76607286622080695</v>
      </c>
      <c r="AS173" s="238">
        <f t="shared" si="64"/>
        <v>205.00002649867523</v>
      </c>
      <c r="AT173" s="236">
        <f t="shared" si="65"/>
        <v>55.582943499999999</v>
      </c>
      <c r="AU173" s="179">
        <f t="shared" si="66"/>
        <v>0.82494527551519659</v>
      </c>
      <c r="AV173" s="238">
        <f t="shared" si="67"/>
        <v>251.03926178108458</v>
      </c>
      <c r="AW173" s="180">
        <f t="shared" si="68"/>
        <v>-12.392403182312121</v>
      </c>
      <c r="AX173" s="238">
        <f t="shared" si="81"/>
        <v>-120</v>
      </c>
      <c r="AY173" s="180">
        <f t="shared" si="69"/>
        <v>-71.099999999999994</v>
      </c>
      <c r="AZ173" s="181">
        <f t="shared" si="70"/>
        <v>456.03928827975983</v>
      </c>
      <c r="BA173" s="198">
        <f t="shared" si="71"/>
        <v>-205.00002649867523</v>
      </c>
      <c r="BB173" s="183">
        <f t="shared" si="72"/>
        <v>192.60762331636312</v>
      </c>
      <c r="BC173" s="239"/>
      <c r="BD173" s="184">
        <f t="shared" si="73"/>
        <v>-41.071003881155711</v>
      </c>
      <c r="BE173" s="184">
        <f t="shared" si="74"/>
        <v>-30.02899611884428</v>
      </c>
      <c r="BF173" s="170">
        <f t="shared" si="75"/>
        <v>-146.08846711811037</v>
      </c>
      <c r="BG173" s="170">
        <f t="shared" si="76"/>
        <v>-199.80687919949423</v>
      </c>
      <c r="BH173" s="171">
        <f t="shared" si="77"/>
        <v>146.08846711811037</v>
      </c>
      <c r="BI173" s="171">
        <f t="shared" si="77"/>
        <v>199.80687919949423</v>
      </c>
      <c r="BK173" s="229"/>
      <c r="BL173" s="261">
        <v>27</v>
      </c>
      <c r="BM173" s="546">
        <f t="shared" si="13"/>
        <v>739.5</v>
      </c>
      <c r="BN173" s="540">
        <f t="shared" si="24"/>
        <v>739.5</v>
      </c>
      <c r="BO173" s="548">
        <f t="shared" si="14"/>
        <v>650.33013285433208</v>
      </c>
      <c r="BP173" s="262">
        <f t="shared" si="10"/>
        <v>650.33013285433208</v>
      </c>
      <c r="BQ173" s="262">
        <f t="shared" si="11"/>
        <v>12.669867145667965</v>
      </c>
      <c r="BR173" s="262" t="b">
        <f t="shared" si="12"/>
        <v>0</v>
      </c>
    </row>
    <row r="174" spans="2:134" ht="21" customHeight="1" thickBot="1" x14ac:dyDescent="0.3">
      <c r="B174" s="230">
        <v>9</v>
      </c>
      <c r="C174" s="175"/>
      <c r="D174" s="507"/>
      <c r="E174" s="231"/>
      <c r="F174" s="232"/>
      <c r="G174" s="232"/>
      <c r="H174" s="232"/>
      <c r="I174" s="232"/>
      <c r="J174" s="232"/>
      <c r="K174" s="233"/>
      <c r="L174" s="150"/>
      <c r="M174" s="150"/>
      <c r="N174" s="150"/>
      <c r="O174" s="234">
        <v>304.31020000000001</v>
      </c>
      <c r="P174" s="234">
        <v>68.834131099999993</v>
      </c>
      <c r="Q174" s="150">
        <f t="shared" si="78"/>
        <v>68.834131099999993</v>
      </c>
      <c r="R174" s="150">
        <f t="shared" si="53"/>
        <v>34.417065549999997</v>
      </c>
      <c r="S174" s="150">
        <f t="shared" si="54"/>
        <v>0.56521273844618192</v>
      </c>
      <c r="T174" s="150">
        <f t="shared" si="55"/>
        <v>172.00000147910532</v>
      </c>
      <c r="U174" s="150">
        <f t="shared" si="56"/>
        <v>344.00000295821064</v>
      </c>
      <c r="V174" s="150">
        <f>+C166+D167+D168+D169+D170+D171+D172+D173+(D174/2)</f>
        <v>0</v>
      </c>
      <c r="W174" s="150">
        <f t="shared" si="57"/>
        <v>0</v>
      </c>
      <c r="X174" s="150">
        <f t="shared" si="58"/>
        <v>0</v>
      </c>
      <c r="Y174" s="150">
        <f t="shared" si="59"/>
        <v>205.00000968766321</v>
      </c>
      <c r="Z174" s="150">
        <f t="shared" si="79"/>
        <v>205.00000968766321</v>
      </c>
      <c r="AA174" s="150">
        <f t="shared" si="52"/>
        <v>205.00000968766321</v>
      </c>
      <c r="AB174" s="150"/>
      <c r="AC174" s="150">
        <f t="shared" si="60"/>
        <v>0</v>
      </c>
      <c r="AD174" s="150"/>
      <c r="AE174" s="150"/>
      <c r="AF174" s="150"/>
      <c r="AG174" s="150"/>
      <c r="AH174" s="150"/>
      <c r="AI174" s="150"/>
      <c r="AJ174" s="517" t="b">
        <f>IF(AK174=9,AM174)</f>
        <v>0</v>
      </c>
      <c r="AK174" s="517">
        <f t="shared" si="61"/>
        <v>1</v>
      </c>
      <c r="AL174" s="516">
        <f>IF(AC174=0,0,9)</f>
        <v>0</v>
      </c>
      <c r="AM174" s="156">
        <f>SUM(AC174:AC177)/($B$163-B173)</f>
        <v>0</v>
      </c>
      <c r="AN174" s="156"/>
      <c r="AO174" s="177">
        <f>SUM(D167:D174)+$C$166</f>
        <v>0</v>
      </c>
      <c r="AP174" s="235" t="b">
        <f t="shared" si="62"/>
        <v>0</v>
      </c>
      <c r="AQ174" s="236">
        <f t="shared" si="63"/>
        <v>50.0025336</v>
      </c>
      <c r="AR174" s="237">
        <f t="shared" si="80"/>
        <v>0.76607286622080695</v>
      </c>
      <c r="AS174" s="238">
        <f t="shared" si="64"/>
        <v>205.00002649867523</v>
      </c>
      <c r="AT174" s="236">
        <f t="shared" si="65"/>
        <v>55.582943499999999</v>
      </c>
      <c r="AU174" s="179">
        <f t="shared" si="66"/>
        <v>0.82494527551519659</v>
      </c>
      <c r="AV174" s="238">
        <f t="shared" si="67"/>
        <v>251.03926178108458</v>
      </c>
      <c r="AW174" s="180">
        <f t="shared" si="68"/>
        <v>-9.6717877745597338</v>
      </c>
      <c r="AX174" s="238">
        <f t="shared" si="81"/>
        <v>-140</v>
      </c>
      <c r="AY174" s="180">
        <f t="shared" si="69"/>
        <v>-91.1</v>
      </c>
      <c r="AZ174" s="181">
        <f t="shared" si="70"/>
        <v>456.03928827975983</v>
      </c>
      <c r="BA174" s="198">
        <f t="shared" si="71"/>
        <v>-205.00002649867523</v>
      </c>
      <c r="BB174" s="183">
        <f t="shared" si="72"/>
        <v>195.32823872411549</v>
      </c>
      <c r="BC174" s="239"/>
      <c r="BD174" s="184">
        <f t="shared" si="73"/>
        <v>-52.080549252916882</v>
      </c>
      <c r="BE174" s="184">
        <f t="shared" si="74"/>
        <v>-39.019450747083098</v>
      </c>
      <c r="BF174" s="170">
        <f t="shared" si="75"/>
        <v>-115.20615826961459</v>
      </c>
      <c r="BG174" s="170">
        <f t="shared" si="76"/>
        <v>-153.76946330923252</v>
      </c>
      <c r="BH174" s="171">
        <f t="shared" si="77"/>
        <v>115.20615826961459</v>
      </c>
      <c r="BI174" s="171">
        <f t="shared" si="77"/>
        <v>153.76946330923252</v>
      </c>
      <c r="BK174" s="229"/>
    </row>
    <row r="175" spans="2:134" ht="21" customHeight="1" thickBot="1" x14ac:dyDescent="0.3">
      <c r="B175" s="230">
        <v>10</v>
      </c>
      <c r="C175" s="175"/>
      <c r="D175" s="507"/>
      <c r="E175" s="231"/>
      <c r="F175" s="232"/>
      <c r="G175" s="232"/>
      <c r="H175" s="232"/>
      <c r="I175" s="232"/>
      <c r="J175" s="232"/>
      <c r="K175" s="233"/>
      <c r="L175" s="150"/>
      <c r="M175" s="150"/>
      <c r="N175" s="150"/>
      <c r="O175" s="234">
        <v>304.31020000000001</v>
      </c>
      <c r="P175" s="234">
        <v>68.834131099999993</v>
      </c>
      <c r="Q175" s="150">
        <f t="shared" si="78"/>
        <v>68.834131099999993</v>
      </c>
      <c r="R175" s="150">
        <f t="shared" si="53"/>
        <v>34.417065549999997</v>
      </c>
      <c r="S175" s="150">
        <f t="shared" si="54"/>
        <v>0.56521273844618192</v>
      </c>
      <c r="T175" s="150">
        <f>+S175*O175</f>
        <v>172.00000147910532</v>
      </c>
      <c r="U175" s="150">
        <f t="shared" si="56"/>
        <v>344.00000295821064</v>
      </c>
      <c r="V175" s="150">
        <f>+C166+D167+D168+D169+D170+D171+D172+D173+D174+(D175/2)</f>
        <v>0</v>
      </c>
      <c r="W175" s="150">
        <f t="shared" si="57"/>
        <v>0</v>
      </c>
      <c r="X175" s="150">
        <f t="shared" si="58"/>
        <v>0</v>
      </c>
      <c r="Y175" s="150">
        <f t="shared" si="59"/>
        <v>205.00000968766321</v>
      </c>
      <c r="Z175" s="150">
        <f t="shared" si="79"/>
        <v>205.00000968766321</v>
      </c>
      <c r="AA175" s="150">
        <f t="shared" si="52"/>
        <v>205.00000968766321</v>
      </c>
      <c r="AB175" s="150"/>
      <c r="AC175" s="150">
        <f t="shared" si="60"/>
        <v>0</v>
      </c>
      <c r="AD175" s="150"/>
      <c r="AE175" s="150"/>
      <c r="AF175" s="150"/>
      <c r="AG175" s="150"/>
      <c r="AH175" s="150"/>
      <c r="AI175" s="150"/>
      <c r="AJ175" s="517" t="b">
        <f>IF(AK175=10,AM175)</f>
        <v>0</v>
      </c>
      <c r="AK175" s="517">
        <f t="shared" si="61"/>
        <v>1</v>
      </c>
      <c r="AL175" s="516">
        <f>IF(AC175=0,0,10)</f>
        <v>0</v>
      </c>
      <c r="AM175" s="156">
        <f>SUM(AC175:AC177)/($B$163-B174)</f>
        <v>0</v>
      </c>
      <c r="AN175" s="156"/>
      <c r="AO175" s="177">
        <f>SUM(D167:D175)+$C$166</f>
        <v>0</v>
      </c>
      <c r="AP175" s="235" t="b">
        <f t="shared" si="62"/>
        <v>0</v>
      </c>
      <c r="AQ175" s="236">
        <f t="shared" si="63"/>
        <v>50.0025336</v>
      </c>
      <c r="AR175" s="237">
        <f t="shared" si="80"/>
        <v>0.76607286622080695</v>
      </c>
      <c r="AS175" s="238">
        <f t="shared" si="64"/>
        <v>205.00002649867523</v>
      </c>
      <c r="AT175" s="236">
        <f t="shared" si="65"/>
        <v>55.582943499999999</v>
      </c>
      <c r="AU175" s="179">
        <f t="shared" si="66"/>
        <v>0.82494527551519659</v>
      </c>
      <c r="AV175" s="238">
        <f t="shared" si="67"/>
        <v>251.03926178108458</v>
      </c>
      <c r="AW175" s="180">
        <f t="shared" si="68"/>
        <v>-7.9306918655480807</v>
      </c>
      <c r="AX175" s="238">
        <f t="shared" si="81"/>
        <v>-160</v>
      </c>
      <c r="AY175" s="180">
        <f t="shared" si="69"/>
        <v>-111.1</v>
      </c>
      <c r="AZ175" s="181">
        <f t="shared" si="70"/>
        <v>456.03928827975983</v>
      </c>
      <c r="BA175" s="198">
        <f t="shared" si="71"/>
        <v>-205.00002649867523</v>
      </c>
      <c r="BB175" s="183">
        <f t="shared" si="72"/>
        <v>197.06933463312714</v>
      </c>
      <c r="BC175" s="239"/>
      <c r="BD175" s="184">
        <f t="shared" si="73"/>
        <v>-63.09009462467808</v>
      </c>
      <c r="BE175" s="184">
        <f t="shared" si="74"/>
        <v>-48.009905375321921</v>
      </c>
      <c r="BF175" s="170">
        <f t="shared" si="75"/>
        <v>-95.102092264941106</v>
      </c>
      <c r="BG175" s="170">
        <f t="shared" si="76"/>
        <v>-124.97421007382621</v>
      </c>
      <c r="BH175" s="171">
        <f t="shared" si="77"/>
        <v>95.102092264941106</v>
      </c>
      <c r="BI175" s="171">
        <f t="shared" si="77"/>
        <v>124.97421007382621</v>
      </c>
      <c r="BK175" s="229"/>
    </row>
    <row r="176" spans="2:134" ht="21" customHeight="1" thickBot="1" x14ac:dyDescent="0.3">
      <c r="B176" s="230">
        <v>11</v>
      </c>
      <c r="C176" s="175"/>
      <c r="D176" s="507"/>
      <c r="E176" s="231"/>
      <c r="F176" s="232"/>
      <c r="G176" s="232"/>
      <c r="H176" s="232"/>
      <c r="I176" s="232"/>
      <c r="J176" s="232"/>
      <c r="K176" s="233"/>
      <c r="L176" s="150"/>
      <c r="M176" s="150"/>
      <c r="N176" s="150"/>
      <c r="O176" s="234">
        <v>304.31020000000001</v>
      </c>
      <c r="P176" s="234">
        <v>68.834131099999993</v>
      </c>
      <c r="Q176" s="150">
        <f t="shared" si="78"/>
        <v>68.834131099999993</v>
      </c>
      <c r="R176" s="150">
        <f t="shared" si="53"/>
        <v>34.417065549999997</v>
      </c>
      <c r="S176" s="150">
        <f t="shared" si="54"/>
        <v>0.56521273844618192</v>
      </c>
      <c r="T176" s="150">
        <f t="shared" si="55"/>
        <v>172.00000147910532</v>
      </c>
      <c r="U176" s="150">
        <f t="shared" si="56"/>
        <v>344.00000295821064</v>
      </c>
      <c r="V176" s="150">
        <f>+C166+D167+D168+D169+D170+D171+D172+D173+D174+D175+(D176/2)</f>
        <v>0</v>
      </c>
      <c r="W176" s="150">
        <f t="shared" si="57"/>
        <v>0</v>
      </c>
      <c r="X176" s="150">
        <f t="shared" si="58"/>
        <v>0</v>
      </c>
      <c r="Y176" s="150">
        <f t="shared" si="59"/>
        <v>205.00000968766321</v>
      </c>
      <c r="Z176" s="150">
        <f t="shared" si="79"/>
        <v>205.00000968766321</v>
      </c>
      <c r="AA176" s="150">
        <f t="shared" si="52"/>
        <v>205.00000968766321</v>
      </c>
      <c r="AB176" s="150"/>
      <c r="AC176" s="150">
        <f t="shared" si="60"/>
        <v>0</v>
      </c>
      <c r="AD176" s="150"/>
      <c r="AE176" s="150"/>
      <c r="AF176" s="150"/>
      <c r="AG176" s="150"/>
      <c r="AH176" s="150"/>
      <c r="AI176" s="150"/>
      <c r="AJ176" s="517" t="b">
        <f>IF(AK176=11,AM176)</f>
        <v>0</v>
      </c>
      <c r="AK176" s="517">
        <f t="shared" si="61"/>
        <v>1</v>
      </c>
      <c r="AL176" s="516">
        <f>IF(AC176=0,0,11)</f>
        <v>0</v>
      </c>
      <c r="AM176" s="156">
        <f>SUM(AC176:AC177)/($B$163-B175)</f>
        <v>0</v>
      </c>
      <c r="AN176" s="156"/>
      <c r="AO176" s="177">
        <f>SUM(D167:D176)+$C$166</f>
        <v>0</v>
      </c>
      <c r="AP176" s="235" t="b">
        <f t="shared" si="62"/>
        <v>0</v>
      </c>
      <c r="AQ176" s="236">
        <f t="shared" si="63"/>
        <v>50.0025336</v>
      </c>
      <c r="AR176" s="237">
        <f t="shared" si="80"/>
        <v>0.76607286622080695</v>
      </c>
      <c r="AS176" s="238">
        <f t="shared" si="64"/>
        <v>205.00002649867523</v>
      </c>
      <c r="AT176" s="236">
        <f t="shared" si="65"/>
        <v>55.582943499999999</v>
      </c>
      <c r="AU176" s="179">
        <f t="shared" si="66"/>
        <v>0.82494527551519659</v>
      </c>
      <c r="AV176" s="238">
        <f t="shared" si="67"/>
        <v>251.03926178108458</v>
      </c>
      <c r="AW176" s="180">
        <f t="shared" si="68"/>
        <v>-6.7208227785079462</v>
      </c>
      <c r="AX176" s="238">
        <f t="shared" si="81"/>
        <v>-180</v>
      </c>
      <c r="AY176" s="180">
        <f t="shared" si="69"/>
        <v>-131.1</v>
      </c>
      <c r="AZ176" s="181">
        <f t="shared" si="70"/>
        <v>456.03928827975983</v>
      </c>
      <c r="BA176" s="198">
        <f t="shared" si="71"/>
        <v>-205.00002649867523</v>
      </c>
      <c r="BB176" s="183">
        <f t="shared" si="72"/>
        <v>198.27920372016729</v>
      </c>
      <c r="BC176" s="239"/>
      <c r="BD176" s="184">
        <f t="shared" si="73"/>
        <v>-74.099639996439251</v>
      </c>
      <c r="BE176" s="184">
        <f t="shared" si="74"/>
        <v>-57.000360003560743</v>
      </c>
      <c r="BF176" s="170">
        <f t="shared" si="75"/>
        <v>-80.972053309413127</v>
      </c>
      <c r="BG176" s="170">
        <f t="shared" si="76"/>
        <v>-105.26249307241547</v>
      </c>
      <c r="BH176" s="171">
        <f t="shared" si="77"/>
        <v>80.972053309413127</v>
      </c>
      <c r="BI176" s="171">
        <f t="shared" si="77"/>
        <v>105.26249307241547</v>
      </c>
      <c r="BK176" s="229"/>
    </row>
    <row r="177" spans="2:70" ht="21" customHeight="1" thickBot="1" x14ac:dyDescent="0.3">
      <c r="B177" s="230">
        <v>12</v>
      </c>
      <c r="C177" s="175"/>
      <c r="D177" s="507"/>
      <c r="E177" s="231"/>
      <c r="F177" s="232"/>
      <c r="G177" s="232"/>
      <c r="H177" s="232"/>
      <c r="I177" s="232"/>
      <c r="J177" s="232"/>
      <c r="K177" s="233"/>
      <c r="L177" s="150"/>
      <c r="M177" s="150"/>
      <c r="N177" s="150"/>
      <c r="O177" s="234">
        <v>304.31020000000001</v>
      </c>
      <c r="P177" s="234">
        <v>68.834131099999993</v>
      </c>
      <c r="Q177" s="150">
        <f t="shared" si="78"/>
        <v>68.834131099999993</v>
      </c>
      <c r="R177" s="150">
        <f t="shared" si="53"/>
        <v>34.417065549999997</v>
      </c>
      <c r="S177" s="150">
        <f t="shared" si="54"/>
        <v>0.56521273844618192</v>
      </c>
      <c r="T177" s="150">
        <f t="shared" si="55"/>
        <v>172.00000147910532</v>
      </c>
      <c r="U177" s="150">
        <f t="shared" si="56"/>
        <v>344.00000295821064</v>
      </c>
      <c r="V177" s="150">
        <f>+C166+D167+D168+D169+D170+D171+D172+D173+D174+D175+D176+(D177/2)</f>
        <v>0</v>
      </c>
      <c r="W177" s="150">
        <f t="shared" si="57"/>
        <v>0</v>
      </c>
      <c r="X177" s="150">
        <f t="shared" si="58"/>
        <v>0</v>
      </c>
      <c r="Y177" s="150">
        <f t="shared" si="59"/>
        <v>205.00000968766321</v>
      </c>
      <c r="Z177" s="150">
        <f t="shared" si="79"/>
        <v>205.00000968766321</v>
      </c>
      <c r="AA177" s="150">
        <f t="shared" si="52"/>
        <v>205.00000968766321</v>
      </c>
      <c r="AB177" s="150"/>
      <c r="AC177" s="150">
        <f t="shared" si="60"/>
        <v>0</v>
      </c>
      <c r="AD177" s="150"/>
      <c r="AE177" s="150"/>
      <c r="AF177" s="150"/>
      <c r="AG177" s="150"/>
      <c r="AH177" s="150"/>
      <c r="AI177" s="150"/>
      <c r="AJ177" s="517" t="b">
        <f>IF(AK177=12,AM177)</f>
        <v>0</v>
      </c>
      <c r="AK177" s="517">
        <f t="shared" si="61"/>
        <v>1</v>
      </c>
      <c r="AL177" s="516">
        <f>IF(AC177=0,0,12)</f>
        <v>0</v>
      </c>
      <c r="AM177" s="156">
        <f>SUM(AC177)/($B$163-B176)</f>
        <v>0</v>
      </c>
      <c r="AN177" s="156"/>
      <c r="AO177" s="177">
        <f>SUM(D167:D177)+$C$166</f>
        <v>0</v>
      </c>
      <c r="AP177" s="235" t="b">
        <f t="shared" si="62"/>
        <v>0</v>
      </c>
      <c r="AQ177" s="236">
        <f t="shared" si="63"/>
        <v>50.0025336</v>
      </c>
      <c r="AR177" s="237">
        <f t="shared" si="80"/>
        <v>0.76607286622080695</v>
      </c>
      <c r="AS177" s="238">
        <f t="shared" si="64"/>
        <v>205.00002649867523</v>
      </c>
      <c r="AT177" s="236">
        <f t="shared" si="65"/>
        <v>55.582943499999999</v>
      </c>
      <c r="AU177" s="179">
        <f t="shared" si="66"/>
        <v>0.82494527551519659</v>
      </c>
      <c r="AV177" s="238">
        <f t="shared" si="67"/>
        <v>251.03926178108458</v>
      </c>
      <c r="AW177" s="180">
        <f t="shared" si="68"/>
        <v>-5.831236705905968</v>
      </c>
      <c r="AX177" s="238">
        <f t="shared" si="81"/>
        <v>-200</v>
      </c>
      <c r="AY177" s="180">
        <f t="shared" si="69"/>
        <v>-151.1</v>
      </c>
      <c r="AZ177" s="181">
        <f t="shared" si="70"/>
        <v>456.03928827975983</v>
      </c>
      <c r="BA177" s="198">
        <f t="shared" si="71"/>
        <v>-205.00002649867523</v>
      </c>
      <c r="BB177" s="183">
        <f t="shared" si="72"/>
        <v>199.16878979276925</v>
      </c>
      <c r="BC177" s="239"/>
      <c r="BD177" s="184">
        <f t="shared" si="73"/>
        <v>-85.109185368200428</v>
      </c>
      <c r="BE177" s="184">
        <f t="shared" si="74"/>
        <v>-65.990814631799552</v>
      </c>
      <c r="BF177" s="170">
        <f t="shared" si="75"/>
        <v>-70.497678647054656</v>
      </c>
      <c r="BG177" s="170">
        <f t="shared" si="76"/>
        <v>-90.921744692461019</v>
      </c>
      <c r="BH177" s="171">
        <f t="shared" si="77"/>
        <v>70.497678647054656</v>
      </c>
      <c r="BI177" s="171">
        <f t="shared" si="77"/>
        <v>90.921744692461019</v>
      </c>
      <c r="BK177" s="229"/>
    </row>
    <row r="178" spans="2:70" ht="21" thickBot="1" x14ac:dyDescent="0.35">
      <c r="B178" s="15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229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240" t="s">
        <v>63</v>
      </c>
      <c r="AP178" s="241">
        <f>MAX(AP166:AP177)</f>
        <v>0</v>
      </c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4"/>
      <c r="BK178" s="229"/>
    </row>
    <row r="179" spans="2:70" ht="18.75" hidden="1" thickBot="1" x14ac:dyDescent="0.3">
      <c r="B179" s="242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229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4"/>
      <c r="BK179" s="229"/>
    </row>
    <row r="180" spans="2:70" ht="21" hidden="1" thickBot="1" x14ac:dyDescent="0.35">
      <c r="B180" s="242"/>
      <c r="AI180" s="122"/>
      <c r="AJ180" s="122"/>
      <c r="AK180" s="122"/>
      <c r="AL180" s="122"/>
      <c r="AO180" s="243" t="s">
        <v>63</v>
      </c>
      <c r="AP180" s="202">
        <f>MAX(AP166:AP178)</f>
        <v>0</v>
      </c>
      <c r="BO180" s="86"/>
    </row>
    <row r="181" spans="2:70" ht="18.75" hidden="1" thickBot="1" x14ac:dyDescent="0.3"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>
        <f>+AZ166-AW166</f>
        <v>383.74465751030186</v>
      </c>
      <c r="BB181" s="104"/>
      <c r="BC181" s="104"/>
      <c r="BD181" s="104"/>
      <c r="BE181" s="104"/>
      <c r="BF181" s="104"/>
      <c r="BG181" s="104"/>
      <c r="BH181" s="104"/>
      <c r="BI181" s="104"/>
      <c r="BJ181" s="53"/>
    </row>
    <row r="182" spans="2:70" ht="18.75" hidden="1" thickBot="1" x14ac:dyDescent="0.3">
      <c r="AB182" s="47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53"/>
      <c r="BK182" s="4"/>
      <c r="BO182" s="86"/>
    </row>
    <row r="183" spans="2:70" ht="61.5" thickBot="1" x14ac:dyDescent="0.35">
      <c r="B183" s="97" t="s">
        <v>37</v>
      </c>
      <c r="C183" s="98"/>
      <c r="D183" s="99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2" t="s">
        <v>75</v>
      </c>
      <c r="AA183" s="102">
        <f>SUM(AC187:AC210)/B184</f>
        <v>89</v>
      </c>
      <c r="AB183" s="103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53"/>
      <c r="BK183" s="105"/>
      <c r="BL183" s="105"/>
      <c r="BM183" s="105"/>
      <c r="BN183" s="105"/>
      <c r="BO183" s="86"/>
    </row>
    <row r="184" spans="2:70" ht="27" thickBot="1" x14ac:dyDescent="0.45">
      <c r="B184" s="504">
        <v>1</v>
      </c>
      <c r="C184" s="106"/>
      <c r="D184" s="97" t="s">
        <v>96</v>
      </c>
      <c r="E184" s="107"/>
      <c r="F184" s="107"/>
      <c r="G184" s="107"/>
      <c r="H184" s="107"/>
      <c r="I184" s="107"/>
      <c r="J184" s="107"/>
      <c r="K184" s="107"/>
      <c r="L184" s="107"/>
      <c r="M184" s="117"/>
      <c r="N184" s="107"/>
      <c r="O184" s="108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10"/>
      <c r="AA184" s="111"/>
      <c r="AB184" s="56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753" t="s">
        <v>54</v>
      </c>
      <c r="BI184" s="754"/>
      <c r="BJ184" s="113"/>
      <c r="BK184" s="114"/>
      <c r="BL184" s="114"/>
      <c r="BM184" s="114"/>
      <c r="BN184" s="114"/>
      <c r="BO184" s="86"/>
      <c r="BP184" s="86"/>
      <c r="BQ184" s="86"/>
      <c r="BR184" s="86"/>
    </row>
    <row r="185" spans="2:70" ht="18.75" hidden="1" thickBot="1" x14ac:dyDescent="0.3">
      <c r="B185" s="115"/>
      <c r="C185" s="115"/>
      <c r="D185" s="116" t="s">
        <v>13</v>
      </c>
      <c r="E185" s="16"/>
      <c r="F185" s="16"/>
      <c r="G185" s="16"/>
      <c r="H185" s="16"/>
      <c r="I185" s="16"/>
      <c r="J185" s="16"/>
      <c r="K185" s="16"/>
      <c r="L185" s="16"/>
      <c r="M185" s="117" t="s">
        <v>108</v>
      </c>
      <c r="N185" s="16"/>
      <c r="O185" s="244" t="s">
        <v>4</v>
      </c>
      <c r="P185" s="244" t="s">
        <v>1</v>
      </c>
      <c r="Q185" s="101" t="s">
        <v>0</v>
      </c>
      <c r="R185" s="101" t="s">
        <v>2</v>
      </c>
      <c r="S185" s="101" t="s">
        <v>3</v>
      </c>
      <c r="T185" s="101" t="s">
        <v>8</v>
      </c>
      <c r="U185" s="101" t="s">
        <v>5</v>
      </c>
      <c r="V185" s="101" t="s">
        <v>6</v>
      </c>
      <c r="W185" s="101" t="s">
        <v>7</v>
      </c>
      <c r="X185" s="101" t="s">
        <v>9</v>
      </c>
      <c r="Y185" s="119" t="s">
        <v>10</v>
      </c>
      <c r="Z185" s="101" t="s">
        <v>11</v>
      </c>
      <c r="AA185" s="120" t="s">
        <v>12</v>
      </c>
      <c r="AB185" s="45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21"/>
      <c r="AV185" s="121"/>
      <c r="AW185" s="121"/>
      <c r="AX185" s="121"/>
      <c r="AY185" s="121"/>
      <c r="AZ185" s="121"/>
      <c r="BA185" s="121"/>
      <c r="BB185" s="121"/>
      <c r="BC185" s="121"/>
      <c r="BD185" s="121"/>
      <c r="BE185" s="121"/>
      <c r="BF185" s="122"/>
      <c r="BG185" s="121"/>
      <c r="BH185" s="135"/>
      <c r="BI185" s="135"/>
      <c r="BJ185" s="123"/>
      <c r="BK185" s="124"/>
      <c r="BL185" s="14"/>
      <c r="BM185" s="14"/>
      <c r="BN185" s="14"/>
      <c r="BO185" s="86"/>
      <c r="BP185" s="86"/>
      <c r="BQ185" s="86"/>
      <c r="BR185" s="86"/>
    </row>
    <row r="186" spans="2:70" ht="36" customHeight="1" thickBot="1" x14ac:dyDescent="0.3">
      <c r="B186" s="212"/>
      <c r="C186" s="245"/>
      <c r="D186" s="127" t="s">
        <v>23</v>
      </c>
      <c r="E186" s="747" t="s">
        <v>139</v>
      </c>
      <c r="F186" s="748"/>
      <c r="G186" s="748"/>
      <c r="H186" s="748"/>
      <c r="I186" s="748"/>
      <c r="J186" s="748"/>
      <c r="K186" s="749"/>
      <c r="L186" s="128"/>
      <c r="M186" s="128" t="s">
        <v>51</v>
      </c>
      <c r="N186" s="128"/>
      <c r="O186" s="246"/>
      <c r="P186" s="247"/>
      <c r="Q186" s="138"/>
      <c r="R186" s="138"/>
      <c r="S186" s="138"/>
      <c r="T186" s="138"/>
      <c r="U186" s="138"/>
      <c r="V186" s="138"/>
      <c r="W186" s="138"/>
      <c r="X186" s="138"/>
      <c r="Y186" s="248"/>
      <c r="Z186" s="138"/>
      <c r="AA186" s="249"/>
      <c r="AB186" s="138"/>
      <c r="AC186" s="135"/>
      <c r="AD186" s="135"/>
      <c r="AE186" s="135"/>
      <c r="AF186" s="135"/>
      <c r="AG186" s="135"/>
      <c r="AH186" s="135"/>
      <c r="AI186" s="250"/>
      <c r="AJ186" s="135"/>
      <c r="AK186" s="135"/>
      <c r="AL186" s="135"/>
      <c r="AM186" s="121" t="s">
        <v>46</v>
      </c>
      <c r="AN186" s="529" t="s">
        <v>157</v>
      </c>
      <c r="AO186" s="217" t="s">
        <v>39</v>
      </c>
      <c r="AP186" s="217"/>
      <c r="AQ186" s="137" t="s">
        <v>98</v>
      </c>
      <c r="AR186" s="219" t="s">
        <v>40</v>
      </c>
      <c r="AS186" s="251" t="s">
        <v>41</v>
      </c>
      <c r="AT186" s="137" t="s">
        <v>99</v>
      </c>
      <c r="AU186" s="221" t="s">
        <v>42</v>
      </c>
      <c r="AV186" s="139" t="s">
        <v>43</v>
      </c>
      <c r="AW186" s="221"/>
      <c r="AX186" s="252" t="s">
        <v>44</v>
      </c>
      <c r="AY186" s="223"/>
      <c r="AZ186" s="223" t="s">
        <v>45</v>
      </c>
      <c r="BA186" s="223" t="s">
        <v>47</v>
      </c>
      <c r="BB186" s="223"/>
      <c r="BC186" s="223" t="s">
        <v>48</v>
      </c>
      <c r="BD186" s="226" t="s">
        <v>49</v>
      </c>
      <c r="BE186" s="226" t="s">
        <v>50</v>
      </c>
      <c r="BF186" s="227" t="s">
        <v>24</v>
      </c>
      <c r="BG186" s="227" t="s">
        <v>25</v>
      </c>
      <c r="BH186" s="228" t="s">
        <v>24</v>
      </c>
      <c r="BI186" s="228" t="s">
        <v>25</v>
      </c>
      <c r="BJ186" s="14"/>
      <c r="BK186" s="124"/>
      <c r="BL186" s="14"/>
      <c r="BM186" s="14"/>
      <c r="BN186" s="14"/>
      <c r="BO186" s="86"/>
      <c r="BP186" s="86"/>
      <c r="BQ186" s="86"/>
      <c r="BR186" s="86"/>
    </row>
    <row r="187" spans="2:70" ht="18.75" thickBot="1" x14ac:dyDescent="0.3">
      <c r="B187" s="144">
        <v>1</v>
      </c>
      <c r="C187" s="145">
        <f>+AP180+D187</f>
        <v>0</v>
      </c>
      <c r="D187" s="505">
        <v>0</v>
      </c>
      <c r="E187" s="146">
        <v>-6</v>
      </c>
      <c r="F187" s="147">
        <v>-4</v>
      </c>
      <c r="G187" s="147">
        <v>-2</v>
      </c>
      <c r="H187" s="147">
        <v>0</v>
      </c>
      <c r="I187" s="147">
        <v>2</v>
      </c>
      <c r="J187" s="147">
        <v>4</v>
      </c>
      <c r="K187" s="148">
        <v>6</v>
      </c>
      <c r="L187" s="149" t="s">
        <v>105</v>
      </c>
      <c r="M187" s="150">
        <f>+N187</f>
        <v>0</v>
      </c>
      <c r="N187" s="150">
        <f>+D187</f>
        <v>0</v>
      </c>
      <c r="O187" s="152">
        <v>118.90260000000001</v>
      </c>
      <c r="P187" s="152">
        <v>83.076694799999999</v>
      </c>
      <c r="Q187" s="253">
        <f>+P187-C187</f>
        <v>83.076694799999999</v>
      </c>
      <c r="R187" s="253">
        <f>+Q187/2</f>
        <v>41.538347399999999</v>
      </c>
      <c r="S187" s="253">
        <f t="shared" ref="S187:S210" si="82">SIN(R187*3.14159265358979/180)</f>
        <v>0.66312116713723779</v>
      </c>
      <c r="T187" s="253">
        <f t="shared" ref="T187:T210" si="83">+S187*O187</f>
        <v>78.846830887652132</v>
      </c>
      <c r="U187" s="253">
        <f t="shared" ref="U187:U210" si="84">+T187*2</f>
        <v>157.69366177530426</v>
      </c>
      <c r="V187" s="253">
        <f>+C187/2</f>
        <v>0</v>
      </c>
      <c r="W187" s="253">
        <f t="shared" ref="W187:W210" si="85">SIN(V187*3.14159265358979/180)</f>
        <v>0</v>
      </c>
      <c r="X187" s="253">
        <f t="shared" ref="X187:X210" si="86">+W187*U187</f>
        <v>0</v>
      </c>
      <c r="Y187" s="154">
        <v>89</v>
      </c>
      <c r="Z187" s="253">
        <f>+Y187+X187</f>
        <v>89</v>
      </c>
      <c r="AA187" s="254">
        <f t="shared" ref="AA187:AA210" si="87">+Z187</f>
        <v>89</v>
      </c>
      <c r="AB187" s="101"/>
      <c r="AC187" s="157">
        <f t="shared" ref="AC187:AC210" si="88">IF(B187&lt;($B$184+1),AA187,0)</f>
        <v>89</v>
      </c>
      <c r="AD187" s="157"/>
      <c r="AE187" s="157"/>
      <c r="AF187" s="157"/>
      <c r="AG187" s="157"/>
      <c r="AH187" s="157"/>
      <c r="AI187" s="176" t="str">
        <f>IF(BG187&lt;0,"pin in groundstacking hole"," ")</f>
        <v xml:space="preserve"> </v>
      </c>
      <c r="AJ187" s="525"/>
      <c r="AK187" s="525"/>
      <c r="AL187" s="525"/>
      <c r="AM187" s="157">
        <f>SUM(AC187:AC210)/($B$184)</f>
        <v>89</v>
      </c>
      <c r="AN187" s="531">
        <f>+AM187+AH166+AH133</f>
        <v>88.999954922506163</v>
      </c>
      <c r="AO187" s="158">
        <f>C187</f>
        <v>0</v>
      </c>
      <c r="AP187" s="159"/>
      <c r="AQ187" s="160">
        <f>70.6301791-AO187</f>
        <v>70.630179100000007</v>
      </c>
      <c r="AR187" s="161">
        <f t="shared" ref="AR187:AR210" si="89">SIN(AQ187*3.14159265358979/180)</f>
        <v>0.94339748455555306</v>
      </c>
      <c r="AS187" s="162">
        <f>+AR187*132.9087</f>
        <v>125.38573325554864</v>
      </c>
      <c r="AT187" s="160">
        <f>48.461653+AO187</f>
        <v>48.461652999999998</v>
      </c>
      <c r="AU187" s="163">
        <f>SIN(AT187*3.14159265358979/180)</f>
        <v>0.74851207380038831</v>
      </c>
      <c r="AV187" s="162">
        <f>+AU187*118.9026</f>
        <v>89.000031706258056</v>
      </c>
      <c r="AW187" s="164"/>
      <c r="AX187" s="165">
        <f>9.9*B184</f>
        <v>9.9</v>
      </c>
      <c r="AY187" s="164"/>
      <c r="AZ187" s="166">
        <f>+AV187+AS187</f>
        <v>214.3857649618067</v>
      </c>
      <c r="BA187" s="167">
        <f>+AC187-AV187</f>
        <v>-3.1706258056374281E-5</v>
      </c>
      <c r="BB187" s="168"/>
      <c r="BC187" s="167">
        <f>+AM187-BA187</f>
        <v>89.000031706258056</v>
      </c>
      <c r="BD187" s="169">
        <f>+((AZ187-BC187)/AZ187)*AX187</f>
        <v>5.7901174522994818</v>
      </c>
      <c r="BE187" s="169">
        <f>+(BC187/AZ187)*AX187</f>
        <v>4.1098825477005194</v>
      </c>
      <c r="BF187" s="170">
        <f t="shared" ref="BF187" si="90">2*$C$24/BD187</f>
        <v>1381.6645458241762</v>
      </c>
      <c r="BG187" s="170">
        <f>$D$24/BE187</f>
        <v>1070.590205177956</v>
      </c>
      <c r="BH187" s="171">
        <f>ABS(BF187)</f>
        <v>1381.6645458241762</v>
      </c>
      <c r="BI187" s="171">
        <f>ABS(BG187)</f>
        <v>1070.590205177956</v>
      </c>
      <c r="BJ187" s="172" t="s">
        <v>77</v>
      </c>
      <c r="BK187" s="173"/>
      <c r="BO187" s="86"/>
      <c r="BP187" s="86"/>
      <c r="BQ187" s="86"/>
      <c r="BR187" s="86"/>
    </row>
    <row r="188" spans="2:70" ht="21" customHeight="1" thickBot="1" x14ac:dyDescent="0.3">
      <c r="B188" s="174">
        <v>2</v>
      </c>
      <c r="C188" s="175"/>
      <c r="D188" s="505">
        <v>0</v>
      </c>
      <c r="E188" s="146">
        <v>0</v>
      </c>
      <c r="F188" s="147">
        <v>1</v>
      </c>
      <c r="G188" s="147" t="e">
        <f>IF(AI188="pin in groundstacking hole",4,3)</f>
        <v>#DIV/0!</v>
      </c>
      <c r="H188" s="147">
        <v>5</v>
      </c>
      <c r="I188" s="147" t="e">
        <f>IF(AI188="pin in groundstacking hole","",7)</f>
        <v>#DIV/0!</v>
      </c>
      <c r="J188" s="147">
        <v>9</v>
      </c>
      <c r="K188" s="148">
        <v>12</v>
      </c>
      <c r="L188" s="149" t="s">
        <v>106</v>
      </c>
      <c r="M188" s="150" t="e">
        <f t="shared" ref="M188:M210" si="91">+N188</f>
        <v>#DIV/0!</v>
      </c>
      <c r="N188" s="150" t="e">
        <f>+D188+BJ188</f>
        <v>#DIV/0!</v>
      </c>
      <c r="O188" s="152">
        <v>118.90260000000001</v>
      </c>
      <c r="P188" s="152">
        <v>83.076694799999999</v>
      </c>
      <c r="Q188" s="153">
        <f t="shared" ref="Q188:Q210" si="92">+P188-D188</f>
        <v>83.076694799999999</v>
      </c>
      <c r="R188" s="153">
        <f t="shared" ref="R188:R210" si="93">+Q188/2</f>
        <v>41.538347399999999</v>
      </c>
      <c r="S188" s="153">
        <f t="shared" si="82"/>
        <v>0.66312116713723779</v>
      </c>
      <c r="T188" s="153">
        <f t="shared" si="83"/>
        <v>78.846830887652132</v>
      </c>
      <c r="U188" s="153">
        <f t="shared" si="84"/>
        <v>157.69366177530426</v>
      </c>
      <c r="V188" s="153">
        <f>+C187+(D188/2)</f>
        <v>0</v>
      </c>
      <c r="W188" s="153">
        <f t="shared" si="85"/>
        <v>0</v>
      </c>
      <c r="X188" s="153">
        <f t="shared" si="86"/>
        <v>0</v>
      </c>
      <c r="Y188" s="153">
        <f t="shared" ref="Y188:Y210" si="94">+AA187</f>
        <v>89</v>
      </c>
      <c r="Z188" s="153">
        <f>+Y188+X188</f>
        <v>89</v>
      </c>
      <c r="AA188" s="155">
        <f t="shared" si="87"/>
        <v>89</v>
      </c>
      <c r="AB188" s="17"/>
      <c r="AC188" s="156">
        <f t="shared" si="88"/>
        <v>0</v>
      </c>
      <c r="AD188" s="156"/>
      <c r="AE188" s="156"/>
      <c r="AF188" s="156"/>
      <c r="AG188" s="156"/>
      <c r="AH188" s="156"/>
      <c r="AI188" s="176" t="e">
        <f t="shared" ref="AI188:AI210" si="95">IF(BG188&lt;0,"pin in groundstacking hole"," ")</f>
        <v>#DIV/0!</v>
      </c>
      <c r="AJ188" s="524"/>
      <c r="AK188" s="524"/>
      <c r="AL188" s="524"/>
      <c r="AM188" s="156" t="e">
        <f>SUM(AC188:AC211)/($B$184-B187)</f>
        <v>#DIV/0!</v>
      </c>
      <c r="AN188" s="156"/>
      <c r="AO188" s="177">
        <f>SUM(D188)+$C$187</f>
        <v>0</v>
      </c>
      <c r="AP188" s="235"/>
      <c r="AQ188" s="160">
        <f t="shared" ref="AQ188:AQ210" si="96">70.6301791-AO188</f>
        <v>70.630179100000007</v>
      </c>
      <c r="AR188" s="178">
        <f t="shared" si="89"/>
        <v>0.94339748455555306</v>
      </c>
      <c r="AS188" s="162">
        <f t="shared" ref="AS188:AS210" si="97">+AR188*132.9087</f>
        <v>125.38573325554864</v>
      </c>
      <c r="AT188" s="160">
        <f t="shared" ref="AT188:AT210" si="98">48.461653+AO188</f>
        <v>48.461652999999998</v>
      </c>
      <c r="AU188" s="179">
        <f t="shared" ref="AU188:AU210" si="99">SIN(AT188*3.14159265358979/180)</f>
        <v>0.74851207380038831</v>
      </c>
      <c r="AV188" s="162">
        <f t="shared" ref="AV188:AV210" si="100">+AU188*118.9026</f>
        <v>89.000031706258056</v>
      </c>
      <c r="AW188" s="180"/>
      <c r="AX188" s="162">
        <f>9.9*($B$184-B187)</f>
        <v>0</v>
      </c>
      <c r="AY188" s="180"/>
      <c r="AZ188" s="181">
        <f t="shared" ref="AZ188:AZ210" si="101">+AV188+AS188</f>
        <v>214.3857649618067</v>
      </c>
      <c r="BA188" s="182">
        <f>+AC188-AV188</f>
        <v>-89.000031706258056</v>
      </c>
      <c r="BB188" s="183"/>
      <c r="BC188" s="182" t="e">
        <f>+AM188-BA188</f>
        <v>#DIV/0!</v>
      </c>
      <c r="BD188" s="184" t="e">
        <f t="shared" ref="BD188:BD210" si="102">+((AZ188-BC188)/AZ188)*AX188</f>
        <v>#DIV/0!</v>
      </c>
      <c r="BE188" s="184" t="e">
        <f t="shared" ref="BE188:BE210" si="103">+(BC188/AZ188)*AX188</f>
        <v>#DIV/0!</v>
      </c>
      <c r="BF188" s="170" t="e">
        <f t="shared" ref="BF188:BF210" si="104">2*$C$24/BD188</f>
        <v>#DIV/0!</v>
      </c>
      <c r="BG188" s="170" t="e">
        <f t="shared" ref="BG188:BG210" si="105">$D$24/BE188</f>
        <v>#DIV/0!</v>
      </c>
      <c r="BH188" s="171" t="e">
        <f t="shared" ref="BH188:BI210" si="106">ABS(BF188)</f>
        <v>#DIV/0!</v>
      </c>
      <c r="BI188" s="171" t="e">
        <f t="shared" si="106"/>
        <v>#DIV/0!</v>
      </c>
      <c r="BJ188" s="2" t="e">
        <f t="shared" ref="BJ188:BJ210" si="107">IF(BG188&lt;0,0.3,0)</f>
        <v>#DIV/0!</v>
      </c>
      <c r="BO188" s="86"/>
      <c r="BP188" s="86"/>
      <c r="BQ188" s="86"/>
      <c r="BR188" s="86"/>
    </row>
    <row r="189" spans="2:70" ht="21" customHeight="1" thickBot="1" x14ac:dyDescent="0.3">
      <c r="B189" s="174">
        <v>3</v>
      </c>
      <c r="C189" s="175"/>
      <c r="D189" s="505">
        <v>0</v>
      </c>
      <c r="E189" s="146">
        <v>0</v>
      </c>
      <c r="F189" s="147">
        <v>1</v>
      </c>
      <c r="G189" s="147">
        <f>IF(AI189="pin in groundstacking hole",4,3)</f>
        <v>4</v>
      </c>
      <c r="H189" s="147">
        <v>5</v>
      </c>
      <c r="I189" s="147" t="str">
        <f>IF(AI189="pin in groundstacking hole","",7)</f>
        <v/>
      </c>
      <c r="J189" s="147">
        <v>9</v>
      </c>
      <c r="K189" s="148">
        <v>12</v>
      </c>
      <c r="L189" s="150" t="s">
        <v>65</v>
      </c>
      <c r="M189" s="150">
        <f t="shared" si="91"/>
        <v>0.3</v>
      </c>
      <c r="N189" s="150">
        <f t="shared" ref="N189:N210" si="108">+D189+BJ189</f>
        <v>0.3</v>
      </c>
      <c r="O189" s="152">
        <v>118.90260000000001</v>
      </c>
      <c r="P189" s="152">
        <v>83.076694799999999</v>
      </c>
      <c r="Q189" s="153">
        <f t="shared" si="92"/>
        <v>83.076694799999999</v>
      </c>
      <c r="R189" s="153">
        <f t="shared" si="93"/>
        <v>41.538347399999999</v>
      </c>
      <c r="S189" s="153">
        <f t="shared" si="82"/>
        <v>0.66312116713723779</v>
      </c>
      <c r="T189" s="153">
        <f t="shared" si="83"/>
        <v>78.846830887652132</v>
      </c>
      <c r="U189" s="153">
        <f t="shared" si="84"/>
        <v>157.69366177530426</v>
      </c>
      <c r="V189" s="153">
        <f>+C187+D188+(D189/2)</f>
        <v>0</v>
      </c>
      <c r="W189" s="153">
        <f t="shared" si="85"/>
        <v>0</v>
      </c>
      <c r="X189" s="153">
        <f t="shared" si="86"/>
        <v>0</v>
      </c>
      <c r="Y189" s="153">
        <f t="shared" si="94"/>
        <v>89</v>
      </c>
      <c r="Z189" s="153">
        <f t="shared" ref="Z189:Z210" si="109">+Z188+X189</f>
        <v>89</v>
      </c>
      <c r="AA189" s="155">
        <f t="shared" si="87"/>
        <v>89</v>
      </c>
      <c r="AB189" s="17"/>
      <c r="AC189" s="156">
        <f t="shared" si="88"/>
        <v>0</v>
      </c>
      <c r="AD189" s="156"/>
      <c r="AE189" s="156"/>
      <c r="AF189" s="156"/>
      <c r="AG189" s="156"/>
      <c r="AH189" s="156"/>
      <c r="AI189" s="176" t="str">
        <f t="shared" si="95"/>
        <v>pin in groundstacking hole</v>
      </c>
      <c r="AJ189" s="524"/>
      <c r="AK189" s="524"/>
      <c r="AL189" s="524"/>
      <c r="AM189" s="156">
        <f>SUM(AC189:AC210)/($B$184-B188)</f>
        <v>0</v>
      </c>
      <c r="AN189" s="156"/>
      <c r="AO189" s="177">
        <f>SUM(D188:D189)+$C$187</f>
        <v>0</v>
      </c>
      <c r="AP189" s="235"/>
      <c r="AQ189" s="160">
        <f t="shared" si="96"/>
        <v>70.630179100000007</v>
      </c>
      <c r="AR189" s="178">
        <f t="shared" si="89"/>
        <v>0.94339748455555306</v>
      </c>
      <c r="AS189" s="162">
        <f t="shared" si="97"/>
        <v>125.38573325554864</v>
      </c>
      <c r="AT189" s="160">
        <f t="shared" si="98"/>
        <v>48.461652999999998</v>
      </c>
      <c r="AU189" s="179">
        <f t="shared" si="99"/>
        <v>0.74851207380038831</v>
      </c>
      <c r="AV189" s="162">
        <f t="shared" si="100"/>
        <v>89.000031706258056</v>
      </c>
      <c r="AW189" s="180"/>
      <c r="AX189" s="162">
        <f t="shared" ref="AX189:AX210" si="110">9.9*($B$184-B188)</f>
        <v>-9.9</v>
      </c>
      <c r="AY189" s="180"/>
      <c r="AZ189" s="181">
        <f t="shared" si="101"/>
        <v>214.3857649618067</v>
      </c>
      <c r="BA189" s="182">
        <f>+AC189-AV189</f>
        <v>-89.000031706258056</v>
      </c>
      <c r="BB189" s="183"/>
      <c r="BC189" s="182">
        <f>+AM189-BA189</f>
        <v>89.000031706258056</v>
      </c>
      <c r="BD189" s="184">
        <f t="shared" si="102"/>
        <v>-5.7901174522994818</v>
      </c>
      <c r="BE189" s="184">
        <f t="shared" si="103"/>
        <v>-4.1098825477005194</v>
      </c>
      <c r="BF189" s="170">
        <f t="shared" si="104"/>
        <v>-1381.6645458241762</v>
      </c>
      <c r="BG189" s="170">
        <f t="shared" si="105"/>
        <v>-1070.590205177956</v>
      </c>
      <c r="BH189" s="171">
        <f t="shared" si="106"/>
        <v>1381.6645458241762</v>
      </c>
      <c r="BI189" s="171">
        <f t="shared" si="106"/>
        <v>1070.590205177956</v>
      </c>
      <c r="BJ189" s="2">
        <f t="shared" si="107"/>
        <v>0.3</v>
      </c>
      <c r="BO189" s="86"/>
      <c r="BP189" s="86"/>
      <c r="BQ189" s="86"/>
      <c r="BR189" s="86"/>
    </row>
    <row r="190" spans="2:70" ht="21" customHeight="1" thickBot="1" x14ac:dyDescent="0.3">
      <c r="B190" s="174">
        <v>4</v>
      </c>
      <c r="C190" s="175"/>
      <c r="D190" s="505">
        <v>0</v>
      </c>
      <c r="E190" s="146">
        <v>0</v>
      </c>
      <c r="F190" s="147">
        <v>1</v>
      </c>
      <c r="G190" s="147">
        <f>IF(AI190="pin in groundstacking hole",4,3)</f>
        <v>4</v>
      </c>
      <c r="H190" s="147">
        <v>5</v>
      </c>
      <c r="I190" s="147" t="str">
        <f>IF(AI190="pin in groundstacking hole","",7)</f>
        <v/>
      </c>
      <c r="J190" s="147">
        <v>9</v>
      </c>
      <c r="K190" s="148">
        <v>12</v>
      </c>
      <c r="L190" s="150" t="s">
        <v>65</v>
      </c>
      <c r="M190" s="150">
        <f t="shared" si="91"/>
        <v>0.3</v>
      </c>
      <c r="N190" s="150">
        <f t="shared" si="108"/>
        <v>0.3</v>
      </c>
      <c r="O190" s="152">
        <v>118.90260000000001</v>
      </c>
      <c r="P190" s="152">
        <v>83.076694799999999</v>
      </c>
      <c r="Q190" s="153">
        <f t="shared" si="92"/>
        <v>83.076694799999999</v>
      </c>
      <c r="R190" s="153">
        <f t="shared" si="93"/>
        <v>41.538347399999999</v>
      </c>
      <c r="S190" s="153">
        <f t="shared" si="82"/>
        <v>0.66312116713723779</v>
      </c>
      <c r="T190" s="153">
        <f t="shared" si="83"/>
        <v>78.846830887652132</v>
      </c>
      <c r="U190" s="153">
        <f t="shared" si="84"/>
        <v>157.69366177530426</v>
      </c>
      <c r="V190" s="153">
        <f>+C187+D188+D189+(D190/2)</f>
        <v>0</v>
      </c>
      <c r="W190" s="153">
        <f t="shared" si="85"/>
        <v>0</v>
      </c>
      <c r="X190" s="153">
        <f t="shared" si="86"/>
        <v>0</v>
      </c>
      <c r="Y190" s="153">
        <f t="shared" si="94"/>
        <v>89</v>
      </c>
      <c r="Z190" s="153">
        <f t="shared" si="109"/>
        <v>89</v>
      </c>
      <c r="AA190" s="155">
        <f t="shared" si="87"/>
        <v>89</v>
      </c>
      <c r="AB190" s="17"/>
      <c r="AC190" s="156">
        <f t="shared" si="88"/>
        <v>0</v>
      </c>
      <c r="AD190" s="156"/>
      <c r="AE190" s="156"/>
      <c r="AF190" s="156"/>
      <c r="AG190" s="156"/>
      <c r="AH190" s="156"/>
      <c r="AI190" s="176" t="str">
        <f t="shared" si="95"/>
        <v>pin in groundstacking hole</v>
      </c>
      <c r="AJ190" s="524"/>
      <c r="AK190" s="524"/>
      <c r="AL190" s="524"/>
      <c r="AM190" s="156">
        <f>SUM(AC190:AC210)/($B$184-B189)</f>
        <v>0</v>
      </c>
      <c r="AN190" s="156"/>
      <c r="AO190" s="177">
        <f>SUM(D188:D190)+$C$187</f>
        <v>0</v>
      </c>
      <c r="AP190" s="235"/>
      <c r="AQ190" s="160">
        <f t="shared" si="96"/>
        <v>70.630179100000007</v>
      </c>
      <c r="AR190" s="178">
        <f t="shared" si="89"/>
        <v>0.94339748455555306</v>
      </c>
      <c r="AS190" s="162">
        <f t="shared" si="97"/>
        <v>125.38573325554864</v>
      </c>
      <c r="AT190" s="160">
        <f t="shared" si="98"/>
        <v>48.461652999999998</v>
      </c>
      <c r="AU190" s="179">
        <f t="shared" si="99"/>
        <v>0.74851207380038831</v>
      </c>
      <c r="AV190" s="162">
        <f t="shared" si="100"/>
        <v>89.000031706258056</v>
      </c>
      <c r="AW190" s="180"/>
      <c r="AX190" s="162">
        <f t="shared" si="110"/>
        <v>-19.8</v>
      </c>
      <c r="AY190" s="180"/>
      <c r="AZ190" s="181">
        <f t="shared" si="101"/>
        <v>214.3857649618067</v>
      </c>
      <c r="BA190" s="182">
        <f>+AC190-AV190</f>
        <v>-89.000031706258056</v>
      </c>
      <c r="BB190" s="183"/>
      <c r="BC190" s="182">
        <f t="shared" ref="BC190:BC210" si="111">+AM190-BA190</f>
        <v>89.000031706258056</v>
      </c>
      <c r="BD190" s="184">
        <f t="shared" si="102"/>
        <v>-11.580234904598964</v>
      </c>
      <c r="BE190" s="184">
        <f t="shared" si="103"/>
        <v>-8.2197650954010388</v>
      </c>
      <c r="BF190" s="170">
        <f t="shared" si="104"/>
        <v>-690.83227291208811</v>
      </c>
      <c r="BG190" s="170">
        <f t="shared" si="105"/>
        <v>-535.29510258897801</v>
      </c>
      <c r="BH190" s="171">
        <f t="shared" si="106"/>
        <v>690.83227291208811</v>
      </c>
      <c r="BI190" s="171">
        <f t="shared" si="106"/>
        <v>535.29510258897801</v>
      </c>
      <c r="BJ190" s="2">
        <f t="shared" si="107"/>
        <v>0.3</v>
      </c>
      <c r="BO190" s="86"/>
      <c r="BP190" s="86"/>
      <c r="BQ190" s="86"/>
      <c r="BR190" s="86"/>
    </row>
    <row r="191" spans="2:70" ht="21" customHeight="1" thickBot="1" x14ac:dyDescent="0.3">
      <c r="B191" s="174">
        <v>5</v>
      </c>
      <c r="C191" s="175"/>
      <c r="D191" s="505">
        <v>0</v>
      </c>
      <c r="E191" s="146">
        <v>0</v>
      </c>
      <c r="F191" s="147">
        <v>1</v>
      </c>
      <c r="G191" s="147">
        <f t="shared" ref="G191:G210" si="112">IF(AI191="pin in groundstacking hole",4,3)</f>
        <v>4</v>
      </c>
      <c r="H191" s="147">
        <v>5</v>
      </c>
      <c r="I191" s="147" t="str">
        <f t="shared" ref="I191:I210" si="113">IF(AI191="pin in groundstacking hole","",7)</f>
        <v/>
      </c>
      <c r="J191" s="147">
        <v>9</v>
      </c>
      <c r="K191" s="148">
        <v>12</v>
      </c>
      <c r="L191" s="150" t="s">
        <v>65</v>
      </c>
      <c r="M191" s="150">
        <f t="shared" si="91"/>
        <v>0.3</v>
      </c>
      <c r="N191" s="150">
        <f>+D191+BJ191</f>
        <v>0.3</v>
      </c>
      <c r="O191" s="152">
        <v>118.90260000000001</v>
      </c>
      <c r="P191" s="152">
        <v>83.076694799999999</v>
      </c>
      <c r="Q191" s="153">
        <f t="shared" si="92"/>
        <v>83.076694799999999</v>
      </c>
      <c r="R191" s="153">
        <f t="shared" si="93"/>
        <v>41.538347399999999</v>
      </c>
      <c r="S191" s="153">
        <f t="shared" si="82"/>
        <v>0.66312116713723779</v>
      </c>
      <c r="T191" s="153">
        <f t="shared" si="83"/>
        <v>78.846830887652132</v>
      </c>
      <c r="U191" s="153">
        <f t="shared" si="84"/>
        <v>157.69366177530426</v>
      </c>
      <c r="V191" s="153">
        <f>+C187+D188+D189+D190+(D191/2)</f>
        <v>0</v>
      </c>
      <c r="W191" s="153">
        <f t="shared" si="85"/>
        <v>0</v>
      </c>
      <c r="X191" s="153">
        <f t="shared" si="86"/>
        <v>0</v>
      </c>
      <c r="Y191" s="153">
        <f t="shared" si="94"/>
        <v>89</v>
      </c>
      <c r="Z191" s="153">
        <f t="shared" si="109"/>
        <v>89</v>
      </c>
      <c r="AA191" s="155">
        <f t="shared" si="87"/>
        <v>89</v>
      </c>
      <c r="AB191" s="17"/>
      <c r="AC191" s="156">
        <f t="shared" si="88"/>
        <v>0</v>
      </c>
      <c r="AD191" s="156"/>
      <c r="AE191" s="156"/>
      <c r="AF191" s="156"/>
      <c r="AG191" s="156"/>
      <c r="AH191" s="156"/>
      <c r="AI191" s="176" t="str">
        <f t="shared" si="95"/>
        <v>pin in groundstacking hole</v>
      </c>
      <c r="AJ191" s="524"/>
      <c r="AK191" s="524"/>
      <c r="AL191" s="524"/>
      <c r="AM191" s="156">
        <f>SUM(AC191:AC210)/($B$184-B190)</f>
        <v>0</v>
      </c>
      <c r="AN191" s="156"/>
      <c r="AO191" s="177">
        <f>SUM(D188:D191)+$C$187</f>
        <v>0</v>
      </c>
      <c r="AP191" s="235"/>
      <c r="AQ191" s="160">
        <f t="shared" si="96"/>
        <v>70.630179100000007</v>
      </c>
      <c r="AR191" s="178">
        <f t="shared" si="89"/>
        <v>0.94339748455555306</v>
      </c>
      <c r="AS191" s="162">
        <f t="shared" si="97"/>
        <v>125.38573325554864</v>
      </c>
      <c r="AT191" s="160">
        <f t="shared" si="98"/>
        <v>48.461652999999998</v>
      </c>
      <c r="AU191" s="179">
        <f t="shared" si="99"/>
        <v>0.74851207380038831</v>
      </c>
      <c r="AV191" s="162">
        <f t="shared" si="100"/>
        <v>89.000031706258056</v>
      </c>
      <c r="AW191" s="180"/>
      <c r="AX191" s="162">
        <f t="shared" si="110"/>
        <v>-29.700000000000003</v>
      </c>
      <c r="AY191" s="180"/>
      <c r="AZ191" s="181">
        <f t="shared" si="101"/>
        <v>214.3857649618067</v>
      </c>
      <c r="BA191" s="182">
        <f t="shared" ref="BA191:BA210" si="114">+AC191-AV191</f>
        <v>-89.000031706258056</v>
      </c>
      <c r="BB191" s="183"/>
      <c r="BC191" s="182">
        <f t="shared" si="111"/>
        <v>89.000031706258056</v>
      </c>
      <c r="BD191" s="184">
        <f t="shared" si="102"/>
        <v>-17.370352356898447</v>
      </c>
      <c r="BE191" s="184">
        <f t="shared" si="103"/>
        <v>-12.329647643101559</v>
      </c>
      <c r="BF191" s="170">
        <f t="shared" si="104"/>
        <v>-460.55484860805871</v>
      </c>
      <c r="BG191" s="170">
        <f t="shared" si="105"/>
        <v>-356.86340172598534</v>
      </c>
      <c r="BH191" s="171">
        <f>ABS(BF191)</f>
        <v>460.55484860805871</v>
      </c>
      <c r="BI191" s="171">
        <f t="shared" si="106"/>
        <v>356.86340172598534</v>
      </c>
      <c r="BJ191" s="2">
        <f t="shared" si="107"/>
        <v>0.3</v>
      </c>
      <c r="BK191" s="91"/>
      <c r="BL191" s="91"/>
      <c r="BM191" s="91"/>
      <c r="BN191" s="91"/>
      <c r="BO191" s="86"/>
      <c r="BP191" s="86"/>
      <c r="BQ191" s="86"/>
      <c r="BR191" s="86"/>
    </row>
    <row r="192" spans="2:70" ht="21" customHeight="1" thickBot="1" x14ac:dyDescent="0.3">
      <c r="B192" s="174">
        <v>6</v>
      </c>
      <c r="C192" s="175"/>
      <c r="D192" s="505">
        <v>0</v>
      </c>
      <c r="E192" s="146">
        <v>0</v>
      </c>
      <c r="F192" s="147">
        <v>1</v>
      </c>
      <c r="G192" s="147">
        <f t="shared" si="112"/>
        <v>4</v>
      </c>
      <c r="H192" s="147">
        <v>5</v>
      </c>
      <c r="I192" s="147" t="str">
        <f t="shared" si="113"/>
        <v/>
      </c>
      <c r="J192" s="147">
        <v>9</v>
      </c>
      <c r="K192" s="148">
        <v>12</v>
      </c>
      <c r="L192" s="150" t="s">
        <v>65</v>
      </c>
      <c r="M192" s="150">
        <f t="shared" si="91"/>
        <v>0.3</v>
      </c>
      <c r="N192" s="150">
        <f t="shared" si="108"/>
        <v>0.3</v>
      </c>
      <c r="O192" s="152">
        <v>118.90260000000001</v>
      </c>
      <c r="P192" s="152">
        <v>83.076694799999999</v>
      </c>
      <c r="Q192" s="153">
        <f t="shared" si="92"/>
        <v>83.076694799999999</v>
      </c>
      <c r="R192" s="153">
        <f t="shared" si="93"/>
        <v>41.538347399999999</v>
      </c>
      <c r="S192" s="153">
        <f t="shared" si="82"/>
        <v>0.66312116713723779</v>
      </c>
      <c r="T192" s="153">
        <f t="shared" si="83"/>
        <v>78.846830887652132</v>
      </c>
      <c r="U192" s="153">
        <f t="shared" si="84"/>
        <v>157.69366177530426</v>
      </c>
      <c r="V192" s="153">
        <f>+C187+D188+D189+D190+D191+(D192/2)</f>
        <v>0</v>
      </c>
      <c r="W192" s="153">
        <f t="shared" si="85"/>
        <v>0</v>
      </c>
      <c r="X192" s="153">
        <f t="shared" si="86"/>
        <v>0</v>
      </c>
      <c r="Y192" s="153">
        <f t="shared" si="94"/>
        <v>89</v>
      </c>
      <c r="Z192" s="153">
        <f t="shared" si="109"/>
        <v>89</v>
      </c>
      <c r="AA192" s="155">
        <f t="shared" si="87"/>
        <v>89</v>
      </c>
      <c r="AB192" s="17"/>
      <c r="AC192" s="156">
        <f t="shared" si="88"/>
        <v>0</v>
      </c>
      <c r="AD192" s="156"/>
      <c r="AE192" s="156"/>
      <c r="AF192" s="156"/>
      <c r="AG192" s="156"/>
      <c r="AH192" s="156"/>
      <c r="AI192" s="176" t="str">
        <f t="shared" si="95"/>
        <v>pin in groundstacking hole</v>
      </c>
      <c r="AJ192" s="524"/>
      <c r="AK192" s="524"/>
      <c r="AL192" s="524"/>
      <c r="AM192" s="156">
        <f>SUM(AC192:AC210)/($B$184-B191)</f>
        <v>0</v>
      </c>
      <c r="AN192" s="156"/>
      <c r="AO192" s="177">
        <f>SUM(D188:D192)+$C$187</f>
        <v>0</v>
      </c>
      <c r="AP192" s="235"/>
      <c r="AQ192" s="160">
        <f t="shared" si="96"/>
        <v>70.630179100000007</v>
      </c>
      <c r="AR192" s="178">
        <f t="shared" si="89"/>
        <v>0.94339748455555306</v>
      </c>
      <c r="AS192" s="162">
        <f t="shared" si="97"/>
        <v>125.38573325554864</v>
      </c>
      <c r="AT192" s="160">
        <f t="shared" si="98"/>
        <v>48.461652999999998</v>
      </c>
      <c r="AU192" s="179">
        <f t="shared" si="99"/>
        <v>0.74851207380038831</v>
      </c>
      <c r="AV192" s="162">
        <f t="shared" si="100"/>
        <v>89.000031706258056</v>
      </c>
      <c r="AW192" s="180"/>
      <c r="AX192" s="162">
        <f t="shared" si="110"/>
        <v>-39.6</v>
      </c>
      <c r="AY192" s="180"/>
      <c r="AZ192" s="181">
        <f t="shared" si="101"/>
        <v>214.3857649618067</v>
      </c>
      <c r="BA192" s="182">
        <f t="shared" si="114"/>
        <v>-89.000031706258056</v>
      </c>
      <c r="BB192" s="183"/>
      <c r="BC192" s="182">
        <f t="shared" si="111"/>
        <v>89.000031706258056</v>
      </c>
      <c r="BD192" s="184">
        <f t="shared" si="102"/>
        <v>-23.160469809197927</v>
      </c>
      <c r="BE192" s="184">
        <f t="shared" si="103"/>
        <v>-16.439530190802078</v>
      </c>
      <c r="BF192" s="170">
        <f t="shared" si="104"/>
        <v>-345.41613645604406</v>
      </c>
      <c r="BG192" s="170">
        <f t="shared" si="105"/>
        <v>-267.64755129448901</v>
      </c>
      <c r="BH192" s="171">
        <f t="shared" si="106"/>
        <v>345.41613645604406</v>
      </c>
      <c r="BI192" s="171">
        <f t="shared" si="106"/>
        <v>267.64755129448901</v>
      </c>
      <c r="BJ192" s="2">
        <f t="shared" si="107"/>
        <v>0.3</v>
      </c>
      <c r="BK192" s="91"/>
      <c r="BL192" s="91"/>
      <c r="BM192" s="91"/>
      <c r="BN192" s="91"/>
      <c r="BO192" s="86"/>
      <c r="BP192" s="86"/>
      <c r="BQ192" s="86"/>
      <c r="BR192" s="86"/>
    </row>
    <row r="193" spans="1:70" ht="21" customHeight="1" thickBot="1" x14ac:dyDescent="0.3">
      <c r="B193" s="174">
        <v>7</v>
      </c>
      <c r="C193" s="175"/>
      <c r="D193" s="505">
        <v>0</v>
      </c>
      <c r="E193" s="146">
        <v>0</v>
      </c>
      <c r="F193" s="147">
        <v>1</v>
      </c>
      <c r="G193" s="147">
        <f t="shared" si="112"/>
        <v>4</v>
      </c>
      <c r="H193" s="147">
        <v>5</v>
      </c>
      <c r="I193" s="147" t="str">
        <f t="shared" si="113"/>
        <v/>
      </c>
      <c r="J193" s="147">
        <v>9</v>
      </c>
      <c r="K193" s="148">
        <v>12</v>
      </c>
      <c r="L193" s="150" t="s">
        <v>65</v>
      </c>
      <c r="M193" s="150">
        <f t="shared" si="91"/>
        <v>0.3</v>
      </c>
      <c r="N193" s="150">
        <f t="shared" si="108"/>
        <v>0.3</v>
      </c>
      <c r="O193" s="152">
        <v>118.90260000000001</v>
      </c>
      <c r="P193" s="152">
        <v>83.076694799999999</v>
      </c>
      <c r="Q193" s="153">
        <f t="shared" si="92"/>
        <v>83.076694799999999</v>
      </c>
      <c r="R193" s="153">
        <f t="shared" si="93"/>
        <v>41.538347399999999</v>
      </c>
      <c r="S193" s="153">
        <f t="shared" si="82"/>
        <v>0.66312116713723779</v>
      </c>
      <c r="T193" s="153">
        <f t="shared" si="83"/>
        <v>78.846830887652132</v>
      </c>
      <c r="U193" s="153">
        <f t="shared" si="84"/>
        <v>157.69366177530426</v>
      </c>
      <c r="V193" s="153">
        <f>+C187+D188+D189+D190+D191+D192+(D193/2)</f>
        <v>0</v>
      </c>
      <c r="W193" s="153">
        <f t="shared" si="85"/>
        <v>0</v>
      </c>
      <c r="X193" s="153">
        <f t="shared" si="86"/>
        <v>0</v>
      </c>
      <c r="Y193" s="153">
        <f t="shared" si="94"/>
        <v>89</v>
      </c>
      <c r="Z193" s="153">
        <f t="shared" si="109"/>
        <v>89</v>
      </c>
      <c r="AA193" s="155">
        <f t="shared" si="87"/>
        <v>89</v>
      </c>
      <c r="AB193" s="17"/>
      <c r="AC193" s="156">
        <f t="shared" si="88"/>
        <v>0</v>
      </c>
      <c r="AD193" s="156"/>
      <c r="AE193" s="156"/>
      <c r="AF193" s="156"/>
      <c r="AG193" s="156"/>
      <c r="AH193" s="156"/>
      <c r="AI193" s="176" t="str">
        <f t="shared" si="95"/>
        <v>pin in groundstacking hole</v>
      </c>
      <c r="AJ193" s="524"/>
      <c r="AK193" s="524"/>
      <c r="AL193" s="524"/>
      <c r="AM193" s="156">
        <f>SUM(AC193:AC210)/($B$184-B192)</f>
        <v>0</v>
      </c>
      <c r="AN193" s="156"/>
      <c r="AO193" s="177">
        <f>SUM(D188:D193)+$C$187</f>
        <v>0</v>
      </c>
      <c r="AP193" s="235"/>
      <c r="AQ193" s="160">
        <f t="shared" si="96"/>
        <v>70.630179100000007</v>
      </c>
      <c r="AR193" s="178">
        <f t="shared" si="89"/>
        <v>0.94339748455555306</v>
      </c>
      <c r="AS193" s="162">
        <f t="shared" si="97"/>
        <v>125.38573325554864</v>
      </c>
      <c r="AT193" s="160">
        <f t="shared" si="98"/>
        <v>48.461652999999998</v>
      </c>
      <c r="AU193" s="179">
        <f t="shared" si="99"/>
        <v>0.74851207380038831</v>
      </c>
      <c r="AV193" s="162">
        <f t="shared" si="100"/>
        <v>89.000031706258056</v>
      </c>
      <c r="AW193" s="180"/>
      <c r="AX193" s="162">
        <f t="shared" si="110"/>
        <v>-49.5</v>
      </c>
      <c r="AY193" s="180"/>
      <c r="AZ193" s="181">
        <f t="shared" si="101"/>
        <v>214.3857649618067</v>
      </c>
      <c r="BA193" s="182">
        <f t="shared" si="114"/>
        <v>-89.000031706258056</v>
      </c>
      <c r="BB193" s="183"/>
      <c r="BC193" s="182">
        <f t="shared" si="111"/>
        <v>89.000031706258056</v>
      </c>
      <c r="BD193" s="184">
        <f t="shared" si="102"/>
        <v>-28.950587261497407</v>
      </c>
      <c r="BE193" s="184">
        <f t="shared" si="103"/>
        <v>-20.549412738502596</v>
      </c>
      <c r="BF193" s="170">
        <f t="shared" si="104"/>
        <v>-276.33290916483526</v>
      </c>
      <c r="BG193" s="170">
        <f t="shared" si="105"/>
        <v>-214.11804103559123</v>
      </c>
      <c r="BH193" s="171">
        <f t="shared" si="106"/>
        <v>276.33290916483526</v>
      </c>
      <c r="BI193" s="171">
        <f t="shared" si="106"/>
        <v>214.11804103559123</v>
      </c>
      <c r="BJ193" s="2">
        <f t="shared" si="107"/>
        <v>0.3</v>
      </c>
      <c r="BO193" s="86"/>
      <c r="BP193" s="86"/>
      <c r="BQ193" s="86"/>
      <c r="BR193" s="86"/>
    </row>
    <row r="194" spans="1:70" ht="21" customHeight="1" thickBot="1" x14ac:dyDescent="0.3">
      <c r="B194" s="174">
        <v>8</v>
      </c>
      <c r="C194" s="175"/>
      <c r="D194" s="505">
        <v>0</v>
      </c>
      <c r="E194" s="146">
        <v>0</v>
      </c>
      <c r="F194" s="147">
        <v>1</v>
      </c>
      <c r="G194" s="147">
        <f t="shared" si="112"/>
        <v>4</v>
      </c>
      <c r="H194" s="147">
        <v>5</v>
      </c>
      <c r="I194" s="147" t="str">
        <f t="shared" si="113"/>
        <v/>
      </c>
      <c r="J194" s="147">
        <v>9</v>
      </c>
      <c r="K194" s="148">
        <v>12</v>
      </c>
      <c r="L194" s="150" t="s">
        <v>65</v>
      </c>
      <c r="M194" s="150">
        <f t="shared" si="91"/>
        <v>0.3</v>
      </c>
      <c r="N194" s="150">
        <f t="shared" si="108"/>
        <v>0.3</v>
      </c>
      <c r="O194" s="152">
        <v>118.90260000000001</v>
      </c>
      <c r="P194" s="152">
        <v>83.076694799999999</v>
      </c>
      <c r="Q194" s="153">
        <f t="shared" si="92"/>
        <v>83.076694799999999</v>
      </c>
      <c r="R194" s="153">
        <f t="shared" si="93"/>
        <v>41.538347399999999</v>
      </c>
      <c r="S194" s="153">
        <f t="shared" si="82"/>
        <v>0.66312116713723779</v>
      </c>
      <c r="T194" s="153">
        <f t="shared" si="83"/>
        <v>78.846830887652132</v>
      </c>
      <c r="U194" s="153">
        <f t="shared" si="84"/>
        <v>157.69366177530426</v>
      </c>
      <c r="V194" s="153">
        <f>+C187+D188+D189+D190+D191+D192+D193+(D194/2)</f>
        <v>0</v>
      </c>
      <c r="W194" s="153">
        <f t="shared" si="85"/>
        <v>0</v>
      </c>
      <c r="X194" s="153">
        <f t="shared" si="86"/>
        <v>0</v>
      </c>
      <c r="Y194" s="153">
        <f t="shared" si="94"/>
        <v>89</v>
      </c>
      <c r="Z194" s="153">
        <f t="shared" si="109"/>
        <v>89</v>
      </c>
      <c r="AA194" s="155">
        <f t="shared" si="87"/>
        <v>89</v>
      </c>
      <c r="AB194" s="17"/>
      <c r="AC194" s="156">
        <f t="shared" si="88"/>
        <v>0</v>
      </c>
      <c r="AD194" s="156"/>
      <c r="AE194" s="156"/>
      <c r="AF194" s="156"/>
      <c r="AG194" s="156"/>
      <c r="AH194" s="156"/>
      <c r="AI194" s="176" t="str">
        <f>IF(BG194&lt;0,"pin in groundstacking hole"," ")</f>
        <v>pin in groundstacking hole</v>
      </c>
      <c r="AJ194" s="524"/>
      <c r="AK194" s="524"/>
      <c r="AL194" s="524"/>
      <c r="AM194" s="156">
        <f>SUM(AC194:AC210)/($B$184-B193)</f>
        <v>0</v>
      </c>
      <c r="AN194" s="156"/>
      <c r="AO194" s="177">
        <f>SUM(D188:D194)+$C$187</f>
        <v>0</v>
      </c>
      <c r="AP194" s="235"/>
      <c r="AQ194" s="160">
        <f t="shared" si="96"/>
        <v>70.630179100000007</v>
      </c>
      <c r="AR194" s="178">
        <f t="shared" si="89"/>
        <v>0.94339748455555306</v>
      </c>
      <c r="AS194" s="162">
        <f t="shared" si="97"/>
        <v>125.38573325554864</v>
      </c>
      <c r="AT194" s="160">
        <f t="shared" si="98"/>
        <v>48.461652999999998</v>
      </c>
      <c r="AU194" s="179">
        <f t="shared" si="99"/>
        <v>0.74851207380038831</v>
      </c>
      <c r="AV194" s="162">
        <f t="shared" si="100"/>
        <v>89.000031706258056</v>
      </c>
      <c r="AW194" s="180"/>
      <c r="AX194" s="162">
        <f t="shared" si="110"/>
        <v>-59.400000000000006</v>
      </c>
      <c r="AY194" s="180"/>
      <c r="AZ194" s="181">
        <f t="shared" si="101"/>
        <v>214.3857649618067</v>
      </c>
      <c r="BA194" s="182">
        <f t="shared" si="114"/>
        <v>-89.000031706258056</v>
      </c>
      <c r="BB194" s="183"/>
      <c r="BC194" s="182">
        <f t="shared" si="111"/>
        <v>89.000031706258056</v>
      </c>
      <c r="BD194" s="184">
        <f t="shared" si="102"/>
        <v>-34.740704713796895</v>
      </c>
      <c r="BE194" s="184">
        <f t="shared" si="103"/>
        <v>-24.659295286203118</v>
      </c>
      <c r="BF194" s="170">
        <f t="shared" si="104"/>
        <v>-230.27742430402935</v>
      </c>
      <c r="BG194" s="170">
        <f t="shared" si="105"/>
        <v>-178.43170086299267</v>
      </c>
      <c r="BH194" s="171">
        <f t="shared" si="106"/>
        <v>230.27742430402935</v>
      </c>
      <c r="BI194" s="171">
        <f t="shared" si="106"/>
        <v>178.43170086299267</v>
      </c>
      <c r="BJ194" s="2">
        <f t="shared" si="107"/>
        <v>0.3</v>
      </c>
      <c r="BO194" s="86"/>
      <c r="BP194" s="86"/>
      <c r="BQ194" s="86"/>
      <c r="BR194" s="86"/>
    </row>
    <row r="195" spans="1:70" ht="21" customHeight="1" thickBot="1" x14ac:dyDescent="0.3">
      <c r="B195" s="174">
        <v>9</v>
      </c>
      <c r="C195" s="175"/>
      <c r="D195" s="505">
        <v>0</v>
      </c>
      <c r="E195" s="146">
        <v>0</v>
      </c>
      <c r="F195" s="147">
        <v>1</v>
      </c>
      <c r="G195" s="147">
        <f t="shared" si="112"/>
        <v>4</v>
      </c>
      <c r="H195" s="147">
        <v>5</v>
      </c>
      <c r="I195" s="147" t="str">
        <f t="shared" si="113"/>
        <v/>
      </c>
      <c r="J195" s="147">
        <v>9</v>
      </c>
      <c r="K195" s="148">
        <v>12</v>
      </c>
      <c r="L195" s="150" t="s">
        <v>65</v>
      </c>
      <c r="M195" s="150">
        <f t="shared" si="91"/>
        <v>0.3</v>
      </c>
      <c r="N195" s="150">
        <f t="shared" si="108"/>
        <v>0.3</v>
      </c>
      <c r="O195" s="152">
        <v>118.90260000000001</v>
      </c>
      <c r="P195" s="152">
        <v>83.076694799999999</v>
      </c>
      <c r="Q195" s="153">
        <f t="shared" si="92"/>
        <v>83.076694799999999</v>
      </c>
      <c r="R195" s="153">
        <f t="shared" si="93"/>
        <v>41.538347399999999</v>
      </c>
      <c r="S195" s="153">
        <f t="shared" si="82"/>
        <v>0.66312116713723779</v>
      </c>
      <c r="T195" s="153">
        <f t="shared" si="83"/>
        <v>78.846830887652132</v>
      </c>
      <c r="U195" s="153">
        <f t="shared" si="84"/>
        <v>157.69366177530426</v>
      </c>
      <c r="V195" s="153">
        <f>+C187+D188+D189+D190+D191+D192+D193+D194+(D195/2)</f>
        <v>0</v>
      </c>
      <c r="W195" s="153">
        <f t="shared" si="85"/>
        <v>0</v>
      </c>
      <c r="X195" s="153">
        <f t="shared" si="86"/>
        <v>0</v>
      </c>
      <c r="Y195" s="153">
        <f t="shared" si="94"/>
        <v>89</v>
      </c>
      <c r="Z195" s="153">
        <f t="shared" si="109"/>
        <v>89</v>
      </c>
      <c r="AA195" s="155">
        <f t="shared" si="87"/>
        <v>89</v>
      </c>
      <c r="AB195" s="17"/>
      <c r="AC195" s="156">
        <f t="shared" si="88"/>
        <v>0</v>
      </c>
      <c r="AD195" s="156"/>
      <c r="AE195" s="156"/>
      <c r="AF195" s="156"/>
      <c r="AG195" s="156"/>
      <c r="AH195" s="156"/>
      <c r="AI195" s="176" t="str">
        <f t="shared" si="95"/>
        <v>pin in groundstacking hole</v>
      </c>
      <c r="AJ195" s="524"/>
      <c r="AK195" s="524"/>
      <c r="AL195" s="524"/>
      <c r="AM195" s="156">
        <f>SUM(AC195:AC210)/($B$184-B194)</f>
        <v>0</v>
      </c>
      <c r="AN195" s="156"/>
      <c r="AO195" s="177">
        <f>SUM(D188:D195)+$C$187</f>
        <v>0</v>
      </c>
      <c r="AP195" s="235"/>
      <c r="AQ195" s="160">
        <f t="shared" si="96"/>
        <v>70.630179100000007</v>
      </c>
      <c r="AR195" s="178">
        <f t="shared" si="89"/>
        <v>0.94339748455555306</v>
      </c>
      <c r="AS195" s="162">
        <f t="shared" si="97"/>
        <v>125.38573325554864</v>
      </c>
      <c r="AT195" s="160">
        <f t="shared" si="98"/>
        <v>48.461652999999998</v>
      </c>
      <c r="AU195" s="179">
        <f t="shared" si="99"/>
        <v>0.74851207380038831</v>
      </c>
      <c r="AV195" s="162">
        <f t="shared" si="100"/>
        <v>89.000031706258056</v>
      </c>
      <c r="AW195" s="180"/>
      <c r="AX195" s="162">
        <f t="shared" si="110"/>
        <v>-69.3</v>
      </c>
      <c r="AY195" s="180"/>
      <c r="AZ195" s="181">
        <f t="shared" si="101"/>
        <v>214.3857649618067</v>
      </c>
      <c r="BA195" s="182">
        <f t="shared" si="114"/>
        <v>-89.000031706258056</v>
      </c>
      <c r="BB195" s="183"/>
      <c r="BC195" s="182">
        <f t="shared" si="111"/>
        <v>89.000031706258056</v>
      </c>
      <c r="BD195" s="184">
        <f t="shared" si="102"/>
        <v>-40.530822166096371</v>
      </c>
      <c r="BE195" s="184">
        <f t="shared" si="103"/>
        <v>-28.769177833903633</v>
      </c>
      <c r="BF195" s="170">
        <f t="shared" si="104"/>
        <v>-197.38064940345376</v>
      </c>
      <c r="BG195" s="170">
        <f t="shared" si="105"/>
        <v>-152.94145788256517</v>
      </c>
      <c r="BH195" s="171">
        <f t="shared" si="106"/>
        <v>197.38064940345376</v>
      </c>
      <c r="BI195" s="171">
        <f t="shared" si="106"/>
        <v>152.94145788256517</v>
      </c>
      <c r="BJ195" s="2">
        <f t="shared" si="107"/>
        <v>0.3</v>
      </c>
      <c r="BO195" s="86"/>
      <c r="BP195" s="86"/>
      <c r="BQ195" s="86"/>
      <c r="BR195" s="86"/>
    </row>
    <row r="196" spans="1:70" ht="21" customHeight="1" thickBot="1" x14ac:dyDescent="0.3">
      <c r="B196" s="174">
        <v>10</v>
      </c>
      <c r="C196" s="175"/>
      <c r="D196" s="505">
        <v>0</v>
      </c>
      <c r="E196" s="146">
        <v>0</v>
      </c>
      <c r="F196" s="147">
        <v>1</v>
      </c>
      <c r="G196" s="147">
        <f t="shared" si="112"/>
        <v>4</v>
      </c>
      <c r="H196" s="147">
        <v>5</v>
      </c>
      <c r="I196" s="147" t="str">
        <f t="shared" si="113"/>
        <v/>
      </c>
      <c r="J196" s="147">
        <v>9</v>
      </c>
      <c r="K196" s="148">
        <v>12</v>
      </c>
      <c r="L196" s="150" t="s">
        <v>65</v>
      </c>
      <c r="M196" s="150">
        <f t="shared" si="91"/>
        <v>0.3</v>
      </c>
      <c r="N196" s="150">
        <f t="shared" si="108"/>
        <v>0.3</v>
      </c>
      <c r="O196" s="152">
        <v>118.90260000000001</v>
      </c>
      <c r="P196" s="152">
        <v>83.076694799999999</v>
      </c>
      <c r="Q196" s="153">
        <f t="shared" si="92"/>
        <v>83.076694799999999</v>
      </c>
      <c r="R196" s="153">
        <f t="shared" si="93"/>
        <v>41.538347399999999</v>
      </c>
      <c r="S196" s="153">
        <f t="shared" si="82"/>
        <v>0.66312116713723779</v>
      </c>
      <c r="T196" s="153">
        <f t="shared" si="83"/>
        <v>78.846830887652132</v>
      </c>
      <c r="U196" s="153">
        <f t="shared" si="84"/>
        <v>157.69366177530426</v>
      </c>
      <c r="V196" s="153">
        <f>+C187+D188+D189+D190+D191+D192+D193+D194+D195+(D196/2)</f>
        <v>0</v>
      </c>
      <c r="W196" s="153">
        <f t="shared" si="85"/>
        <v>0</v>
      </c>
      <c r="X196" s="153">
        <f t="shared" si="86"/>
        <v>0</v>
      </c>
      <c r="Y196" s="153">
        <f t="shared" si="94"/>
        <v>89</v>
      </c>
      <c r="Z196" s="153">
        <f t="shared" si="109"/>
        <v>89</v>
      </c>
      <c r="AA196" s="155">
        <f t="shared" si="87"/>
        <v>89</v>
      </c>
      <c r="AB196" s="17"/>
      <c r="AC196" s="156">
        <f t="shared" si="88"/>
        <v>0</v>
      </c>
      <c r="AD196" s="156"/>
      <c r="AE196" s="156"/>
      <c r="AF196" s="156"/>
      <c r="AG196" s="156"/>
      <c r="AH196" s="156"/>
      <c r="AI196" s="176" t="str">
        <f t="shared" si="95"/>
        <v>pin in groundstacking hole</v>
      </c>
      <c r="AJ196" s="524"/>
      <c r="AK196" s="524"/>
      <c r="AL196" s="524"/>
      <c r="AM196" s="156">
        <f>SUM(AC196:AC210)/($B$184-B195)</f>
        <v>0</v>
      </c>
      <c r="AN196" s="156"/>
      <c r="AO196" s="177">
        <f>SUM(D188:D196)+$C$187</f>
        <v>0</v>
      </c>
      <c r="AP196" s="235"/>
      <c r="AQ196" s="160">
        <f t="shared" si="96"/>
        <v>70.630179100000007</v>
      </c>
      <c r="AR196" s="178">
        <f t="shared" si="89"/>
        <v>0.94339748455555306</v>
      </c>
      <c r="AS196" s="162">
        <f t="shared" si="97"/>
        <v>125.38573325554864</v>
      </c>
      <c r="AT196" s="160">
        <f t="shared" si="98"/>
        <v>48.461652999999998</v>
      </c>
      <c r="AU196" s="179">
        <f t="shared" si="99"/>
        <v>0.74851207380038831</v>
      </c>
      <c r="AV196" s="162">
        <f t="shared" si="100"/>
        <v>89.000031706258056</v>
      </c>
      <c r="AW196" s="180"/>
      <c r="AX196" s="162">
        <f t="shared" si="110"/>
        <v>-79.2</v>
      </c>
      <c r="AY196" s="180"/>
      <c r="AZ196" s="181">
        <f t="shared" si="101"/>
        <v>214.3857649618067</v>
      </c>
      <c r="BA196" s="182">
        <f t="shared" si="114"/>
        <v>-89.000031706258056</v>
      </c>
      <c r="BB196" s="183"/>
      <c r="BC196" s="182">
        <f t="shared" si="111"/>
        <v>89.000031706258056</v>
      </c>
      <c r="BD196" s="184">
        <f t="shared" si="102"/>
        <v>-46.320939618395855</v>
      </c>
      <c r="BE196" s="184">
        <f t="shared" si="103"/>
        <v>-32.879060381604155</v>
      </c>
      <c r="BF196" s="170">
        <f t="shared" si="104"/>
        <v>-172.70806822802203</v>
      </c>
      <c r="BG196" s="170">
        <f t="shared" si="105"/>
        <v>-133.8237756472445</v>
      </c>
      <c r="BH196" s="171">
        <f t="shared" si="106"/>
        <v>172.70806822802203</v>
      </c>
      <c r="BI196" s="171">
        <f t="shared" si="106"/>
        <v>133.8237756472445</v>
      </c>
      <c r="BJ196" s="2">
        <f t="shared" si="107"/>
        <v>0.3</v>
      </c>
      <c r="BO196" s="86"/>
      <c r="BP196" s="86"/>
      <c r="BQ196" s="86"/>
      <c r="BR196" s="86"/>
    </row>
    <row r="197" spans="1:70" ht="21" customHeight="1" thickBot="1" x14ac:dyDescent="0.3">
      <c r="A197" s="185"/>
      <c r="B197" s="174">
        <v>11</v>
      </c>
      <c r="C197" s="175"/>
      <c r="D197" s="505">
        <v>0</v>
      </c>
      <c r="E197" s="146">
        <v>0</v>
      </c>
      <c r="F197" s="147">
        <v>1</v>
      </c>
      <c r="G197" s="147">
        <f t="shared" si="112"/>
        <v>4</v>
      </c>
      <c r="H197" s="147">
        <v>5</v>
      </c>
      <c r="I197" s="147" t="str">
        <f t="shared" si="113"/>
        <v/>
      </c>
      <c r="J197" s="147">
        <v>9</v>
      </c>
      <c r="K197" s="148">
        <v>12</v>
      </c>
      <c r="L197" s="150" t="s">
        <v>65</v>
      </c>
      <c r="M197" s="150">
        <f t="shared" si="91"/>
        <v>0.3</v>
      </c>
      <c r="N197" s="150">
        <f t="shared" si="108"/>
        <v>0.3</v>
      </c>
      <c r="O197" s="152">
        <v>118.90260000000001</v>
      </c>
      <c r="P197" s="152">
        <v>83.076694799999999</v>
      </c>
      <c r="Q197" s="153">
        <f t="shared" si="92"/>
        <v>83.076694799999999</v>
      </c>
      <c r="R197" s="153">
        <f t="shared" si="93"/>
        <v>41.538347399999999</v>
      </c>
      <c r="S197" s="153">
        <f t="shared" si="82"/>
        <v>0.66312116713723779</v>
      </c>
      <c r="T197" s="153">
        <f t="shared" si="83"/>
        <v>78.846830887652132</v>
      </c>
      <c r="U197" s="153">
        <f t="shared" si="84"/>
        <v>157.69366177530426</v>
      </c>
      <c r="V197" s="153">
        <f>+C187+D188+D189+D190+D191+D192+D193+D194+D195+D196+(D197/2)</f>
        <v>0</v>
      </c>
      <c r="W197" s="153">
        <f t="shared" si="85"/>
        <v>0</v>
      </c>
      <c r="X197" s="153">
        <f t="shared" si="86"/>
        <v>0</v>
      </c>
      <c r="Y197" s="153">
        <f t="shared" si="94"/>
        <v>89</v>
      </c>
      <c r="Z197" s="153">
        <f t="shared" si="109"/>
        <v>89</v>
      </c>
      <c r="AA197" s="155">
        <f t="shared" si="87"/>
        <v>89</v>
      </c>
      <c r="AB197" s="17"/>
      <c r="AC197" s="156">
        <f t="shared" si="88"/>
        <v>0</v>
      </c>
      <c r="AD197" s="156"/>
      <c r="AE197" s="156"/>
      <c r="AF197" s="156"/>
      <c r="AG197" s="156"/>
      <c r="AH197" s="156"/>
      <c r="AI197" s="176" t="str">
        <f t="shared" si="95"/>
        <v>pin in groundstacking hole</v>
      </c>
      <c r="AJ197" s="524"/>
      <c r="AK197" s="524"/>
      <c r="AL197" s="524"/>
      <c r="AM197" s="156">
        <f>SUM(AC197:AC210)/($B$184-B196)</f>
        <v>0</v>
      </c>
      <c r="AN197" s="156"/>
      <c r="AO197" s="177">
        <f>SUM(D188:D197)+$C$187</f>
        <v>0</v>
      </c>
      <c r="AP197" s="235"/>
      <c r="AQ197" s="160">
        <f t="shared" si="96"/>
        <v>70.630179100000007</v>
      </c>
      <c r="AR197" s="178">
        <f t="shared" si="89"/>
        <v>0.94339748455555306</v>
      </c>
      <c r="AS197" s="162">
        <f t="shared" si="97"/>
        <v>125.38573325554864</v>
      </c>
      <c r="AT197" s="160">
        <f t="shared" si="98"/>
        <v>48.461652999999998</v>
      </c>
      <c r="AU197" s="179">
        <f t="shared" si="99"/>
        <v>0.74851207380038831</v>
      </c>
      <c r="AV197" s="162">
        <f t="shared" si="100"/>
        <v>89.000031706258056</v>
      </c>
      <c r="AW197" s="180"/>
      <c r="AX197" s="162">
        <f t="shared" si="110"/>
        <v>-89.100000000000009</v>
      </c>
      <c r="AY197" s="180"/>
      <c r="AZ197" s="181">
        <f t="shared" si="101"/>
        <v>214.3857649618067</v>
      </c>
      <c r="BA197" s="182">
        <f t="shared" si="114"/>
        <v>-89.000031706258056</v>
      </c>
      <c r="BB197" s="183"/>
      <c r="BC197" s="182">
        <f t="shared" si="111"/>
        <v>89.000031706258056</v>
      </c>
      <c r="BD197" s="184">
        <f t="shared" si="102"/>
        <v>-52.111057070695338</v>
      </c>
      <c r="BE197" s="184">
        <f t="shared" si="103"/>
        <v>-36.988942929304677</v>
      </c>
      <c r="BF197" s="170">
        <f t="shared" si="104"/>
        <v>-153.5182828693529</v>
      </c>
      <c r="BG197" s="170">
        <f t="shared" si="105"/>
        <v>-118.95446724199512</v>
      </c>
      <c r="BH197" s="171">
        <f t="shared" si="106"/>
        <v>153.5182828693529</v>
      </c>
      <c r="BI197" s="171">
        <f t="shared" si="106"/>
        <v>118.95446724199512</v>
      </c>
      <c r="BJ197" s="2">
        <f t="shared" si="107"/>
        <v>0.3</v>
      </c>
      <c r="BO197" s="86"/>
      <c r="BP197" s="86"/>
      <c r="BQ197" s="86"/>
      <c r="BR197" s="86"/>
    </row>
    <row r="198" spans="1:70" ht="21" customHeight="1" thickBot="1" x14ac:dyDescent="0.3">
      <c r="A198" s="185"/>
      <c r="B198" s="174">
        <v>12</v>
      </c>
      <c r="C198" s="175"/>
      <c r="D198" s="505">
        <v>0</v>
      </c>
      <c r="E198" s="146">
        <v>0</v>
      </c>
      <c r="F198" s="147">
        <v>1</v>
      </c>
      <c r="G198" s="147">
        <f t="shared" si="112"/>
        <v>4</v>
      </c>
      <c r="H198" s="147">
        <v>5</v>
      </c>
      <c r="I198" s="147" t="str">
        <f t="shared" si="113"/>
        <v/>
      </c>
      <c r="J198" s="147">
        <v>9</v>
      </c>
      <c r="K198" s="148">
        <v>12</v>
      </c>
      <c r="L198" s="150" t="s">
        <v>65</v>
      </c>
      <c r="M198" s="150">
        <f t="shared" si="91"/>
        <v>0.3</v>
      </c>
      <c r="N198" s="150">
        <f t="shared" si="108"/>
        <v>0.3</v>
      </c>
      <c r="O198" s="152">
        <v>118.90260000000001</v>
      </c>
      <c r="P198" s="152">
        <v>83.076694799999999</v>
      </c>
      <c r="Q198" s="153">
        <f t="shared" si="92"/>
        <v>83.076694799999999</v>
      </c>
      <c r="R198" s="153">
        <f t="shared" si="93"/>
        <v>41.538347399999999</v>
      </c>
      <c r="S198" s="153">
        <f t="shared" si="82"/>
        <v>0.66312116713723779</v>
      </c>
      <c r="T198" s="153">
        <f t="shared" si="83"/>
        <v>78.846830887652132</v>
      </c>
      <c r="U198" s="153">
        <f t="shared" si="84"/>
        <v>157.69366177530426</v>
      </c>
      <c r="V198" s="153">
        <f>+C187+D188+D189+D190+D191+D192+D193+D194+D195+D196+D197+(D198/2)</f>
        <v>0</v>
      </c>
      <c r="W198" s="153">
        <f t="shared" si="85"/>
        <v>0</v>
      </c>
      <c r="X198" s="153">
        <f t="shared" si="86"/>
        <v>0</v>
      </c>
      <c r="Y198" s="153">
        <f t="shared" si="94"/>
        <v>89</v>
      </c>
      <c r="Z198" s="153">
        <f t="shared" si="109"/>
        <v>89</v>
      </c>
      <c r="AA198" s="155">
        <f t="shared" si="87"/>
        <v>89</v>
      </c>
      <c r="AB198" s="17"/>
      <c r="AC198" s="156">
        <f t="shared" si="88"/>
        <v>0</v>
      </c>
      <c r="AD198" s="156"/>
      <c r="AE198" s="156"/>
      <c r="AF198" s="156"/>
      <c r="AG198" s="156"/>
      <c r="AH198" s="156"/>
      <c r="AI198" s="176" t="str">
        <f>IF(BG198&lt;0,"pin in groundstacking hole"," ")</f>
        <v>pin in groundstacking hole</v>
      </c>
      <c r="AJ198" s="524"/>
      <c r="AK198" s="524"/>
      <c r="AL198" s="524"/>
      <c r="AM198" s="156">
        <f>SUM(AC198:AC210)/($B$184-B197)</f>
        <v>0</v>
      </c>
      <c r="AN198" s="156"/>
      <c r="AO198" s="177">
        <f>SUM(D188:D198)+$C$187</f>
        <v>0</v>
      </c>
      <c r="AP198" s="235"/>
      <c r="AQ198" s="160">
        <f t="shared" si="96"/>
        <v>70.630179100000007</v>
      </c>
      <c r="AR198" s="178">
        <f t="shared" si="89"/>
        <v>0.94339748455555306</v>
      </c>
      <c r="AS198" s="162">
        <f t="shared" si="97"/>
        <v>125.38573325554864</v>
      </c>
      <c r="AT198" s="160">
        <f t="shared" si="98"/>
        <v>48.461652999999998</v>
      </c>
      <c r="AU198" s="179">
        <f t="shared" si="99"/>
        <v>0.74851207380038831</v>
      </c>
      <c r="AV198" s="162">
        <f t="shared" si="100"/>
        <v>89.000031706258056</v>
      </c>
      <c r="AW198" s="180"/>
      <c r="AX198" s="162">
        <f t="shared" si="110"/>
        <v>-99</v>
      </c>
      <c r="AY198" s="180"/>
      <c r="AZ198" s="181">
        <f t="shared" si="101"/>
        <v>214.3857649618067</v>
      </c>
      <c r="BA198" s="182">
        <f t="shared" si="114"/>
        <v>-89.000031706258056</v>
      </c>
      <c r="BB198" s="183"/>
      <c r="BC198" s="182">
        <f t="shared" si="111"/>
        <v>89.000031706258056</v>
      </c>
      <c r="BD198" s="184">
        <f t="shared" si="102"/>
        <v>-57.901174522994815</v>
      </c>
      <c r="BE198" s="184">
        <f t="shared" si="103"/>
        <v>-41.098825477005192</v>
      </c>
      <c r="BF198" s="170">
        <f t="shared" si="104"/>
        <v>-138.16645458241763</v>
      </c>
      <c r="BG198" s="170">
        <f t="shared" si="105"/>
        <v>-107.05902051779562</v>
      </c>
      <c r="BH198" s="171">
        <f t="shared" si="106"/>
        <v>138.16645458241763</v>
      </c>
      <c r="BI198" s="171">
        <f t="shared" si="106"/>
        <v>107.05902051779562</v>
      </c>
      <c r="BJ198" s="2">
        <f t="shared" si="107"/>
        <v>0.3</v>
      </c>
      <c r="BO198" s="86"/>
      <c r="BP198" s="86"/>
      <c r="BQ198" s="86"/>
      <c r="BR198" s="86"/>
    </row>
    <row r="199" spans="1:70" ht="21" customHeight="1" thickBot="1" x14ac:dyDescent="0.3">
      <c r="B199" s="174">
        <v>13</v>
      </c>
      <c r="C199" s="175"/>
      <c r="D199" s="505">
        <v>0</v>
      </c>
      <c r="E199" s="146">
        <v>0</v>
      </c>
      <c r="F199" s="147">
        <v>1</v>
      </c>
      <c r="G199" s="147">
        <f t="shared" si="112"/>
        <v>4</v>
      </c>
      <c r="H199" s="147">
        <v>5</v>
      </c>
      <c r="I199" s="147" t="str">
        <f t="shared" si="113"/>
        <v/>
      </c>
      <c r="J199" s="147">
        <v>9</v>
      </c>
      <c r="K199" s="148">
        <v>12</v>
      </c>
      <c r="L199" s="150" t="s">
        <v>65</v>
      </c>
      <c r="M199" s="150">
        <f t="shared" si="91"/>
        <v>0.3</v>
      </c>
      <c r="N199" s="150">
        <f t="shared" si="108"/>
        <v>0.3</v>
      </c>
      <c r="O199" s="152">
        <v>118.90260000000001</v>
      </c>
      <c r="P199" s="152">
        <v>83.076694799999999</v>
      </c>
      <c r="Q199" s="153">
        <f t="shared" si="92"/>
        <v>83.076694799999999</v>
      </c>
      <c r="R199" s="153">
        <f t="shared" si="93"/>
        <v>41.538347399999999</v>
      </c>
      <c r="S199" s="153">
        <f t="shared" si="82"/>
        <v>0.66312116713723779</v>
      </c>
      <c r="T199" s="153">
        <f t="shared" si="83"/>
        <v>78.846830887652132</v>
      </c>
      <c r="U199" s="153">
        <f t="shared" si="84"/>
        <v>157.69366177530426</v>
      </c>
      <c r="V199" s="153">
        <f>+C187+D188+D189+D190+D191+D192+D193+D194+D195+D196+D197+D198+(D199/2)</f>
        <v>0</v>
      </c>
      <c r="W199" s="153">
        <f t="shared" si="85"/>
        <v>0</v>
      </c>
      <c r="X199" s="153">
        <f t="shared" si="86"/>
        <v>0</v>
      </c>
      <c r="Y199" s="153">
        <f t="shared" si="94"/>
        <v>89</v>
      </c>
      <c r="Z199" s="153">
        <f t="shared" si="109"/>
        <v>89</v>
      </c>
      <c r="AA199" s="155">
        <f t="shared" si="87"/>
        <v>89</v>
      </c>
      <c r="AB199" s="17"/>
      <c r="AC199" s="156">
        <f t="shared" si="88"/>
        <v>0</v>
      </c>
      <c r="AD199" s="156"/>
      <c r="AE199" s="156"/>
      <c r="AF199" s="156"/>
      <c r="AG199" s="156"/>
      <c r="AH199" s="156"/>
      <c r="AI199" s="176" t="str">
        <f t="shared" si="95"/>
        <v>pin in groundstacking hole</v>
      </c>
      <c r="AJ199" s="524"/>
      <c r="AK199" s="524"/>
      <c r="AL199" s="524"/>
      <c r="AM199" s="156">
        <f>SUM(AC199:AC210)/($B$184-B198)</f>
        <v>0</v>
      </c>
      <c r="AN199" s="156"/>
      <c r="AO199" s="177">
        <f>SUM(D188:D199)+$C$187</f>
        <v>0</v>
      </c>
      <c r="AP199" s="235"/>
      <c r="AQ199" s="160">
        <f t="shared" si="96"/>
        <v>70.630179100000007</v>
      </c>
      <c r="AR199" s="178">
        <f t="shared" si="89"/>
        <v>0.94339748455555306</v>
      </c>
      <c r="AS199" s="162">
        <f t="shared" si="97"/>
        <v>125.38573325554864</v>
      </c>
      <c r="AT199" s="160">
        <f t="shared" si="98"/>
        <v>48.461652999999998</v>
      </c>
      <c r="AU199" s="179">
        <f t="shared" si="99"/>
        <v>0.74851207380038831</v>
      </c>
      <c r="AV199" s="162">
        <f t="shared" si="100"/>
        <v>89.000031706258056</v>
      </c>
      <c r="AW199" s="180"/>
      <c r="AX199" s="162">
        <f t="shared" si="110"/>
        <v>-108.9</v>
      </c>
      <c r="AY199" s="180"/>
      <c r="AZ199" s="181">
        <f t="shared" si="101"/>
        <v>214.3857649618067</v>
      </c>
      <c r="BA199" s="182">
        <f t="shared" si="114"/>
        <v>-89.000031706258056</v>
      </c>
      <c r="BB199" s="183"/>
      <c r="BC199" s="182">
        <f t="shared" si="111"/>
        <v>89.000031706258056</v>
      </c>
      <c r="BD199" s="184">
        <f t="shared" si="102"/>
        <v>-63.691291975294298</v>
      </c>
      <c r="BE199" s="184">
        <f t="shared" si="103"/>
        <v>-45.208708024705714</v>
      </c>
      <c r="BF199" s="170">
        <f t="shared" si="104"/>
        <v>-125.60586780219785</v>
      </c>
      <c r="BG199" s="170">
        <f t="shared" si="105"/>
        <v>-97.326382288905094</v>
      </c>
      <c r="BH199" s="171">
        <f t="shared" si="106"/>
        <v>125.60586780219785</v>
      </c>
      <c r="BI199" s="171">
        <f t="shared" si="106"/>
        <v>97.326382288905094</v>
      </c>
      <c r="BJ199" s="2">
        <f t="shared" si="107"/>
        <v>0.3</v>
      </c>
      <c r="BO199" s="86"/>
      <c r="BP199" s="86"/>
      <c r="BQ199" s="86"/>
      <c r="BR199" s="86"/>
    </row>
    <row r="200" spans="1:70" ht="21" customHeight="1" thickBot="1" x14ac:dyDescent="0.3">
      <c r="B200" s="174">
        <v>14</v>
      </c>
      <c r="C200" s="175"/>
      <c r="D200" s="505">
        <v>0</v>
      </c>
      <c r="E200" s="146">
        <v>0</v>
      </c>
      <c r="F200" s="147">
        <v>1</v>
      </c>
      <c r="G200" s="147">
        <f t="shared" si="112"/>
        <v>4</v>
      </c>
      <c r="H200" s="147">
        <v>5</v>
      </c>
      <c r="I200" s="147" t="str">
        <f t="shared" si="113"/>
        <v/>
      </c>
      <c r="J200" s="147">
        <v>9</v>
      </c>
      <c r="K200" s="148">
        <v>12</v>
      </c>
      <c r="L200" s="150" t="s">
        <v>65</v>
      </c>
      <c r="M200" s="150">
        <f t="shared" si="91"/>
        <v>0.3</v>
      </c>
      <c r="N200" s="150">
        <f t="shared" si="108"/>
        <v>0.3</v>
      </c>
      <c r="O200" s="152">
        <v>118.90260000000001</v>
      </c>
      <c r="P200" s="152">
        <v>83.076694799999999</v>
      </c>
      <c r="Q200" s="153">
        <f t="shared" si="92"/>
        <v>83.076694799999999</v>
      </c>
      <c r="R200" s="153">
        <f t="shared" si="93"/>
        <v>41.538347399999999</v>
      </c>
      <c r="S200" s="153">
        <f t="shared" si="82"/>
        <v>0.66312116713723779</v>
      </c>
      <c r="T200" s="153">
        <f t="shared" si="83"/>
        <v>78.846830887652132</v>
      </c>
      <c r="U200" s="153">
        <f t="shared" si="84"/>
        <v>157.69366177530426</v>
      </c>
      <c r="V200" s="153">
        <f>+C187+D188+D189+D190+D191+D192+D193+D194+D195+D196+D197+D198+D199+(D200/2)</f>
        <v>0</v>
      </c>
      <c r="W200" s="153">
        <f t="shared" si="85"/>
        <v>0</v>
      </c>
      <c r="X200" s="153">
        <f t="shared" si="86"/>
        <v>0</v>
      </c>
      <c r="Y200" s="153">
        <f t="shared" si="94"/>
        <v>89</v>
      </c>
      <c r="Z200" s="153">
        <f t="shared" si="109"/>
        <v>89</v>
      </c>
      <c r="AA200" s="155">
        <f t="shared" si="87"/>
        <v>89</v>
      </c>
      <c r="AB200" s="17"/>
      <c r="AC200" s="156">
        <f t="shared" si="88"/>
        <v>0</v>
      </c>
      <c r="AD200" s="156"/>
      <c r="AE200" s="156"/>
      <c r="AF200" s="156"/>
      <c r="AG200" s="156"/>
      <c r="AH200" s="156"/>
      <c r="AI200" s="176" t="str">
        <f t="shared" si="95"/>
        <v>pin in groundstacking hole</v>
      </c>
      <c r="AJ200" s="524"/>
      <c r="AK200" s="524"/>
      <c r="AL200" s="524"/>
      <c r="AM200" s="156">
        <f>SUM(AC200:AC210)/($B$184-B199)</f>
        <v>0</v>
      </c>
      <c r="AN200" s="156"/>
      <c r="AO200" s="177">
        <f>SUM(D188:D200)+$C$187</f>
        <v>0</v>
      </c>
      <c r="AP200" s="235"/>
      <c r="AQ200" s="160">
        <f t="shared" si="96"/>
        <v>70.630179100000007</v>
      </c>
      <c r="AR200" s="178">
        <f t="shared" si="89"/>
        <v>0.94339748455555306</v>
      </c>
      <c r="AS200" s="162">
        <f t="shared" si="97"/>
        <v>125.38573325554864</v>
      </c>
      <c r="AT200" s="160">
        <f t="shared" si="98"/>
        <v>48.461652999999998</v>
      </c>
      <c r="AU200" s="179">
        <f t="shared" si="99"/>
        <v>0.74851207380038831</v>
      </c>
      <c r="AV200" s="162">
        <f t="shared" si="100"/>
        <v>89.000031706258056</v>
      </c>
      <c r="AW200" s="180"/>
      <c r="AX200" s="162">
        <f t="shared" si="110"/>
        <v>-118.80000000000001</v>
      </c>
      <c r="AY200" s="180"/>
      <c r="AZ200" s="181">
        <f t="shared" si="101"/>
        <v>214.3857649618067</v>
      </c>
      <c r="BA200" s="182">
        <f t="shared" si="114"/>
        <v>-89.000031706258056</v>
      </c>
      <c r="BB200" s="183"/>
      <c r="BC200" s="182">
        <f t="shared" si="111"/>
        <v>89.000031706258056</v>
      </c>
      <c r="BD200" s="184">
        <f t="shared" si="102"/>
        <v>-69.481409427593789</v>
      </c>
      <c r="BE200" s="184">
        <f t="shared" si="103"/>
        <v>-49.318590572406237</v>
      </c>
      <c r="BF200" s="170">
        <f t="shared" si="104"/>
        <v>-115.13871215201468</v>
      </c>
      <c r="BG200" s="170">
        <f t="shared" si="105"/>
        <v>-89.215850431496335</v>
      </c>
      <c r="BH200" s="171">
        <f t="shared" si="106"/>
        <v>115.13871215201468</v>
      </c>
      <c r="BI200" s="171">
        <f t="shared" si="106"/>
        <v>89.215850431496335</v>
      </c>
      <c r="BJ200" s="2">
        <f t="shared" si="107"/>
        <v>0.3</v>
      </c>
      <c r="BO200" s="86"/>
      <c r="BP200" s="86"/>
      <c r="BQ200" s="86"/>
      <c r="BR200" s="86"/>
    </row>
    <row r="201" spans="1:70" ht="21" customHeight="1" thickBot="1" x14ac:dyDescent="0.3">
      <c r="B201" s="174">
        <v>15</v>
      </c>
      <c r="C201" s="175"/>
      <c r="D201" s="505">
        <v>0</v>
      </c>
      <c r="E201" s="146">
        <v>0</v>
      </c>
      <c r="F201" s="147">
        <v>1</v>
      </c>
      <c r="G201" s="147">
        <f t="shared" si="112"/>
        <v>4</v>
      </c>
      <c r="H201" s="147">
        <v>5</v>
      </c>
      <c r="I201" s="147" t="str">
        <f t="shared" si="113"/>
        <v/>
      </c>
      <c r="J201" s="147">
        <v>9</v>
      </c>
      <c r="K201" s="148">
        <v>12</v>
      </c>
      <c r="L201" s="150" t="s">
        <v>65</v>
      </c>
      <c r="M201" s="150">
        <f t="shared" si="91"/>
        <v>0.3</v>
      </c>
      <c r="N201" s="150">
        <f t="shared" si="108"/>
        <v>0.3</v>
      </c>
      <c r="O201" s="152">
        <v>118.90260000000001</v>
      </c>
      <c r="P201" s="152">
        <v>83.076694799999999</v>
      </c>
      <c r="Q201" s="153">
        <f t="shared" si="92"/>
        <v>83.076694799999999</v>
      </c>
      <c r="R201" s="153">
        <f t="shared" si="93"/>
        <v>41.538347399999999</v>
      </c>
      <c r="S201" s="153">
        <f t="shared" si="82"/>
        <v>0.66312116713723779</v>
      </c>
      <c r="T201" s="153">
        <f t="shared" si="83"/>
        <v>78.846830887652132</v>
      </c>
      <c r="U201" s="153">
        <f t="shared" si="84"/>
        <v>157.69366177530426</v>
      </c>
      <c r="V201" s="153">
        <f>+C187+D188+D189+D190+D191+D192+D193+D194+D195+D196+D197+D198+D199+D200+(D201/2)</f>
        <v>0</v>
      </c>
      <c r="W201" s="153">
        <f t="shared" si="85"/>
        <v>0</v>
      </c>
      <c r="X201" s="153">
        <f t="shared" si="86"/>
        <v>0</v>
      </c>
      <c r="Y201" s="153">
        <f t="shared" si="94"/>
        <v>89</v>
      </c>
      <c r="Z201" s="153">
        <f t="shared" si="109"/>
        <v>89</v>
      </c>
      <c r="AA201" s="155">
        <f t="shared" si="87"/>
        <v>89</v>
      </c>
      <c r="AB201" s="17"/>
      <c r="AC201" s="156">
        <f t="shared" si="88"/>
        <v>0</v>
      </c>
      <c r="AD201" s="156"/>
      <c r="AE201" s="156"/>
      <c r="AF201" s="156"/>
      <c r="AG201" s="156"/>
      <c r="AH201" s="156"/>
      <c r="AI201" s="176" t="str">
        <f t="shared" si="95"/>
        <v>pin in groundstacking hole</v>
      </c>
      <c r="AJ201" s="524"/>
      <c r="AK201" s="524"/>
      <c r="AL201" s="524"/>
      <c r="AM201" s="156">
        <f>SUM(AC201:AC210)/($B$184-B200)</f>
        <v>0</v>
      </c>
      <c r="AN201" s="156"/>
      <c r="AO201" s="177">
        <f>SUM(D188:D201)+$C$187</f>
        <v>0</v>
      </c>
      <c r="AP201" s="235"/>
      <c r="AQ201" s="160">
        <f t="shared" si="96"/>
        <v>70.630179100000007</v>
      </c>
      <c r="AR201" s="178">
        <f t="shared" si="89"/>
        <v>0.94339748455555306</v>
      </c>
      <c r="AS201" s="162">
        <f t="shared" si="97"/>
        <v>125.38573325554864</v>
      </c>
      <c r="AT201" s="160">
        <f t="shared" si="98"/>
        <v>48.461652999999998</v>
      </c>
      <c r="AU201" s="179">
        <f t="shared" si="99"/>
        <v>0.74851207380038831</v>
      </c>
      <c r="AV201" s="162">
        <f t="shared" si="100"/>
        <v>89.000031706258056</v>
      </c>
      <c r="AW201" s="180"/>
      <c r="AX201" s="162">
        <f t="shared" si="110"/>
        <v>-128.70000000000002</v>
      </c>
      <c r="AY201" s="180"/>
      <c r="AZ201" s="181">
        <f t="shared" si="101"/>
        <v>214.3857649618067</v>
      </c>
      <c r="BA201" s="182">
        <f t="shared" si="114"/>
        <v>-89.000031706258056</v>
      </c>
      <c r="BB201" s="183"/>
      <c r="BC201" s="182">
        <f t="shared" si="111"/>
        <v>89.000031706258056</v>
      </c>
      <c r="BD201" s="184">
        <f t="shared" si="102"/>
        <v>-75.271526879893273</v>
      </c>
      <c r="BE201" s="184">
        <f t="shared" si="103"/>
        <v>-53.428473120106759</v>
      </c>
      <c r="BF201" s="170">
        <f t="shared" si="104"/>
        <v>-106.28188814032124</v>
      </c>
      <c r="BG201" s="170">
        <f t="shared" si="105"/>
        <v>-82.353092705996616</v>
      </c>
      <c r="BH201" s="171">
        <f t="shared" si="106"/>
        <v>106.28188814032124</v>
      </c>
      <c r="BI201" s="171">
        <f t="shared" si="106"/>
        <v>82.353092705996616</v>
      </c>
      <c r="BJ201" s="2">
        <f t="shared" si="107"/>
        <v>0.3</v>
      </c>
      <c r="BO201" s="86"/>
      <c r="BP201" s="86"/>
      <c r="BQ201" s="86"/>
      <c r="BR201" s="86"/>
    </row>
    <row r="202" spans="1:70" ht="21" customHeight="1" thickBot="1" x14ac:dyDescent="0.3">
      <c r="B202" s="174">
        <v>16</v>
      </c>
      <c r="C202" s="175"/>
      <c r="D202" s="505">
        <v>0</v>
      </c>
      <c r="E202" s="146">
        <v>0</v>
      </c>
      <c r="F202" s="147">
        <v>1</v>
      </c>
      <c r="G202" s="147">
        <f t="shared" si="112"/>
        <v>4</v>
      </c>
      <c r="H202" s="147">
        <v>5</v>
      </c>
      <c r="I202" s="147" t="str">
        <f t="shared" si="113"/>
        <v/>
      </c>
      <c r="J202" s="147">
        <v>9</v>
      </c>
      <c r="K202" s="148">
        <v>12</v>
      </c>
      <c r="L202" s="150" t="s">
        <v>65</v>
      </c>
      <c r="M202" s="150">
        <f t="shared" si="91"/>
        <v>0.3</v>
      </c>
      <c r="N202" s="150">
        <f t="shared" si="108"/>
        <v>0.3</v>
      </c>
      <c r="O202" s="152">
        <v>118.90260000000001</v>
      </c>
      <c r="P202" s="152">
        <v>83.076694799999999</v>
      </c>
      <c r="Q202" s="153">
        <f t="shared" si="92"/>
        <v>83.076694799999999</v>
      </c>
      <c r="R202" s="153">
        <f t="shared" si="93"/>
        <v>41.538347399999999</v>
      </c>
      <c r="S202" s="153">
        <f t="shared" si="82"/>
        <v>0.66312116713723779</v>
      </c>
      <c r="T202" s="153">
        <f t="shared" si="83"/>
        <v>78.846830887652132</v>
      </c>
      <c r="U202" s="153">
        <f t="shared" si="84"/>
        <v>157.69366177530426</v>
      </c>
      <c r="V202" s="153">
        <f>+C187+D188+D189+D190+D191+D192+D193+D194+D195+D196+D197+D198+D199+D200+D201+(D202/2)</f>
        <v>0</v>
      </c>
      <c r="W202" s="153">
        <f t="shared" si="85"/>
        <v>0</v>
      </c>
      <c r="X202" s="153">
        <f t="shared" si="86"/>
        <v>0</v>
      </c>
      <c r="Y202" s="153">
        <f t="shared" si="94"/>
        <v>89</v>
      </c>
      <c r="Z202" s="153">
        <f t="shared" si="109"/>
        <v>89</v>
      </c>
      <c r="AA202" s="155">
        <f t="shared" si="87"/>
        <v>89</v>
      </c>
      <c r="AB202" s="17"/>
      <c r="AC202" s="156">
        <f t="shared" si="88"/>
        <v>0</v>
      </c>
      <c r="AD202" s="156"/>
      <c r="AE202" s="156"/>
      <c r="AF202" s="156"/>
      <c r="AG202" s="156"/>
      <c r="AH202" s="156"/>
      <c r="AI202" s="176" t="str">
        <f t="shared" si="95"/>
        <v>pin in groundstacking hole</v>
      </c>
      <c r="AJ202" s="524"/>
      <c r="AK202" s="524"/>
      <c r="AL202" s="524"/>
      <c r="AM202" s="156">
        <f>SUM(AC202:AC210)/($B$184-B201)</f>
        <v>0</v>
      </c>
      <c r="AN202" s="156"/>
      <c r="AO202" s="177">
        <f>SUM(D188:D202)+$C$187</f>
        <v>0</v>
      </c>
      <c r="AP202" s="235"/>
      <c r="AQ202" s="160">
        <f t="shared" si="96"/>
        <v>70.630179100000007</v>
      </c>
      <c r="AR202" s="178">
        <f t="shared" si="89"/>
        <v>0.94339748455555306</v>
      </c>
      <c r="AS202" s="162">
        <f t="shared" si="97"/>
        <v>125.38573325554864</v>
      </c>
      <c r="AT202" s="160">
        <f t="shared" si="98"/>
        <v>48.461652999999998</v>
      </c>
      <c r="AU202" s="179">
        <f t="shared" si="99"/>
        <v>0.74851207380038831</v>
      </c>
      <c r="AV202" s="162">
        <f t="shared" si="100"/>
        <v>89.000031706258056</v>
      </c>
      <c r="AW202" s="180"/>
      <c r="AX202" s="162">
        <f t="shared" si="110"/>
        <v>-138.6</v>
      </c>
      <c r="AY202" s="180"/>
      <c r="AZ202" s="181">
        <f t="shared" si="101"/>
        <v>214.3857649618067</v>
      </c>
      <c r="BA202" s="182">
        <f t="shared" si="114"/>
        <v>-89.000031706258056</v>
      </c>
      <c r="BB202" s="183"/>
      <c r="BC202" s="182">
        <f t="shared" si="111"/>
        <v>89.000031706258056</v>
      </c>
      <c r="BD202" s="184">
        <f t="shared" si="102"/>
        <v>-81.061644332192742</v>
      </c>
      <c r="BE202" s="184">
        <f t="shared" si="103"/>
        <v>-57.538355667807267</v>
      </c>
      <c r="BF202" s="170">
        <f t="shared" si="104"/>
        <v>-98.69032470172688</v>
      </c>
      <c r="BG202" s="170">
        <f t="shared" si="105"/>
        <v>-76.470728941282587</v>
      </c>
      <c r="BH202" s="171">
        <f t="shared" si="106"/>
        <v>98.69032470172688</v>
      </c>
      <c r="BI202" s="171">
        <f t="shared" si="106"/>
        <v>76.470728941282587</v>
      </c>
      <c r="BJ202" s="2">
        <f t="shared" si="107"/>
        <v>0.3</v>
      </c>
      <c r="BO202" s="86"/>
      <c r="BP202" s="86"/>
      <c r="BQ202" s="86"/>
      <c r="BR202" s="86"/>
    </row>
    <row r="203" spans="1:70" ht="21" customHeight="1" thickBot="1" x14ac:dyDescent="0.3">
      <c r="B203" s="174">
        <v>17</v>
      </c>
      <c r="C203" s="175"/>
      <c r="D203" s="505">
        <v>0</v>
      </c>
      <c r="E203" s="146">
        <v>0</v>
      </c>
      <c r="F203" s="147">
        <v>1</v>
      </c>
      <c r="G203" s="147">
        <f t="shared" si="112"/>
        <v>4</v>
      </c>
      <c r="H203" s="147">
        <v>5</v>
      </c>
      <c r="I203" s="147" t="str">
        <f t="shared" si="113"/>
        <v/>
      </c>
      <c r="J203" s="147">
        <v>9</v>
      </c>
      <c r="K203" s="148">
        <v>12</v>
      </c>
      <c r="L203" s="150" t="s">
        <v>65</v>
      </c>
      <c r="M203" s="150">
        <f t="shared" si="91"/>
        <v>0.3</v>
      </c>
      <c r="N203" s="150">
        <f t="shared" si="108"/>
        <v>0.3</v>
      </c>
      <c r="O203" s="152">
        <v>118.90260000000001</v>
      </c>
      <c r="P203" s="152">
        <v>83.076694799999999</v>
      </c>
      <c r="Q203" s="153">
        <f t="shared" si="92"/>
        <v>83.076694799999999</v>
      </c>
      <c r="R203" s="153">
        <f t="shared" si="93"/>
        <v>41.538347399999999</v>
      </c>
      <c r="S203" s="153">
        <f t="shared" si="82"/>
        <v>0.66312116713723779</v>
      </c>
      <c r="T203" s="153">
        <f t="shared" si="83"/>
        <v>78.846830887652132</v>
      </c>
      <c r="U203" s="153">
        <f t="shared" si="84"/>
        <v>157.69366177530426</v>
      </c>
      <c r="V203" s="153">
        <f>+C187+D188+D189+D190+D191+D192+D193+D194+D195+D196+D197+D198+D199+D200+D201+D202+(D203/2)</f>
        <v>0</v>
      </c>
      <c r="W203" s="153">
        <f t="shared" si="85"/>
        <v>0</v>
      </c>
      <c r="X203" s="153">
        <f t="shared" si="86"/>
        <v>0</v>
      </c>
      <c r="Y203" s="153">
        <f t="shared" si="94"/>
        <v>89</v>
      </c>
      <c r="Z203" s="153">
        <f t="shared" si="109"/>
        <v>89</v>
      </c>
      <c r="AA203" s="155">
        <f t="shared" si="87"/>
        <v>89</v>
      </c>
      <c r="AB203" s="17"/>
      <c r="AC203" s="156">
        <f t="shared" si="88"/>
        <v>0</v>
      </c>
      <c r="AD203" s="156"/>
      <c r="AE203" s="156"/>
      <c r="AF203" s="156"/>
      <c r="AG203" s="156"/>
      <c r="AH203" s="156"/>
      <c r="AI203" s="176" t="str">
        <f t="shared" si="95"/>
        <v>pin in groundstacking hole</v>
      </c>
      <c r="AJ203" s="524"/>
      <c r="AK203" s="524"/>
      <c r="AL203" s="524"/>
      <c r="AM203" s="156">
        <f>SUM(AC203:AC210)/($B$184-B202)</f>
        <v>0</v>
      </c>
      <c r="AN203" s="156"/>
      <c r="AO203" s="177">
        <f>SUM(D188:D203)+$C$187</f>
        <v>0</v>
      </c>
      <c r="AP203" s="235"/>
      <c r="AQ203" s="160">
        <f t="shared" si="96"/>
        <v>70.630179100000007</v>
      </c>
      <c r="AR203" s="178">
        <f t="shared" si="89"/>
        <v>0.94339748455555306</v>
      </c>
      <c r="AS203" s="162">
        <f t="shared" si="97"/>
        <v>125.38573325554864</v>
      </c>
      <c r="AT203" s="160">
        <f t="shared" si="98"/>
        <v>48.461652999999998</v>
      </c>
      <c r="AU203" s="179">
        <f t="shared" si="99"/>
        <v>0.74851207380038831</v>
      </c>
      <c r="AV203" s="162">
        <f t="shared" si="100"/>
        <v>89.000031706258056</v>
      </c>
      <c r="AW203" s="180"/>
      <c r="AX203" s="162">
        <f t="shared" si="110"/>
        <v>-148.5</v>
      </c>
      <c r="AY203" s="180"/>
      <c r="AZ203" s="181">
        <f t="shared" si="101"/>
        <v>214.3857649618067</v>
      </c>
      <c r="BA203" s="182">
        <f t="shared" si="114"/>
        <v>-89.000031706258056</v>
      </c>
      <c r="BB203" s="183"/>
      <c r="BC203" s="182">
        <f t="shared" si="111"/>
        <v>89.000031706258056</v>
      </c>
      <c r="BD203" s="184">
        <f t="shared" si="102"/>
        <v>-86.851761784492226</v>
      </c>
      <c r="BE203" s="184">
        <f t="shared" si="103"/>
        <v>-61.648238215507789</v>
      </c>
      <c r="BF203" s="170">
        <f t="shared" si="104"/>
        <v>-92.110969721611752</v>
      </c>
      <c r="BG203" s="170">
        <f t="shared" si="105"/>
        <v>-71.372680345197082</v>
      </c>
      <c r="BH203" s="171">
        <f t="shared" si="106"/>
        <v>92.110969721611752</v>
      </c>
      <c r="BI203" s="171">
        <f t="shared" si="106"/>
        <v>71.372680345197082</v>
      </c>
      <c r="BJ203" s="2">
        <f t="shared" si="107"/>
        <v>0.3</v>
      </c>
      <c r="BO203" s="86"/>
      <c r="BP203" s="86"/>
      <c r="BQ203" s="86"/>
      <c r="BR203" s="86"/>
    </row>
    <row r="204" spans="1:70" ht="21" customHeight="1" thickBot="1" x14ac:dyDescent="0.3">
      <c r="B204" s="174">
        <v>18</v>
      </c>
      <c r="C204" s="175"/>
      <c r="D204" s="505">
        <v>0</v>
      </c>
      <c r="E204" s="146">
        <v>0</v>
      </c>
      <c r="F204" s="147">
        <v>1</v>
      </c>
      <c r="G204" s="147">
        <f t="shared" si="112"/>
        <v>4</v>
      </c>
      <c r="H204" s="147">
        <v>5</v>
      </c>
      <c r="I204" s="147" t="str">
        <f t="shared" si="113"/>
        <v/>
      </c>
      <c r="J204" s="147">
        <v>9</v>
      </c>
      <c r="K204" s="148">
        <v>12</v>
      </c>
      <c r="L204" s="150" t="s">
        <v>65</v>
      </c>
      <c r="M204" s="150">
        <f t="shared" si="91"/>
        <v>0.3</v>
      </c>
      <c r="N204" s="150">
        <f t="shared" si="108"/>
        <v>0.3</v>
      </c>
      <c r="O204" s="152">
        <v>118.90260000000001</v>
      </c>
      <c r="P204" s="152">
        <v>83.076694799999999</v>
      </c>
      <c r="Q204" s="153">
        <f t="shared" si="92"/>
        <v>83.076694799999999</v>
      </c>
      <c r="R204" s="153">
        <f t="shared" si="93"/>
        <v>41.538347399999999</v>
      </c>
      <c r="S204" s="153">
        <f t="shared" si="82"/>
        <v>0.66312116713723779</v>
      </c>
      <c r="T204" s="153">
        <f t="shared" si="83"/>
        <v>78.846830887652132</v>
      </c>
      <c r="U204" s="153">
        <f t="shared" si="84"/>
        <v>157.69366177530426</v>
      </c>
      <c r="V204" s="153">
        <f>+C187+D188+D189+D190+D191+D192+D193+D194+D195+D196+D197+D198+D199+D200+D201+D202+D203+(D204/2)</f>
        <v>0</v>
      </c>
      <c r="W204" s="153">
        <f t="shared" si="85"/>
        <v>0</v>
      </c>
      <c r="X204" s="153">
        <f t="shared" si="86"/>
        <v>0</v>
      </c>
      <c r="Y204" s="153">
        <f t="shared" si="94"/>
        <v>89</v>
      </c>
      <c r="Z204" s="153">
        <f t="shared" si="109"/>
        <v>89</v>
      </c>
      <c r="AA204" s="155">
        <f t="shared" si="87"/>
        <v>89</v>
      </c>
      <c r="AB204" s="17"/>
      <c r="AC204" s="156">
        <f t="shared" si="88"/>
        <v>0</v>
      </c>
      <c r="AD204" s="156"/>
      <c r="AE204" s="156"/>
      <c r="AF204" s="156"/>
      <c r="AG204" s="156"/>
      <c r="AH204" s="156"/>
      <c r="AI204" s="176" t="str">
        <f t="shared" si="95"/>
        <v>pin in groundstacking hole</v>
      </c>
      <c r="AJ204" s="524"/>
      <c r="AK204" s="524"/>
      <c r="AL204" s="524"/>
      <c r="AM204" s="156">
        <f>SUM(AC204:AC210)/($B$184-B203)</f>
        <v>0</v>
      </c>
      <c r="AN204" s="156"/>
      <c r="AO204" s="177">
        <f>SUM(D188:D204)+$C$187</f>
        <v>0</v>
      </c>
      <c r="AP204" s="235"/>
      <c r="AQ204" s="160">
        <f t="shared" si="96"/>
        <v>70.630179100000007</v>
      </c>
      <c r="AR204" s="178">
        <f t="shared" si="89"/>
        <v>0.94339748455555306</v>
      </c>
      <c r="AS204" s="162">
        <f t="shared" si="97"/>
        <v>125.38573325554864</v>
      </c>
      <c r="AT204" s="160">
        <f t="shared" si="98"/>
        <v>48.461652999999998</v>
      </c>
      <c r="AU204" s="179">
        <f t="shared" si="99"/>
        <v>0.74851207380038831</v>
      </c>
      <c r="AV204" s="162">
        <f t="shared" si="100"/>
        <v>89.000031706258056</v>
      </c>
      <c r="AW204" s="180"/>
      <c r="AX204" s="162">
        <f t="shared" si="110"/>
        <v>-158.4</v>
      </c>
      <c r="AY204" s="180"/>
      <c r="AZ204" s="181">
        <f t="shared" si="101"/>
        <v>214.3857649618067</v>
      </c>
      <c r="BA204" s="182">
        <f t="shared" si="114"/>
        <v>-89.000031706258056</v>
      </c>
      <c r="BB204" s="183"/>
      <c r="BC204" s="182">
        <f t="shared" si="111"/>
        <v>89.000031706258056</v>
      </c>
      <c r="BD204" s="184">
        <f t="shared" si="102"/>
        <v>-92.641879236791709</v>
      </c>
      <c r="BE204" s="184">
        <f t="shared" si="103"/>
        <v>-65.758120763208311</v>
      </c>
      <c r="BF204" s="170">
        <f t="shared" si="104"/>
        <v>-86.354034114011014</v>
      </c>
      <c r="BG204" s="170">
        <f t="shared" si="105"/>
        <v>-66.911887823622251</v>
      </c>
      <c r="BH204" s="171">
        <f t="shared" si="106"/>
        <v>86.354034114011014</v>
      </c>
      <c r="BI204" s="171">
        <f t="shared" si="106"/>
        <v>66.911887823622251</v>
      </c>
      <c r="BJ204" s="2">
        <f t="shared" si="107"/>
        <v>0.3</v>
      </c>
      <c r="BO204" s="86"/>
      <c r="BP204" s="86"/>
      <c r="BQ204" s="86"/>
      <c r="BR204" s="86"/>
    </row>
    <row r="205" spans="1:70" ht="21" customHeight="1" thickBot="1" x14ac:dyDescent="0.3">
      <c r="B205" s="174">
        <v>19</v>
      </c>
      <c r="C205" s="175"/>
      <c r="D205" s="505">
        <v>0</v>
      </c>
      <c r="E205" s="146">
        <v>0</v>
      </c>
      <c r="F205" s="147">
        <v>1</v>
      </c>
      <c r="G205" s="147">
        <f t="shared" si="112"/>
        <v>4</v>
      </c>
      <c r="H205" s="147">
        <v>5</v>
      </c>
      <c r="I205" s="147" t="str">
        <f t="shared" si="113"/>
        <v/>
      </c>
      <c r="J205" s="147">
        <v>9</v>
      </c>
      <c r="K205" s="148">
        <v>12</v>
      </c>
      <c r="L205" s="150" t="s">
        <v>65</v>
      </c>
      <c r="M205" s="150">
        <f t="shared" si="91"/>
        <v>0.3</v>
      </c>
      <c r="N205" s="150">
        <f t="shared" si="108"/>
        <v>0.3</v>
      </c>
      <c r="O205" s="152">
        <v>118.90260000000001</v>
      </c>
      <c r="P205" s="152">
        <v>83.076694799999999</v>
      </c>
      <c r="Q205" s="153">
        <f t="shared" si="92"/>
        <v>83.076694799999999</v>
      </c>
      <c r="R205" s="153">
        <f t="shared" si="93"/>
        <v>41.538347399999999</v>
      </c>
      <c r="S205" s="153">
        <f t="shared" si="82"/>
        <v>0.66312116713723779</v>
      </c>
      <c r="T205" s="153">
        <f t="shared" si="83"/>
        <v>78.846830887652132</v>
      </c>
      <c r="U205" s="153">
        <f t="shared" si="84"/>
        <v>157.69366177530426</v>
      </c>
      <c r="V205" s="153">
        <f>+C187+D188+D189+D190+D191+D192+D193+D194+D195+D196+D197+D198+D199+D200+D201+D202+D203+D204+(D205/2)</f>
        <v>0</v>
      </c>
      <c r="W205" s="153">
        <f t="shared" si="85"/>
        <v>0</v>
      </c>
      <c r="X205" s="153">
        <f t="shared" si="86"/>
        <v>0</v>
      </c>
      <c r="Y205" s="153">
        <f t="shared" si="94"/>
        <v>89</v>
      </c>
      <c r="Z205" s="153">
        <f t="shared" si="109"/>
        <v>89</v>
      </c>
      <c r="AA205" s="155">
        <f t="shared" si="87"/>
        <v>89</v>
      </c>
      <c r="AB205" s="17"/>
      <c r="AC205" s="156">
        <f t="shared" si="88"/>
        <v>0</v>
      </c>
      <c r="AD205" s="156"/>
      <c r="AE205" s="156"/>
      <c r="AF205" s="156"/>
      <c r="AG205" s="156"/>
      <c r="AH205" s="156"/>
      <c r="AI205" s="176" t="str">
        <f t="shared" si="95"/>
        <v>pin in groundstacking hole</v>
      </c>
      <c r="AJ205" s="524"/>
      <c r="AK205" s="524"/>
      <c r="AL205" s="524"/>
      <c r="AM205" s="156">
        <f>SUM(AC205:AC210)/($B$184-B204)</f>
        <v>0</v>
      </c>
      <c r="AN205" s="156"/>
      <c r="AO205" s="177">
        <f>SUM(D187:D205)+$C$187</f>
        <v>0</v>
      </c>
      <c r="AP205" s="235"/>
      <c r="AQ205" s="160">
        <f t="shared" si="96"/>
        <v>70.630179100000007</v>
      </c>
      <c r="AR205" s="178">
        <f t="shared" si="89"/>
        <v>0.94339748455555306</v>
      </c>
      <c r="AS205" s="162">
        <f t="shared" si="97"/>
        <v>125.38573325554864</v>
      </c>
      <c r="AT205" s="160">
        <f t="shared" si="98"/>
        <v>48.461652999999998</v>
      </c>
      <c r="AU205" s="179">
        <f t="shared" si="99"/>
        <v>0.74851207380038831</v>
      </c>
      <c r="AV205" s="162">
        <f t="shared" si="100"/>
        <v>89.000031706258056</v>
      </c>
      <c r="AW205" s="180"/>
      <c r="AX205" s="162">
        <f t="shared" si="110"/>
        <v>-168.3</v>
      </c>
      <c r="AY205" s="180"/>
      <c r="AZ205" s="181">
        <f t="shared" si="101"/>
        <v>214.3857649618067</v>
      </c>
      <c r="BA205" s="182">
        <f t="shared" si="114"/>
        <v>-89.000031706258056</v>
      </c>
      <c r="BB205" s="183"/>
      <c r="BC205" s="182">
        <f t="shared" si="111"/>
        <v>89.000031706258056</v>
      </c>
      <c r="BD205" s="184">
        <f t="shared" si="102"/>
        <v>-98.431996689091193</v>
      </c>
      <c r="BE205" s="184">
        <f t="shared" si="103"/>
        <v>-69.868003310908833</v>
      </c>
      <c r="BF205" s="170">
        <f t="shared" si="104"/>
        <v>-81.274385048480951</v>
      </c>
      <c r="BG205" s="170">
        <f t="shared" si="105"/>
        <v>-62.975894422232706</v>
      </c>
      <c r="BH205" s="171">
        <f t="shared" si="106"/>
        <v>81.274385048480951</v>
      </c>
      <c r="BI205" s="171">
        <f t="shared" si="106"/>
        <v>62.975894422232706</v>
      </c>
      <c r="BJ205" s="2">
        <f t="shared" si="107"/>
        <v>0.3</v>
      </c>
      <c r="BO205" s="86"/>
      <c r="BP205" s="86"/>
      <c r="BQ205" s="86"/>
      <c r="BR205" s="86"/>
    </row>
    <row r="206" spans="1:70" ht="21" customHeight="1" thickBot="1" x14ac:dyDescent="0.3">
      <c r="B206" s="174">
        <v>20</v>
      </c>
      <c r="C206" s="175"/>
      <c r="D206" s="505">
        <v>0</v>
      </c>
      <c r="E206" s="146">
        <v>0</v>
      </c>
      <c r="F206" s="147">
        <v>1</v>
      </c>
      <c r="G206" s="147">
        <f t="shared" si="112"/>
        <v>4</v>
      </c>
      <c r="H206" s="147">
        <v>5</v>
      </c>
      <c r="I206" s="147" t="str">
        <f t="shared" si="113"/>
        <v/>
      </c>
      <c r="J206" s="147">
        <v>9</v>
      </c>
      <c r="K206" s="148">
        <v>12</v>
      </c>
      <c r="L206" s="150" t="s">
        <v>65</v>
      </c>
      <c r="M206" s="150">
        <f t="shared" si="91"/>
        <v>0.3</v>
      </c>
      <c r="N206" s="150">
        <f t="shared" si="108"/>
        <v>0.3</v>
      </c>
      <c r="O206" s="152">
        <v>118.90260000000001</v>
      </c>
      <c r="P206" s="152">
        <v>83.076694799999999</v>
      </c>
      <c r="Q206" s="153">
        <f t="shared" si="92"/>
        <v>83.076694799999999</v>
      </c>
      <c r="R206" s="153">
        <f t="shared" si="93"/>
        <v>41.538347399999999</v>
      </c>
      <c r="S206" s="153">
        <f t="shared" si="82"/>
        <v>0.66312116713723779</v>
      </c>
      <c r="T206" s="153">
        <f t="shared" si="83"/>
        <v>78.846830887652132</v>
      </c>
      <c r="U206" s="153">
        <f t="shared" si="84"/>
        <v>157.69366177530426</v>
      </c>
      <c r="V206" s="153">
        <f>+C187+D188+D189+D190+D191+D192+D193+D194+D195+D196+D197+D198+D199+D200+D201+D202+D203+D204+D205+(D206/2)</f>
        <v>0</v>
      </c>
      <c r="W206" s="153">
        <f t="shared" si="85"/>
        <v>0</v>
      </c>
      <c r="X206" s="153">
        <f t="shared" si="86"/>
        <v>0</v>
      </c>
      <c r="Y206" s="153">
        <f t="shared" si="94"/>
        <v>89</v>
      </c>
      <c r="Z206" s="153">
        <f t="shared" si="109"/>
        <v>89</v>
      </c>
      <c r="AA206" s="155">
        <f t="shared" si="87"/>
        <v>89</v>
      </c>
      <c r="AB206" s="17"/>
      <c r="AC206" s="156">
        <f t="shared" si="88"/>
        <v>0</v>
      </c>
      <c r="AD206" s="156"/>
      <c r="AE206" s="156"/>
      <c r="AF206" s="156"/>
      <c r="AG206" s="156"/>
      <c r="AH206" s="156"/>
      <c r="AI206" s="176" t="str">
        <f t="shared" si="95"/>
        <v>pin in groundstacking hole</v>
      </c>
      <c r="AJ206" s="524"/>
      <c r="AK206" s="524"/>
      <c r="AL206" s="524"/>
      <c r="AM206" s="156">
        <f>SUM(AC206:AC210)/($B$184-B205)</f>
        <v>0</v>
      </c>
      <c r="AN206" s="156"/>
      <c r="AO206" s="177">
        <f>SUM(D188:D206)+$C$187</f>
        <v>0</v>
      </c>
      <c r="AP206" s="235"/>
      <c r="AQ206" s="160">
        <f t="shared" si="96"/>
        <v>70.630179100000007</v>
      </c>
      <c r="AR206" s="178">
        <f t="shared" si="89"/>
        <v>0.94339748455555306</v>
      </c>
      <c r="AS206" s="162">
        <f t="shared" si="97"/>
        <v>125.38573325554864</v>
      </c>
      <c r="AT206" s="160">
        <f t="shared" si="98"/>
        <v>48.461652999999998</v>
      </c>
      <c r="AU206" s="179">
        <f t="shared" si="99"/>
        <v>0.74851207380038831</v>
      </c>
      <c r="AV206" s="162">
        <f t="shared" si="100"/>
        <v>89.000031706258056</v>
      </c>
      <c r="AW206" s="180"/>
      <c r="AX206" s="162">
        <f t="shared" si="110"/>
        <v>-178.20000000000002</v>
      </c>
      <c r="AY206" s="180"/>
      <c r="AZ206" s="181">
        <f t="shared" si="101"/>
        <v>214.3857649618067</v>
      </c>
      <c r="BA206" s="182">
        <f t="shared" si="114"/>
        <v>-89.000031706258056</v>
      </c>
      <c r="BB206" s="183"/>
      <c r="BC206" s="182">
        <f t="shared" si="111"/>
        <v>89.000031706258056</v>
      </c>
      <c r="BD206" s="184">
        <f t="shared" si="102"/>
        <v>-104.22211414139068</v>
      </c>
      <c r="BE206" s="184">
        <f t="shared" si="103"/>
        <v>-73.977885858609355</v>
      </c>
      <c r="BF206" s="170">
        <f t="shared" si="104"/>
        <v>-76.759141434676451</v>
      </c>
      <c r="BG206" s="170">
        <f t="shared" si="105"/>
        <v>-59.477233620997559</v>
      </c>
      <c r="BH206" s="171">
        <f t="shared" si="106"/>
        <v>76.759141434676451</v>
      </c>
      <c r="BI206" s="171">
        <f t="shared" si="106"/>
        <v>59.477233620997559</v>
      </c>
      <c r="BJ206" s="2">
        <f t="shared" si="107"/>
        <v>0.3</v>
      </c>
      <c r="BO206" s="86"/>
      <c r="BP206" s="86"/>
      <c r="BQ206" s="86"/>
      <c r="BR206" s="86"/>
    </row>
    <row r="207" spans="1:70" ht="21" customHeight="1" thickBot="1" x14ac:dyDescent="0.3">
      <c r="B207" s="174">
        <v>21</v>
      </c>
      <c r="C207" s="175"/>
      <c r="D207" s="505">
        <v>0</v>
      </c>
      <c r="E207" s="146">
        <v>0</v>
      </c>
      <c r="F207" s="147">
        <v>1</v>
      </c>
      <c r="G207" s="147">
        <f t="shared" si="112"/>
        <v>4</v>
      </c>
      <c r="H207" s="147">
        <v>5</v>
      </c>
      <c r="I207" s="147" t="str">
        <f t="shared" si="113"/>
        <v/>
      </c>
      <c r="J207" s="147">
        <v>9</v>
      </c>
      <c r="K207" s="148">
        <v>12</v>
      </c>
      <c r="L207" s="150" t="s">
        <v>65</v>
      </c>
      <c r="M207" s="150">
        <f t="shared" si="91"/>
        <v>0.3</v>
      </c>
      <c r="N207" s="150">
        <f t="shared" si="108"/>
        <v>0.3</v>
      </c>
      <c r="O207" s="152">
        <v>118.90260000000001</v>
      </c>
      <c r="P207" s="152">
        <v>83.076694799999999</v>
      </c>
      <c r="Q207" s="153">
        <f t="shared" si="92"/>
        <v>83.076694799999999</v>
      </c>
      <c r="R207" s="153">
        <f t="shared" si="93"/>
        <v>41.538347399999999</v>
      </c>
      <c r="S207" s="153">
        <f t="shared" si="82"/>
        <v>0.66312116713723779</v>
      </c>
      <c r="T207" s="153">
        <f t="shared" si="83"/>
        <v>78.846830887652132</v>
      </c>
      <c r="U207" s="153">
        <f t="shared" si="84"/>
        <v>157.69366177530426</v>
      </c>
      <c r="V207" s="153">
        <f>+C187+D188+D189+D190+D191+D192+D193+D194+D195+D196+D197+D198+D199+D200+D201+D202+D203+D204+D205+D206+(D207/2)</f>
        <v>0</v>
      </c>
      <c r="W207" s="153">
        <f t="shared" si="85"/>
        <v>0</v>
      </c>
      <c r="X207" s="153">
        <f t="shared" si="86"/>
        <v>0</v>
      </c>
      <c r="Y207" s="153">
        <f t="shared" si="94"/>
        <v>89</v>
      </c>
      <c r="Z207" s="153">
        <f t="shared" si="109"/>
        <v>89</v>
      </c>
      <c r="AA207" s="155">
        <f t="shared" si="87"/>
        <v>89</v>
      </c>
      <c r="AB207" s="17"/>
      <c r="AC207" s="156">
        <f t="shared" si="88"/>
        <v>0</v>
      </c>
      <c r="AD207" s="156"/>
      <c r="AE207" s="156"/>
      <c r="AF207" s="156"/>
      <c r="AG207" s="156"/>
      <c r="AH207" s="156"/>
      <c r="AI207" s="176" t="str">
        <f t="shared" si="95"/>
        <v>pin in groundstacking hole</v>
      </c>
      <c r="AJ207" s="524"/>
      <c r="AK207" s="524"/>
      <c r="AL207" s="524"/>
      <c r="AM207" s="156">
        <f>SUM(AC207:AC210)/($B$184-B206)</f>
        <v>0</v>
      </c>
      <c r="AN207" s="156"/>
      <c r="AO207" s="177">
        <f>SUM(D188:D207)+$C$187</f>
        <v>0</v>
      </c>
      <c r="AP207" s="235"/>
      <c r="AQ207" s="160">
        <f t="shared" si="96"/>
        <v>70.630179100000007</v>
      </c>
      <c r="AR207" s="178">
        <f t="shared" si="89"/>
        <v>0.94339748455555306</v>
      </c>
      <c r="AS207" s="162">
        <f t="shared" si="97"/>
        <v>125.38573325554864</v>
      </c>
      <c r="AT207" s="160">
        <f t="shared" si="98"/>
        <v>48.461652999999998</v>
      </c>
      <c r="AU207" s="179">
        <f t="shared" si="99"/>
        <v>0.74851207380038831</v>
      </c>
      <c r="AV207" s="162">
        <f t="shared" si="100"/>
        <v>89.000031706258056</v>
      </c>
      <c r="AW207" s="180"/>
      <c r="AX207" s="162">
        <f t="shared" si="110"/>
        <v>-188.1</v>
      </c>
      <c r="AY207" s="180"/>
      <c r="AZ207" s="181">
        <f t="shared" si="101"/>
        <v>214.3857649618067</v>
      </c>
      <c r="BA207" s="182">
        <f t="shared" si="114"/>
        <v>-89.000031706258056</v>
      </c>
      <c r="BB207" s="183"/>
      <c r="BC207" s="182">
        <f t="shared" si="111"/>
        <v>89.000031706258056</v>
      </c>
      <c r="BD207" s="184">
        <f t="shared" si="102"/>
        <v>-110.01223159369015</v>
      </c>
      <c r="BE207" s="184">
        <f t="shared" si="103"/>
        <v>-78.087768406309863</v>
      </c>
      <c r="BF207" s="170">
        <f t="shared" si="104"/>
        <v>-72.719186622325068</v>
      </c>
      <c r="BG207" s="170">
        <f t="shared" si="105"/>
        <v>-56.34685290410296</v>
      </c>
      <c r="BH207" s="171">
        <f t="shared" si="106"/>
        <v>72.719186622325068</v>
      </c>
      <c r="BI207" s="171">
        <f t="shared" si="106"/>
        <v>56.34685290410296</v>
      </c>
      <c r="BJ207" s="2">
        <f t="shared" si="107"/>
        <v>0.3</v>
      </c>
      <c r="BO207" s="86"/>
      <c r="BP207" s="86"/>
      <c r="BQ207" s="86"/>
      <c r="BR207" s="86"/>
    </row>
    <row r="208" spans="1:70" ht="21" customHeight="1" thickBot="1" x14ac:dyDescent="0.3">
      <c r="B208" s="174">
        <v>22</v>
      </c>
      <c r="C208" s="175"/>
      <c r="D208" s="505">
        <v>0</v>
      </c>
      <c r="E208" s="146">
        <v>0</v>
      </c>
      <c r="F208" s="147">
        <v>1</v>
      </c>
      <c r="G208" s="147">
        <f t="shared" si="112"/>
        <v>4</v>
      </c>
      <c r="H208" s="147">
        <v>5</v>
      </c>
      <c r="I208" s="147" t="str">
        <f t="shared" si="113"/>
        <v/>
      </c>
      <c r="J208" s="147">
        <v>9</v>
      </c>
      <c r="K208" s="148">
        <v>12</v>
      </c>
      <c r="L208" s="150" t="s">
        <v>65</v>
      </c>
      <c r="M208" s="150">
        <f t="shared" si="91"/>
        <v>0.3</v>
      </c>
      <c r="N208" s="150">
        <f t="shared" si="108"/>
        <v>0.3</v>
      </c>
      <c r="O208" s="152">
        <v>118.90260000000001</v>
      </c>
      <c r="P208" s="152">
        <v>83.076694799999999</v>
      </c>
      <c r="Q208" s="153">
        <f t="shared" si="92"/>
        <v>83.076694799999999</v>
      </c>
      <c r="R208" s="153">
        <f t="shared" si="93"/>
        <v>41.538347399999999</v>
      </c>
      <c r="S208" s="153">
        <f t="shared" si="82"/>
        <v>0.66312116713723779</v>
      </c>
      <c r="T208" s="153">
        <f t="shared" si="83"/>
        <v>78.846830887652132</v>
      </c>
      <c r="U208" s="153">
        <f t="shared" si="84"/>
        <v>157.69366177530426</v>
      </c>
      <c r="V208" s="153">
        <f>+C187+D188+D189+D190+D191+D192+D193+D194+D195+D196+D197+D198+D199+D200+D201+D202+D203+D204+D205+D206+D207+(D208/2)</f>
        <v>0</v>
      </c>
      <c r="W208" s="153">
        <f t="shared" si="85"/>
        <v>0</v>
      </c>
      <c r="X208" s="153">
        <f t="shared" si="86"/>
        <v>0</v>
      </c>
      <c r="Y208" s="153">
        <f t="shared" si="94"/>
        <v>89</v>
      </c>
      <c r="Z208" s="153">
        <f t="shared" si="109"/>
        <v>89</v>
      </c>
      <c r="AA208" s="155">
        <f t="shared" si="87"/>
        <v>89</v>
      </c>
      <c r="AB208" s="17"/>
      <c r="AC208" s="156">
        <f t="shared" si="88"/>
        <v>0</v>
      </c>
      <c r="AD208" s="156"/>
      <c r="AE208" s="156"/>
      <c r="AF208" s="156"/>
      <c r="AG208" s="156"/>
      <c r="AH208" s="156"/>
      <c r="AI208" s="176" t="str">
        <f t="shared" si="95"/>
        <v>pin in groundstacking hole</v>
      </c>
      <c r="AJ208" s="524"/>
      <c r="AK208" s="524"/>
      <c r="AL208" s="524"/>
      <c r="AM208" s="156">
        <f>SUM(AC208:AC210)/($B$184-B207)</f>
        <v>0</v>
      </c>
      <c r="AN208" s="156"/>
      <c r="AO208" s="177">
        <f>SUM(D188:D208)+$C$187</f>
        <v>0</v>
      </c>
      <c r="AP208" s="235"/>
      <c r="AQ208" s="160">
        <f t="shared" si="96"/>
        <v>70.630179100000007</v>
      </c>
      <c r="AR208" s="178">
        <f t="shared" si="89"/>
        <v>0.94339748455555306</v>
      </c>
      <c r="AS208" s="162">
        <f t="shared" si="97"/>
        <v>125.38573325554864</v>
      </c>
      <c r="AT208" s="160">
        <f t="shared" si="98"/>
        <v>48.461652999999998</v>
      </c>
      <c r="AU208" s="179">
        <f t="shared" si="99"/>
        <v>0.74851207380038831</v>
      </c>
      <c r="AV208" s="162">
        <f t="shared" si="100"/>
        <v>89.000031706258056</v>
      </c>
      <c r="AW208" s="180"/>
      <c r="AX208" s="162">
        <f t="shared" si="110"/>
        <v>-198</v>
      </c>
      <c r="AY208" s="180"/>
      <c r="AZ208" s="181">
        <f t="shared" si="101"/>
        <v>214.3857649618067</v>
      </c>
      <c r="BA208" s="182">
        <f t="shared" si="114"/>
        <v>-89.000031706258056</v>
      </c>
      <c r="BB208" s="183"/>
      <c r="BC208" s="182">
        <f t="shared" si="111"/>
        <v>89.000031706258056</v>
      </c>
      <c r="BD208" s="184">
        <f t="shared" si="102"/>
        <v>-115.80234904598963</v>
      </c>
      <c r="BE208" s="184">
        <f t="shared" si="103"/>
        <v>-82.197650954010385</v>
      </c>
      <c r="BF208" s="170">
        <f t="shared" si="104"/>
        <v>-69.083227291208814</v>
      </c>
      <c r="BG208" s="170">
        <f t="shared" si="105"/>
        <v>-53.529510258897808</v>
      </c>
      <c r="BH208" s="171">
        <f t="shared" si="106"/>
        <v>69.083227291208814</v>
      </c>
      <c r="BI208" s="171">
        <f t="shared" si="106"/>
        <v>53.529510258897808</v>
      </c>
      <c r="BJ208" s="2">
        <f t="shared" si="107"/>
        <v>0.3</v>
      </c>
      <c r="BO208" s="86"/>
      <c r="BP208" s="86"/>
      <c r="BQ208" s="86"/>
      <c r="BR208" s="86"/>
    </row>
    <row r="209" spans="2:70" ht="21" customHeight="1" thickBot="1" x14ac:dyDescent="0.3">
      <c r="B209" s="174">
        <v>23</v>
      </c>
      <c r="C209" s="175"/>
      <c r="D209" s="505">
        <v>0</v>
      </c>
      <c r="E209" s="146">
        <v>0</v>
      </c>
      <c r="F209" s="147">
        <v>1</v>
      </c>
      <c r="G209" s="147">
        <f t="shared" si="112"/>
        <v>4</v>
      </c>
      <c r="H209" s="147">
        <v>5</v>
      </c>
      <c r="I209" s="147" t="str">
        <f t="shared" si="113"/>
        <v/>
      </c>
      <c r="J209" s="147">
        <v>9</v>
      </c>
      <c r="K209" s="148">
        <v>12</v>
      </c>
      <c r="L209" s="150" t="s">
        <v>65</v>
      </c>
      <c r="M209" s="150">
        <f t="shared" si="91"/>
        <v>0.3</v>
      </c>
      <c r="N209" s="150">
        <f t="shared" si="108"/>
        <v>0.3</v>
      </c>
      <c r="O209" s="152">
        <v>118.90260000000001</v>
      </c>
      <c r="P209" s="152">
        <v>83.076694799999999</v>
      </c>
      <c r="Q209" s="153">
        <f t="shared" si="92"/>
        <v>83.076694799999999</v>
      </c>
      <c r="R209" s="153">
        <f t="shared" si="93"/>
        <v>41.538347399999999</v>
      </c>
      <c r="S209" s="153">
        <f t="shared" si="82"/>
        <v>0.66312116713723779</v>
      </c>
      <c r="T209" s="153">
        <f t="shared" si="83"/>
        <v>78.846830887652132</v>
      </c>
      <c r="U209" s="153">
        <f t="shared" si="84"/>
        <v>157.69366177530426</v>
      </c>
      <c r="V209" s="153">
        <f>+C187+D188+D189+D190+D191+D192+D193+D194+D195+D196+D197+D198+D199+D200+D201+D202+D203+D204+D205+D206+D207+D208+(D209/2)</f>
        <v>0</v>
      </c>
      <c r="W209" s="153">
        <f t="shared" si="85"/>
        <v>0</v>
      </c>
      <c r="X209" s="153">
        <f t="shared" si="86"/>
        <v>0</v>
      </c>
      <c r="Y209" s="153">
        <f t="shared" si="94"/>
        <v>89</v>
      </c>
      <c r="Z209" s="153">
        <f t="shared" si="109"/>
        <v>89</v>
      </c>
      <c r="AA209" s="155">
        <f t="shared" si="87"/>
        <v>89</v>
      </c>
      <c r="AB209" s="17"/>
      <c r="AC209" s="156">
        <f t="shared" si="88"/>
        <v>0</v>
      </c>
      <c r="AD209" s="156"/>
      <c r="AE209" s="156"/>
      <c r="AF209" s="156"/>
      <c r="AG209" s="156"/>
      <c r="AH209" s="156"/>
      <c r="AI209" s="176" t="str">
        <f t="shared" si="95"/>
        <v>pin in groundstacking hole</v>
      </c>
      <c r="AJ209" s="524"/>
      <c r="AK209" s="524"/>
      <c r="AL209" s="524"/>
      <c r="AM209" s="156">
        <f>SUM(AC209:AC210)/($B$184-B208)</f>
        <v>0</v>
      </c>
      <c r="AN209" s="156"/>
      <c r="AO209" s="177">
        <f>SUM(D188:D209)+$C$187</f>
        <v>0</v>
      </c>
      <c r="AP209" s="235"/>
      <c r="AQ209" s="160">
        <f t="shared" si="96"/>
        <v>70.630179100000007</v>
      </c>
      <c r="AR209" s="178">
        <f t="shared" si="89"/>
        <v>0.94339748455555306</v>
      </c>
      <c r="AS209" s="162">
        <f t="shared" si="97"/>
        <v>125.38573325554864</v>
      </c>
      <c r="AT209" s="160">
        <f t="shared" si="98"/>
        <v>48.461652999999998</v>
      </c>
      <c r="AU209" s="179">
        <f t="shared" si="99"/>
        <v>0.74851207380038831</v>
      </c>
      <c r="AV209" s="162">
        <f t="shared" si="100"/>
        <v>89.000031706258056</v>
      </c>
      <c r="AW209" s="180"/>
      <c r="AX209" s="162">
        <f t="shared" si="110"/>
        <v>-207.9</v>
      </c>
      <c r="AY209" s="180"/>
      <c r="AZ209" s="181">
        <f t="shared" si="101"/>
        <v>214.3857649618067</v>
      </c>
      <c r="BA209" s="182">
        <f t="shared" si="114"/>
        <v>-89.000031706258056</v>
      </c>
      <c r="BB209" s="183"/>
      <c r="BC209" s="182">
        <f t="shared" si="111"/>
        <v>89.000031706258056</v>
      </c>
      <c r="BD209" s="184">
        <f t="shared" si="102"/>
        <v>-121.59246649828911</v>
      </c>
      <c r="BE209" s="184">
        <f t="shared" si="103"/>
        <v>-86.307533501710907</v>
      </c>
      <c r="BF209" s="170">
        <f t="shared" si="104"/>
        <v>-65.793549801151258</v>
      </c>
      <c r="BG209" s="170">
        <f t="shared" si="105"/>
        <v>-50.980485960855056</v>
      </c>
      <c r="BH209" s="171">
        <f t="shared" si="106"/>
        <v>65.793549801151258</v>
      </c>
      <c r="BI209" s="171">
        <f t="shared" si="106"/>
        <v>50.980485960855056</v>
      </c>
      <c r="BJ209" s="2">
        <f t="shared" si="107"/>
        <v>0.3</v>
      </c>
      <c r="BO209" s="86"/>
      <c r="BP209" s="86"/>
      <c r="BQ209" s="86"/>
      <c r="BR209" s="86"/>
    </row>
    <row r="210" spans="2:70" ht="21" customHeight="1" thickBot="1" x14ac:dyDescent="0.3">
      <c r="B210" s="174">
        <v>24</v>
      </c>
      <c r="C210" s="175"/>
      <c r="D210" s="505">
        <v>0</v>
      </c>
      <c r="E210" s="146">
        <v>0</v>
      </c>
      <c r="F210" s="147">
        <v>1</v>
      </c>
      <c r="G210" s="147">
        <f t="shared" si="112"/>
        <v>4</v>
      </c>
      <c r="H210" s="147">
        <v>5</v>
      </c>
      <c r="I210" s="147" t="str">
        <f t="shared" si="113"/>
        <v/>
      </c>
      <c r="J210" s="147">
        <v>9</v>
      </c>
      <c r="K210" s="148">
        <v>12</v>
      </c>
      <c r="L210" s="150" t="s">
        <v>65</v>
      </c>
      <c r="M210" s="150">
        <f t="shared" si="91"/>
        <v>0.3</v>
      </c>
      <c r="N210" s="150">
        <f t="shared" si="108"/>
        <v>0.3</v>
      </c>
      <c r="O210" s="152">
        <v>118.90260000000001</v>
      </c>
      <c r="P210" s="152">
        <v>83.076694799999999</v>
      </c>
      <c r="Q210" s="153">
        <f t="shared" si="92"/>
        <v>83.076694799999999</v>
      </c>
      <c r="R210" s="153">
        <f t="shared" si="93"/>
        <v>41.538347399999999</v>
      </c>
      <c r="S210" s="153">
        <f t="shared" si="82"/>
        <v>0.66312116713723779</v>
      </c>
      <c r="T210" s="153">
        <f t="shared" si="83"/>
        <v>78.846830887652132</v>
      </c>
      <c r="U210" s="153">
        <f t="shared" si="84"/>
        <v>157.69366177530426</v>
      </c>
      <c r="V210" s="153">
        <f>+SUM(D188:D209)+(D210/2)+C187</f>
        <v>0</v>
      </c>
      <c r="W210" s="153">
        <f t="shared" si="85"/>
        <v>0</v>
      </c>
      <c r="X210" s="153">
        <f t="shared" si="86"/>
        <v>0</v>
      </c>
      <c r="Y210" s="153">
        <f t="shared" si="94"/>
        <v>89</v>
      </c>
      <c r="Z210" s="153">
        <f t="shared" si="109"/>
        <v>89</v>
      </c>
      <c r="AA210" s="155">
        <f t="shared" si="87"/>
        <v>89</v>
      </c>
      <c r="AB210" s="17"/>
      <c r="AC210" s="156">
        <f t="shared" si="88"/>
        <v>0</v>
      </c>
      <c r="AD210" s="156"/>
      <c r="AE210" s="156"/>
      <c r="AF210" s="156"/>
      <c r="AG210" s="156"/>
      <c r="AH210" s="156"/>
      <c r="AI210" s="176" t="str">
        <f t="shared" si="95"/>
        <v>pin in groundstacking hole</v>
      </c>
      <c r="AJ210" s="524"/>
      <c r="AK210" s="524"/>
      <c r="AL210" s="524"/>
      <c r="AM210" s="156">
        <f>SUM(AC210)/($B$184-B209)</f>
        <v>0</v>
      </c>
      <c r="AN210" s="156"/>
      <c r="AO210" s="177">
        <f>SUM(D188:D210)+$C$187</f>
        <v>0</v>
      </c>
      <c r="AP210" s="235"/>
      <c r="AQ210" s="160">
        <f t="shared" si="96"/>
        <v>70.630179100000007</v>
      </c>
      <c r="AR210" s="178">
        <f t="shared" si="89"/>
        <v>0.94339748455555306</v>
      </c>
      <c r="AS210" s="162">
        <f t="shared" si="97"/>
        <v>125.38573325554864</v>
      </c>
      <c r="AT210" s="160">
        <f t="shared" si="98"/>
        <v>48.461652999999998</v>
      </c>
      <c r="AU210" s="179">
        <f t="shared" si="99"/>
        <v>0.74851207380038831</v>
      </c>
      <c r="AV210" s="162">
        <f t="shared" si="100"/>
        <v>89.000031706258056</v>
      </c>
      <c r="AW210" s="180"/>
      <c r="AX210" s="162">
        <f t="shared" si="110"/>
        <v>-217.8</v>
      </c>
      <c r="AY210" s="180"/>
      <c r="AZ210" s="181">
        <f t="shared" si="101"/>
        <v>214.3857649618067</v>
      </c>
      <c r="BA210" s="182">
        <f t="shared" si="114"/>
        <v>-89.000031706258056</v>
      </c>
      <c r="BB210" s="183"/>
      <c r="BC210" s="182">
        <f t="shared" si="111"/>
        <v>89.000031706258056</v>
      </c>
      <c r="BD210" s="184">
        <f t="shared" si="102"/>
        <v>-127.3825839505886</v>
      </c>
      <c r="BE210" s="184">
        <f t="shared" si="103"/>
        <v>-90.417416049411429</v>
      </c>
      <c r="BF210" s="170">
        <f t="shared" si="104"/>
        <v>-62.802933901098925</v>
      </c>
      <c r="BG210" s="170">
        <f t="shared" si="105"/>
        <v>-48.663191144452547</v>
      </c>
      <c r="BH210" s="171">
        <f t="shared" si="106"/>
        <v>62.802933901098925</v>
      </c>
      <c r="BI210" s="171">
        <f t="shared" si="106"/>
        <v>48.663191144452547</v>
      </c>
      <c r="BJ210" s="2">
        <f t="shared" si="107"/>
        <v>0.3</v>
      </c>
      <c r="BO210" s="86"/>
      <c r="BP210" s="86"/>
      <c r="BQ210" s="86"/>
      <c r="BR210" s="86"/>
    </row>
    <row r="211" spans="2:70" ht="21" customHeight="1" x14ac:dyDescent="0.25">
      <c r="BO211" s="86"/>
      <c r="BP211" s="86"/>
      <c r="BQ211" s="86"/>
      <c r="BR211" s="86"/>
    </row>
    <row r="212" spans="2:70" x14ac:dyDescent="0.25">
      <c r="BO212" s="86"/>
      <c r="BP212" s="86"/>
      <c r="BQ212" s="86"/>
      <c r="BR212" s="86"/>
    </row>
    <row r="213" spans="2:70" x14ac:dyDescent="0.25">
      <c r="BO213" s="86"/>
      <c r="BP213" s="86"/>
      <c r="BQ213" s="86"/>
      <c r="BR213" s="86"/>
    </row>
    <row r="214" spans="2:70" x14ac:dyDescent="0.25">
      <c r="BO214" s="187"/>
      <c r="BP214" s="187"/>
      <c r="BQ214" s="187"/>
      <c r="BR214" s="187"/>
    </row>
    <row r="215" spans="2:70" x14ac:dyDescent="0.25">
      <c r="BO215" s="114"/>
      <c r="BP215" s="114"/>
      <c r="BQ215" s="114"/>
      <c r="BR215" s="114"/>
    </row>
    <row r="216" spans="2:70" x14ac:dyDescent="0.25">
      <c r="BO216" s="114"/>
      <c r="BP216" s="114"/>
      <c r="BQ216" s="114"/>
      <c r="BR216" s="114"/>
    </row>
  </sheetData>
  <sheetProtection algorithmName="SHA-512" hashValue="7r5jdIsfvBftXAlhw8S/MBZPB8CdJ6+RcnHcf4bEgn8lWFEN4YvKTjIkB2uVGDAPLNGu9OMUOb9/cnY13UaVhg==" saltValue="xXlnYTSAdJuSUUtbLe+LwA==" spinCount="100000" sheet="1" objects="1" scenarios="1"/>
  <protectedRanges>
    <protectedRange sqref="B127 B130 D133:D156 B160 B163 B184 D187:D210" name="Range1"/>
  </protectedRanges>
  <mergeCells count="23">
    <mergeCell ref="E186:K186"/>
    <mergeCell ref="E83:K83"/>
    <mergeCell ref="E84:K84"/>
    <mergeCell ref="B89:K90"/>
    <mergeCell ref="E91:K91"/>
    <mergeCell ref="E93:K93"/>
    <mergeCell ref="E92:K92"/>
    <mergeCell ref="BV1:BW1"/>
    <mergeCell ref="BH184:BI184"/>
    <mergeCell ref="B125:B126"/>
    <mergeCell ref="BH130:BI130"/>
    <mergeCell ref="B158:B159"/>
    <mergeCell ref="BH163:BI163"/>
    <mergeCell ref="E132:K132"/>
    <mergeCell ref="E165:K165"/>
    <mergeCell ref="AD163:AH163"/>
    <mergeCell ref="AD128:AH128"/>
    <mergeCell ref="BV3:BW3"/>
    <mergeCell ref="CI52:CJ52"/>
    <mergeCell ref="CX52:CY52"/>
    <mergeCell ref="DK6:DL6"/>
    <mergeCell ref="CI6:CJ6"/>
    <mergeCell ref="CX3:CY3"/>
  </mergeCells>
  <conditionalFormatting sqref="B84 E84 AI78:AL115 AB78:AB115 AI75:AL75 AB75 BO56:BR56 AB52">
    <cfRule type="cellIs" dxfId="162" priority="225" stopIfTrue="1" operator="between">
      <formula>"OVERLOAD"</formula>
      <formula>"OVERLOAD"</formula>
    </cfRule>
  </conditionalFormatting>
  <conditionalFormatting sqref="BF168:BI168 D168:AI168">
    <cfRule type="expression" dxfId="161" priority="220" stopIfTrue="1">
      <formula>$B$163&lt;3</formula>
    </cfRule>
  </conditionalFormatting>
  <conditionalFormatting sqref="BF169:BI169 D169:AI169">
    <cfRule type="expression" dxfId="160" priority="219" stopIfTrue="1">
      <formula>$B$163&lt;4</formula>
    </cfRule>
  </conditionalFormatting>
  <conditionalFormatting sqref="BF170:BI170 D170:AI170">
    <cfRule type="expression" dxfId="159" priority="218" stopIfTrue="1">
      <formula>$B$163&lt;5</formula>
    </cfRule>
  </conditionalFormatting>
  <conditionalFormatting sqref="BF171:BI171 D171:AI171">
    <cfRule type="expression" dxfId="158" priority="217" stopIfTrue="1">
      <formula>$B$163&lt;6</formula>
    </cfRule>
  </conditionalFormatting>
  <conditionalFormatting sqref="BF172:BI172 D172:AI172">
    <cfRule type="expression" dxfId="157" priority="216" stopIfTrue="1">
      <formula>$B$163&lt;7</formula>
    </cfRule>
  </conditionalFormatting>
  <conditionalFormatting sqref="BF173:BI173 D173:AI173">
    <cfRule type="expression" dxfId="156" priority="215" stopIfTrue="1">
      <formula>$B$163&lt;8</formula>
    </cfRule>
  </conditionalFormatting>
  <conditionalFormatting sqref="BF174:BI174 D174:AI174">
    <cfRule type="expression" dxfId="155" priority="214" stopIfTrue="1">
      <formula>$B$163&lt;9</formula>
    </cfRule>
  </conditionalFormatting>
  <conditionalFormatting sqref="BF175:BI175 D175:AI175">
    <cfRule type="expression" dxfId="154" priority="213" stopIfTrue="1">
      <formula>$B$163&lt;10</formula>
    </cfRule>
  </conditionalFormatting>
  <conditionalFormatting sqref="BF176:BI176 D176:AI176">
    <cfRule type="expression" dxfId="153" priority="212" stopIfTrue="1">
      <formula>$B$163&lt;11</formula>
    </cfRule>
  </conditionalFormatting>
  <conditionalFormatting sqref="BF177:BI177 D177:AI177">
    <cfRule type="expression" dxfId="152" priority="207" stopIfTrue="1">
      <formula>$B$163&lt;12</formula>
    </cfRule>
  </conditionalFormatting>
  <conditionalFormatting sqref="D124:N125">
    <cfRule type="cellIs" dxfId="151" priority="211" stopIfTrue="1" operator="equal">
      <formula>"change the angle of frame or of cabinets"</formula>
    </cfRule>
  </conditionalFormatting>
  <conditionalFormatting sqref="E127:N127">
    <cfRule type="cellIs" dxfId="150" priority="210" stopIfTrue="1" operator="equal">
      <formula>"USE EXBAR TR AT THE BACK"</formula>
    </cfRule>
  </conditionalFormatting>
  <conditionalFormatting sqref="E126:N126 L127">
    <cfRule type="cellIs" dxfId="149" priority="209" stopIfTrue="1" operator="equal">
      <formula>"USE EXBAR TR AT THE FRONT"</formula>
    </cfRule>
  </conditionalFormatting>
  <conditionalFormatting sqref="B187:B210">
    <cfRule type="cellIs" dxfId="148" priority="208" stopIfTrue="1" operator="greaterThan">
      <formula>$B$184</formula>
    </cfRule>
  </conditionalFormatting>
  <conditionalFormatting sqref="B133:D133 Q133:X133 Z133:AD133 AT133:AU133 AW133:BI133 BF134:BG156 M133:N133 AP134:AQ156 AT134:AT156 AY134:AY156 AQ187:AQ210 AT187:AT210 AI133 AM133:AR133">
    <cfRule type="expression" dxfId="147" priority="205" stopIfTrue="1">
      <formula>$B$130&lt;1</formula>
    </cfRule>
  </conditionalFormatting>
  <conditionalFormatting sqref="B135:D135 Q135:AI135 AX135:BI135 AT135:AU135 L135:N135 AM135:AR135">
    <cfRule type="expression" dxfId="146" priority="195" stopIfTrue="1">
      <formula>$B$130&lt;3</formula>
    </cfRule>
  </conditionalFormatting>
  <conditionalFormatting sqref="B136:D136 Q136:AI136 AX136:BI136 AT136:AU136 L136:N136 AM136:AR136">
    <cfRule type="expression" dxfId="145" priority="194" stopIfTrue="1">
      <formula>$B$130&lt;4</formula>
    </cfRule>
  </conditionalFormatting>
  <conditionalFormatting sqref="B137:D137 Q137:AI137 AX137:BI137 AT137:AU137 L137:N137 AM137:AR137">
    <cfRule type="expression" dxfId="144" priority="196" stopIfTrue="1">
      <formula>$B$130&lt;5</formula>
    </cfRule>
  </conditionalFormatting>
  <conditionalFormatting sqref="B138:D138 Q138:AI138 AX138:BI138 AT138:AU138 L138:N138 AM138:AR138">
    <cfRule type="expression" dxfId="143" priority="193">
      <formula>$B$130&lt;6</formula>
    </cfRule>
  </conditionalFormatting>
  <conditionalFormatting sqref="B155:D156 Q155:AI156 AX155:BI156 AT155:AU156 L155:N156 AM155:AR156">
    <cfRule type="expression" dxfId="142" priority="192">
      <formula>$B$130&lt;23</formula>
    </cfRule>
  </conditionalFormatting>
  <conditionalFormatting sqref="B154:D154 Q154:AI154 AX154:BI154 AT154:AU154 L154:N154 AM154:AR154">
    <cfRule type="expression" dxfId="141" priority="191">
      <formula>$B$130&lt;22</formula>
    </cfRule>
  </conditionalFormatting>
  <conditionalFormatting sqref="B153:D153 Q153:AI153 AX153:BI153 AT153:AU153 L153:N153 AM153:AR153">
    <cfRule type="expression" dxfId="140" priority="190">
      <formula>$B$130&lt;21</formula>
    </cfRule>
  </conditionalFormatting>
  <conditionalFormatting sqref="B152:D152 Q152:AI152 AX152:BI152 AT152:AU152 L152:N152 AM152:AR152">
    <cfRule type="expression" dxfId="139" priority="189">
      <formula>$B$130&lt;20</formula>
    </cfRule>
  </conditionalFormatting>
  <conditionalFormatting sqref="M247">
    <cfRule type="expression" dxfId="138" priority="198">
      <formula>$B$130&lt;19</formula>
    </cfRule>
  </conditionalFormatting>
  <conditionalFormatting sqref="B150:D151 Q150:AI151 AX150:BI151 AT150:AU151 L150:N151 AM150:AR151">
    <cfRule type="expression" dxfId="137" priority="188">
      <formula>$B$130&lt;18</formula>
    </cfRule>
  </conditionalFormatting>
  <conditionalFormatting sqref="B149:D149 Q149:AI149 AX149:BI149 AT149:AU149 L149:N149 AM149:AR149">
    <cfRule type="expression" dxfId="136" priority="187">
      <formula>$B$130&lt;17</formula>
    </cfRule>
  </conditionalFormatting>
  <conditionalFormatting sqref="B148:D148 Q148:AI148 AX148:BI148 AT148:AU148 L148:N148 AM148:AR148">
    <cfRule type="expression" dxfId="135" priority="186">
      <formula>$B$130&lt;16</formula>
    </cfRule>
  </conditionalFormatting>
  <conditionalFormatting sqref="B147:D147 Q147:AI147 AX147:BI147 AT147:AU147 L147:N147 AM147:AR147">
    <cfRule type="expression" dxfId="134" priority="185">
      <formula>$B$130&lt;15</formula>
    </cfRule>
  </conditionalFormatting>
  <conditionalFormatting sqref="B146:D146 Q146:AI146 AX146:BI146 AT146:AU146 L146:N146 AM146:AR146">
    <cfRule type="expression" dxfId="133" priority="184">
      <formula>$B$130&lt;14</formula>
    </cfRule>
  </conditionalFormatting>
  <conditionalFormatting sqref="B145:D145 Q145:AI145 AX145:BI145 AT145:AU145 L145:N145 AM145:AR145">
    <cfRule type="expression" dxfId="132" priority="183">
      <formula>$B$130&lt;13</formula>
    </cfRule>
  </conditionalFormatting>
  <conditionalFormatting sqref="B144:D144 Q144:AI144 AX144:BI144 AT144:AU144 L144:N144 AM144:AR144">
    <cfRule type="expression" dxfId="131" priority="182">
      <formula>$B$130&lt;12</formula>
    </cfRule>
  </conditionalFormatting>
  <conditionalFormatting sqref="B143:D143 Q143:AI143 AX143:BI143 AT143:AU143 L143:N143 AM143:AR143">
    <cfRule type="expression" dxfId="130" priority="181">
      <formula>$B$130&lt;11</formula>
    </cfRule>
  </conditionalFormatting>
  <conditionalFormatting sqref="B142:D142 Q142:AI142 AX142:BI142 AT142:AU142 L142:N142 AM142:AR142">
    <cfRule type="expression" dxfId="129" priority="176">
      <formula>$B$130&lt;10</formula>
    </cfRule>
  </conditionalFormatting>
  <conditionalFormatting sqref="B141:D141 Q141:AI141 AX141:BI141 AT141:AU141 L141:N141 AM141:AR141">
    <cfRule type="expression" dxfId="128" priority="175">
      <formula>$B$130&lt;9</formula>
    </cfRule>
  </conditionalFormatting>
  <conditionalFormatting sqref="B140:D140 Q140:AI140 AX140:BI140 AT140:AU140 L140:N140 AM140:AR140">
    <cfRule type="expression" dxfId="127" priority="174">
      <formula>$B$130&lt;8</formula>
    </cfRule>
  </conditionalFormatting>
  <conditionalFormatting sqref="B139:D139 Q139:AI139 AX139:BI139 AT139:AU139 L139:N139 AM139:AR139">
    <cfRule type="expression" dxfId="126" priority="173">
      <formula>$B$130&lt;7</formula>
    </cfRule>
  </conditionalFormatting>
  <conditionalFormatting sqref="B151:D151 Q151:AI151 AX151:BI151 AT151:AU151 L151:N151 AM151:AR151">
    <cfRule type="expression" dxfId="125" priority="172" stopIfTrue="1">
      <formula>$B$130&lt;19</formula>
    </cfRule>
  </conditionalFormatting>
  <conditionalFormatting sqref="B156:D156 Q156:AI156 AX156:BI156 AT156:AU156 L156:N156 AM156:AR156">
    <cfRule type="expression" dxfId="124" priority="171">
      <formula>$B$130&lt;24</formula>
    </cfRule>
  </conditionalFormatting>
  <conditionalFormatting sqref="B134:D134 Q134:AI134 AX134:BI134 L135:L156 M134:N134 AT134:AU134 AX135:AX156 AM134:AR134">
    <cfRule type="expression" dxfId="123" priority="31" stopIfTrue="1">
      <formula>$B$130&lt;2</formula>
    </cfRule>
  </conditionalFormatting>
  <conditionalFormatting sqref="AI133:AI156 AI187:AL210">
    <cfRule type="cellIs" dxfId="122" priority="206" stopIfTrue="1" operator="equal">
      <formula>"pin in groundstacking hole"</formula>
    </cfRule>
  </conditionalFormatting>
  <conditionalFormatting sqref="B93 BH133:BI156 BH166:BI177 BH187:BI210 D93:E93">
    <cfRule type="cellIs" dxfId="121" priority="221" stopIfTrue="1" operator="lessThan">
      <formula>10</formula>
    </cfRule>
  </conditionalFormatting>
  <conditionalFormatting sqref="B166">
    <cfRule type="cellIs" dxfId="120" priority="180" stopIfTrue="1" operator="greaterThan">
      <formula>$B$163</formula>
    </cfRule>
  </conditionalFormatting>
  <conditionalFormatting sqref="C167:AI167 AU167 AX167:BI167 AX168:AX177 AM167:AR167">
    <cfRule type="expression" dxfId="119" priority="179" stopIfTrue="1">
      <formula>$B$163&lt;2</formula>
    </cfRule>
  </conditionalFormatting>
  <conditionalFormatting sqref="AU166 AW166:BI166 L167:L177 B166:N166 AY167:AY177 BF167:BG177 O167:P177 AP167:AQ177 R166:V166 Y166 AA166:AC166 AM166 AI166 AO166:AR166">
    <cfRule type="expression" dxfId="118" priority="178" stopIfTrue="1">
      <formula>$B$163&lt;1</formula>
    </cfRule>
  </conditionalFormatting>
  <conditionalFormatting sqref="B187:D187 Q187:X187 Z187:AM187 AT187:AU187 AW187:BI187 BF188:BG210 M187:N187 AO187:AR187">
    <cfRule type="expression" dxfId="117" priority="177" stopIfTrue="1">
      <formula>$B$184&lt;1</formula>
    </cfRule>
  </conditionalFormatting>
  <conditionalFormatting sqref="B189:D189 Q189:AR189 AT189:AU189 AW189:BI189 L189:N189">
    <cfRule type="expression" dxfId="116" priority="170" stopIfTrue="1">
      <formula>$B$184&lt;3</formula>
    </cfRule>
  </conditionalFormatting>
  <conditionalFormatting sqref="B190:D190 Q190:AR190 AT190:AU190 AW190:BI190 L190:N190">
    <cfRule type="expression" dxfId="115" priority="169" stopIfTrue="1">
      <formula>$B$184&lt;4</formula>
    </cfRule>
  </conditionalFormatting>
  <conditionalFormatting sqref="B191:D191 Q191:AR191 AT191:AU191 AW191:BI191 L191:N191">
    <cfRule type="expression" dxfId="114" priority="168" stopIfTrue="1">
      <formula>$B$184&lt;5</formula>
    </cfRule>
  </conditionalFormatting>
  <conditionalFormatting sqref="B193:B204 B192:D192 Q192:AR192 AT192:AU192 AW192:BI192 L192:N192">
    <cfRule type="expression" dxfId="113" priority="167">
      <formula>$B$184&lt;6</formula>
    </cfRule>
  </conditionalFormatting>
  <conditionalFormatting sqref="B209:D210 Q209:AR210 AT209:AU210 AW209:BI210 L209:N210">
    <cfRule type="expression" dxfId="112" priority="166">
      <formula>$B$184&lt;23</formula>
    </cfRule>
  </conditionalFormatting>
  <conditionalFormatting sqref="B208:D208 Q208:AR208 AT208:AU208 AW208:BI208 L208:N208">
    <cfRule type="expression" dxfId="111" priority="165">
      <formula>$B$184&lt;22</formula>
    </cfRule>
  </conditionalFormatting>
  <conditionalFormatting sqref="B207:D207 Q207:AR207 AT207:AU207 AW207:BI207 L207:N207">
    <cfRule type="expression" dxfId="110" priority="164">
      <formula>$B$184&lt;21</formula>
    </cfRule>
  </conditionalFormatting>
  <conditionalFormatting sqref="B206:D206 Q206:AR206 AT206:AU206 AW206:BI206 L206:N206">
    <cfRule type="expression" dxfId="109" priority="163">
      <formula>$B$184&lt;20</formula>
    </cfRule>
  </conditionalFormatting>
  <conditionalFormatting sqref="B204:D205 Q204:AR205 AT204:AU205 AW204:BI205 L204:N205">
    <cfRule type="expression" dxfId="108" priority="162">
      <formula>$B$184&lt;18</formula>
    </cfRule>
  </conditionalFormatting>
  <conditionalFormatting sqref="B203:D203 Q203:AR203 AT203:AU203 AW203:BI203 L203:N203">
    <cfRule type="expression" dxfId="107" priority="161">
      <formula>$B$184&lt;17</formula>
    </cfRule>
  </conditionalFormatting>
  <conditionalFormatting sqref="B202:D202 Q202:AR202 AT202:AU202 AW202:BI202 L202:N202">
    <cfRule type="expression" dxfId="106" priority="160">
      <formula>$B$184&lt;16</formula>
    </cfRule>
  </conditionalFormatting>
  <conditionalFormatting sqref="B201:D201 Q201:AR201 AT201:AU201 AW201:BI201 L201:N201">
    <cfRule type="expression" dxfId="105" priority="159">
      <formula>$B$184&lt;15</formula>
    </cfRule>
  </conditionalFormatting>
  <conditionalFormatting sqref="B200:D200 Q200:AR200 AT200:AU200 AW200:BI200 L200:N200">
    <cfRule type="expression" dxfId="104" priority="158">
      <formula>$B$184&lt;14</formula>
    </cfRule>
  </conditionalFormatting>
  <conditionalFormatting sqref="B199:D199 Q199:AR199 AT199:AU199 AW199:BI199 L199:N199">
    <cfRule type="expression" dxfId="103" priority="157">
      <formula>$B$184&lt;13</formula>
    </cfRule>
  </conditionalFormatting>
  <conditionalFormatting sqref="B198:D198 Q198:AR198 AT198:AU198 AW198:BI198 L198:N198">
    <cfRule type="expression" dxfId="102" priority="156">
      <formula>$B$184&lt;12</formula>
    </cfRule>
  </conditionalFormatting>
  <conditionalFormatting sqref="B197:D197 Q197:AR197 AT197:AU197 AW197:BI197 L197:N197">
    <cfRule type="expression" dxfId="101" priority="155">
      <formula>$B$184&lt;11</formula>
    </cfRule>
  </conditionalFormatting>
  <conditionalFormatting sqref="B196:D196 Q196:AR196 AT196:AU196 AW196:BI196 L196:N196">
    <cfRule type="expression" dxfId="100" priority="154">
      <formula>$B$184&lt;10</formula>
    </cfRule>
  </conditionalFormatting>
  <conditionalFormatting sqref="B195:D195 Q195:AR195 AT195:AU195 AW195:BI195 L195:N195">
    <cfRule type="expression" dxfId="99" priority="152">
      <formula>$B$184&lt;9</formula>
    </cfRule>
  </conditionalFormatting>
  <conditionalFormatting sqref="B194:D194 Q194:AR194 AT194:AU194 AW194:BI194 L194:N194">
    <cfRule type="expression" dxfId="98" priority="36">
      <formula>$B$184&lt;8</formula>
    </cfRule>
  </conditionalFormatting>
  <conditionalFormatting sqref="B193:D193 Q193:AR193 AT193:AU193 AW193:BI193 L193:N193">
    <cfRule type="expression" dxfId="97" priority="35">
      <formula>$B$184&lt;7</formula>
    </cfRule>
  </conditionalFormatting>
  <conditionalFormatting sqref="B205:D205 Q205:AR205 AT205:AU205 AW205:BI205 L205:N205">
    <cfRule type="expression" dxfId="96" priority="34" stopIfTrue="1">
      <formula>$B$184&lt;19</formula>
    </cfRule>
  </conditionalFormatting>
  <conditionalFormatting sqref="B210:D210 Q210:AR210 AT210:AU210 AW210:BI210 L210:N210">
    <cfRule type="expression" dxfId="95" priority="33">
      <formula>$B$184&lt;24</formula>
    </cfRule>
  </conditionalFormatting>
  <conditionalFormatting sqref="B188:D188 Q188:AR188 AT188:AU188 AW188:BI188 L189:L210 M188:N188 AX189:AX210">
    <cfRule type="expression" dxfId="94" priority="32" stopIfTrue="1">
      <formula>$B$184&lt;2</formula>
    </cfRule>
  </conditionalFormatting>
  <conditionalFormatting sqref="D133:D156 D187:D210">
    <cfRule type="cellIs" dxfId="93" priority="203" stopIfTrue="1" operator="notEqual">
      <formula>0</formula>
    </cfRule>
  </conditionalFormatting>
  <conditionalFormatting sqref="L133">
    <cfRule type="expression" dxfId="92" priority="122" stopIfTrue="1">
      <formula>$B$130&lt;1</formula>
    </cfRule>
  </conditionalFormatting>
  <conditionalFormatting sqref="L134">
    <cfRule type="expression" dxfId="91" priority="121" stopIfTrue="1">
      <formula>$B$130&lt;2</formula>
    </cfRule>
  </conditionalFormatting>
  <conditionalFormatting sqref="L187">
    <cfRule type="expression" dxfId="90" priority="120" stopIfTrue="1">
      <formula>$B$130&lt;1</formula>
    </cfRule>
  </conditionalFormatting>
  <conditionalFormatting sqref="L188">
    <cfRule type="expression" dxfId="89" priority="119" stopIfTrue="1">
      <formula>$B$130&lt;2</formula>
    </cfRule>
  </conditionalFormatting>
  <conditionalFormatting sqref="AQ188:AQ210">
    <cfRule type="expression" dxfId="88" priority="118" stopIfTrue="1">
      <formula>$B$184&lt;1</formula>
    </cfRule>
  </conditionalFormatting>
  <conditionalFormatting sqref="AT188:AT210">
    <cfRule type="expression" dxfId="87" priority="117" stopIfTrue="1">
      <formula>$B$184&lt;1</formula>
    </cfRule>
  </conditionalFormatting>
  <conditionalFormatting sqref="BV120:CE121 BV74:CS77 CA86:CN86 CA87:CA91 CI87:CN91 CJ78:CP78 CL120:CN121">
    <cfRule type="cellIs" dxfId="86" priority="114" stopIfTrue="1" operator="equal">
      <formula>FALSE</formula>
    </cfRule>
  </conditionalFormatting>
  <conditionalFormatting sqref="CA72:CN72 BV118:CE118 CA71:CI71 BV47:BV48 CL118:CN118">
    <cfRule type="cellIs" dxfId="85" priority="101" stopIfTrue="1" operator="equal">
      <formula>0</formula>
    </cfRule>
  </conditionalFormatting>
  <conditionalFormatting sqref="BR131:BR173 BT92:BT99">
    <cfRule type="cellIs" dxfId="84" priority="112" stopIfTrue="1" operator="equal">
      <formula>FALSE</formula>
    </cfRule>
  </conditionalFormatting>
  <conditionalFormatting sqref="BL131:BL173">
    <cfRule type="cellIs" dxfId="83" priority="111" stopIfTrue="1" operator="between">
      <formula>"заяка"</formula>
      <formula>"заявка"</formula>
    </cfRule>
  </conditionalFormatting>
  <conditionalFormatting sqref="CT74:DL75">
    <cfRule type="cellIs" dxfId="82" priority="110" stopIfTrue="1" operator="equal">
      <formula>FALSE</formula>
    </cfRule>
  </conditionalFormatting>
  <conditionalFormatting sqref="CI78">
    <cfRule type="cellIs" dxfId="81" priority="109" stopIfTrue="1" operator="equal">
      <formula>FALSE</formula>
    </cfRule>
  </conditionalFormatting>
  <conditionalFormatting sqref="CT78">
    <cfRule type="cellIs" dxfId="80" priority="108" stopIfTrue="1" operator="equal">
      <formula>FALSE</formula>
    </cfRule>
  </conditionalFormatting>
  <conditionalFormatting sqref="CU78">
    <cfRule type="cellIs" dxfId="79" priority="107" stopIfTrue="1" operator="equal">
      <formula>FALSE</formula>
    </cfRule>
  </conditionalFormatting>
  <conditionalFormatting sqref="CV78">
    <cfRule type="cellIs" dxfId="78" priority="106" stopIfTrue="1" operator="equal">
      <formula>FALSE</formula>
    </cfRule>
  </conditionalFormatting>
  <conditionalFormatting sqref="CW78">
    <cfRule type="cellIs" dxfId="77" priority="105" stopIfTrue="1" operator="equal">
      <formula>FALSE</formula>
    </cfRule>
  </conditionalFormatting>
  <conditionalFormatting sqref="CX78">
    <cfRule type="cellIs" dxfId="76" priority="104" stopIfTrue="1" operator="equal">
      <formula>FALSE</formula>
    </cfRule>
  </conditionalFormatting>
  <conditionalFormatting sqref="CY78">
    <cfRule type="cellIs" dxfId="75" priority="103" stopIfTrue="1" operator="equal">
      <formula>FALSE</formula>
    </cfRule>
  </conditionalFormatting>
  <conditionalFormatting sqref="BV72:BZ72">
    <cfRule type="cellIs" dxfId="74" priority="102" stopIfTrue="1" operator="equal">
      <formula>0</formula>
    </cfRule>
  </conditionalFormatting>
  <conditionalFormatting sqref="CJ71:CY71">
    <cfRule type="cellIs" dxfId="73" priority="99" stopIfTrue="1" operator="equal">
      <formula>0</formula>
    </cfRule>
  </conditionalFormatting>
  <conditionalFormatting sqref="BW47:DL48">
    <cfRule type="cellIs" dxfId="72" priority="100" stopIfTrue="1" operator="equal">
      <formula>0</formula>
    </cfRule>
  </conditionalFormatting>
  <conditionalFormatting sqref="CI49:CY49">
    <cfRule type="cellIs" dxfId="71" priority="98" operator="equal">
      <formula>0</formula>
    </cfRule>
  </conditionalFormatting>
  <conditionalFormatting sqref="E135:K135">
    <cfRule type="expression" dxfId="70" priority="97" stopIfTrue="1">
      <formula>$B$130&lt;3</formula>
    </cfRule>
  </conditionalFormatting>
  <conditionalFormatting sqref="E136:K136">
    <cfRule type="expression" dxfId="69" priority="96" stopIfTrue="1">
      <formula>$B$130&lt;4</formula>
    </cfRule>
  </conditionalFormatting>
  <conditionalFormatting sqref="E137:K137">
    <cfRule type="expression" dxfId="68" priority="95" stopIfTrue="1">
      <formula>$B$130&lt;5</formula>
    </cfRule>
  </conditionalFormatting>
  <conditionalFormatting sqref="E138:K138">
    <cfRule type="expression" dxfId="67" priority="94">
      <formula>$B$130&lt;6</formula>
    </cfRule>
  </conditionalFormatting>
  <conditionalFormatting sqref="E155:K156">
    <cfRule type="expression" dxfId="66" priority="93">
      <formula>$B$130&lt;23</formula>
    </cfRule>
  </conditionalFormatting>
  <conditionalFormatting sqref="E154:K154">
    <cfRule type="expression" dxfId="65" priority="92">
      <formula>$B$130&lt;22</formula>
    </cfRule>
  </conditionalFormatting>
  <conditionalFormatting sqref="E153:K153">
    <cfRule type="expression" dxfId="64" priority="91">
      <formula>$B$130&lt;21</formula>
    </cfRule>
  </conditionalFormatting>
  <conditionalFormatting sqref="E152:K152">
    <cfRule type="expression" dxfId="63" priority="90">
      <formula>$B$130&lt;20</formula>
    </cfRule>
  </conditionalFormatting>
  <conditionalFormatting sqref="E150:K151">
    <cfRule type="expression" dxfId="62" priority="89">
      <formula>$B$130&lt;18</formula>
    </cfRule>
  </conditionalFormatting>
  <conditionalFormatting sqref="E149:K149">
    <cfRule type="expression" dxfId="61" priority="88">
      <formula>$B$130&lt;17</formula>
    </cfRule>
  </conditionalFormatting>
  <conditionalFormatting sqref="E148:K148">
    <cfRule type="expression" dxfId="60" priority="87">
      <formula>$B$130&lt;16</formula>
    </cfRule>
  </conditionalFormatting>
  <conditionalFormatting sqref="E147:K147">
    <cfRule type="expression" dxfId="59" priority="86">
      <formula>$B$130&lt;15</formula>
    </cfRule>
  </conditionalFormatting>
  <conditionalFormatting sqref="E146:K146">
    <cfRule type="expression" dxfId="58" priority="85">
      <formula>$B$130&lt;14</formula>
    </cfRule>
  </conditionalFormatting>
  <conditionalFormatting sqref="E145:K145">
    <cfRule type="expression" dxfId="57" priority="84">
      <formula>$B$130&lt;13</formula>
    </cfRule>
  </conditionalFormatting>
  <conditionalFormatting sqref="E144:K144">
    <cfRule type="expression" dxfId="56" priority="83">
      <formula>$B$130&lt;12</formula>
    </cfRule>
  </conditionalFormatting>
  <conditionalFormatting sqref="E143:K143">
    <cfRule type="expression" dxfId="55" priority="82">
      <formula>$B$130&lt;11</formula>
    </cfRule>
  </conditionalFormatting>
  <conditionalFormatting sqref="E142:K142">
    <cfRule type="expression" dxfId="54" priority="81">
      <formula>$B$130&lt;10</formula>
    </cfRule>
  </conditionalFormatting>
  <conditionalFormatting sqref="E141:K141">
    <cfRule type="expression" dxfId="53" priority="80">
      <formula>$B$130&lt;9</formula>
    </cfRule>
  </conditionalFormatting>
  <conditionalFormatting sqref="E140:K140">
    <cfRule type="expression" dxfId="52" priority="79">
      <formula>$B$130&lt;8</formula>
    </cfRule>
  </conditionalFormatting>
  <conditionalFormatting sqref="E139:K139">
    <cfRule type="expression" dxfId="51" priority="78">
      <formula>$B$130&lt;7</formula>
    </cfRule>
  </conditionalFormatting>
  <conditionalFormatting sqref="E151:K151">
    <cfRule type="expression" dxfId="50" priority="77" stopIfTrue="1">
      <formula>$B$130&lt;19</formula>
    </cfRule>
  </conditionalFormatting>
  <conditionalFormatting sqref="E156:K156">
    <cfRule type="expression" dxfId="49" priority="76">
      <formula>$B$130&lt;24</formula>
    </cfRule>
  </conditionalFormatting>
  <conditionalFormatting sqref="E135:K156">
    <cfRule type="expression" dxfId="48" priority="75" stopIfTrue="1">
      <formula>$B$130&lt;2</formula>
    </cfRule>
  </conditionalFormatting>
  <conditionalFormatting sqref="E133:K133">
    <cfRule type="expression" dxfId="47" priority="74" stopIfTrue="1">
      <formula>$B$130&lt;1</formula>
    </cfRule>
  </conditionalFormatting>
  <conditionalFormatting sqref="E134:K134">
    <cfRule type="expression" dxfId="46" priority="73" stopIfTrue="1">
      <formula>$B$130&lt;2</formula>
    </cfRule>
  </conditionalFormatting>
  <conditionalFormatting sqref="E189:K189">
    <cfRule type="expression" dxfId="45" priority="72" stopIfTrue="1">
      <formula>$B$184&lt;3</formula>
    </cfRule>
  </conditionalFormatting>
  <conditionalFormatting sqref="E190:K190">
    <cfRule type="expression" dxfId="44" priority="71" stopIfTrue="1">
      <formula>$B$184&lt;4</formula>
    </cfRule>
  </conditionalFormatting>
  <conditionalFormatting sqref="E191:K191">
    <cfRule type="expression" dxfId="43" priority="70" stopIfTrue="1">
      <formula>$B$184&lt;5</formula>
    </cfRule>
  </conditionalFormatting>
  <conditionalFormatting sqref="E192:K192">
    <cfRule type="expression" dxfId="42" priority="69">
      <formula>$B$184&lt;6</formula>
    </cfRule>
  </conditionalFormatting>
  <conditionalFormatting sqref="E209:K210">
    <cfRule type="expression" dxfId="41" priority="68">
      <formula>$B$184&lt;23</formula>
    </cfRule>
  </conditionalFormatting>
  <conditionalFormatting sqref="E208:K208">
    <cfRule type="expression" dxfId="40" priority="67">
      <formula>$B$184&lt;22</formula>
    </cfRule>
  </conditionalFormatting>
  <conditionalFormatting sqref="E207:K207">
    <cfRule type="expression" dxfId="39" priority="66">
      <formula>$B$184&lt;21</formula>
    </cfRule>
  </conditionalFormatting>
  <conditionalFormatting sqref="E206:K206">
    <cfRule type="expression" dxfId="38" priority="65">
      <formula>$B$184&lt;20</formula>
    </cfRule>
  </conditionalFormatting>
  <conditionalFormatting sqref="E204:K205">
    <cfRule type="expression" dxfId="37" priority="64">
      <formula>$B$184&lt;18</formula>
    </cfRule>
  </conditionalFormatting>
  <conditionalFormatting sqref="E203:K203">
    <cfRule type="expression" dxfId="36" priority="63">
      <formula>$B$184&lt;17</formula>
    </cfRule>
  </conditionalFormatting>
  <conditionalFormatting sqref="E202:K202">
    <cfRule type="expression" dxfId="35" priority="62">
      <formula>$B$184&lt;16</formula>
    </cfRule>
  </conditionalFormatting>
  <conditionalFormatting sqref="E201:K201">
    <cfRule type="expression" dxfId="34" priority="61">
      <formula>$B$184&lt;15</formula>
    </cfRule>
  </conditionalFormatting>
  <conditionalFormatting sqref="E200:K200">
    <cfRule type="expression" dxfId="33" priority="60">
      <formula>$B$184&lt;14</formula>
    </cfRule>
  </conditionalFormatting>
  <conditionalFormatting sqref="E199:K199">
    <cfRule type="expression" dxfId="32" priority="59">
      <formula>$B$184&lt;13</formula>
    </cfRule>
  </conditionalFormatting>
  <conditionalFormatting sqref="E198:K198">
    <cfRule type="expression" dxfId="31" priority="58">
      <formula>$B$184&lt;12</formula>
    </cfRule>
  </conditionalFormatting>
  <conditionalFormatting sqref="E197:K197">
    <cfRule type="expression" dxfId="30" priority="57">
      <formula>$B$184&lt;11</formula>
    </cfRule>
  </conditionalFormatting>
  <conditionalFormatting sqref="E196:K196">
    <cfRule type="expression" dxfId="29" priority="56">
      <formula>$B$184&lt;10</formula>
    </cfRule>
  </conditionalFormatting>
  <conditionalFormatting sqref="E195:K195">
    <cfRule type="expression" dxfId="28" priority="55">
      <formula>$B$184&lt;9</formula>
    </cfRule>
  </conditionalFormatting>
  <conditionalFormatting sqref="E194:K194">
    <cfRule type="expression" dxfId="27" priority="54">
      <formula>$B$184&lt;8</formula>
    </cfRule>
  </conditionalFormatting>
  <conditionalFormatting sqref="E193:K193">
    <cfRule type="expression" dxfId="26" priority="53">
      <formula>$B$184&lt;7</formula>
    </cfRule>
  </conditionalFormatting>
  <conditionalFormatting sqref="E205:K205">
    <cfRule type="expression" dxfId="25" priority="52" stopIfTrue="1">
      <formula>$B$184&lt;19</formula>
    </cfRule>
  </conditionalFormatting>
  <conditionalFormatting sqref="E210:K210">
    <cfRule type="expression" dxfId="24" priority="51">
      <formula>$B$184&lt;24</formula>
    </cfRule>
  </conditionalFormatting>
  <conditionalFormatting sqref="E189:K210">
    <cfRule type="expression" dxfId="23" priority="50" stopIfTrue="1">
      <formula>$B$184&lt;2</formula>
    </cfRule>
  </conditionalFormatting>
  <conditionalFormatting sqref="E188:K188">
    <cfRule type="expression" dxfId="22" priority="48" stopIfTrue="1">
      <formula>$B$184&lt;2</formula>
    </cfRule>
  </conditionalFormatting>
  <conditionalFormatting sqref="B168">
    <cfRule type="expression" dxfId="21" priority="47" stopIfTrue="1">
      <formula>$B$163&lt;3</formula>
    </cfRule>
  </conditionalFormatting>
  <conditionalFormatting sqref="B169">
    <cfRule type="expression" dxfId="20" priority="46" stopIfTrue="1">
      <formula>$B$163&lt;4</formula>
    </cfRule>
  </conditionalFormatting>
  <conditionalFormatting sqref="B170">
    <cfRule type="expression" dxfId="19" priority="45" stopIfTrue="1">
      <formula>$B$163&lt;5</formula>
    </cfRule>
  </conditionalFormatting>
  <conditionalFormatting sqref="B171">
    <cfRule type="expression" dxfId="18" priority="44" stopIfTrue="1">
      <formula>$B$163&lt;6</formula>
    </cfRule>
  </conditionalFormatting>
  <conditionalFormatting sqref="B172">
    <cfRule type="expression" dxfId="17" priority="43" stopIfTrue="1">
      <formula>$B$163&lt;7</formula>
    </cfRule>
  </conditionalFormatting>
  <conditionalFormatting sqref="B173">
    <cfRule type="expression" dxfId="16" priority="42" stopIfTrue="1">
      <formula>$B$163&lt;8</formula>
    </cfRule>
  </conditionalFormatting>
  <conditionalFormatting sqref="B174">
    <cfRule type="expression" dxfId="15" priority="41" stopIfTrue="1">
      <formula>$B$163&lt;9</formula>
    </cfRule>
  </conditionalFormatting>
  <conditionalFormatting sqref="B175">
    <cfRule type="expression" dxfId="14" priority="40" stopIfTrue="1">
      <formula>$B$163&lt;10</formula>
    </cfRule>
  </conditionalFormatting>
  <conditionalFormatting sqref="B176">
    <cfRule type="expression" dxfId="13" priority="39" stopIfTrue="1">
      <formula>$B$163&lt;11</formula>
    </cfRule>
  </conditionalFormatting>
  <conditionalFormatting sqref="B177">
    <cfRule type="expression" dxfId="12" priority="38" stopIfTrue="1">
      <formula>$B$163&lt;12</formula>
    </cfRule>
  </conditionalFormatting>
  <conditionalFormatting sqref="B167">
    <cfRule type="expression" dxfId="11" priority="37" stopIfTrue="1">
      <formula>$B$163&lt;2</formula>
    </cfRule>
  </conditionalFormatting>
  <conditionalFormatting sqref="D134:D156 D188:D210">
    <cfRule type="expression" dxfId="10" priority="197">
      <formula>AND(D134=7,I134="")</formula>
    </cfRule>
    <cfRule type="expression" dxfId="9" priority="199">
      <formula>AND(D134=4,G134=3)</formula>
    </cfRule>
    <cfRule type="expression" dxfId="8" priority="200">
      <formula>AND(D134=3,G134=4)</formula>
    </cfRule>
  </conditionalFormatting>
  <conditionalFormatting sqref="AN166">
    <cfRule type="expression" dxfId="7" priority="9" stopIfTrue="1">
      <formula>$B$162&lt;1</formula>
    </cfRule>
  </conditionalFormatting>
  <conditionalFormatting sqref="AW134:AW156">
    <cfRule type="expression" dxfId="6" priority="7" stopIfTrue="1">
      <formula>$B$130&lt;1</formula>
    </cfRule>
  </conditionalFormatting>
  <conditionalFormatting sqref="AW167:AW177">
    <cfRule type="expression" dxfId="5" priority="6" stopIfTrue="1">
      <formula>$B$163&lt;1</formula>
    </cfRule>
  </conditionalFormatting>
  <conditionalFormatting sqref="D127">
    <cfRule type="cellIs" dxfId="4" priority="5" stopIfTrue="1" operator="equal">
      <formula>"USE EXBAR TR AT THE BACK"</formula>
    </cfRule>
  </conditionalFormatting>
  <conditionalFormatting sqref="D126">
    <cfRule type="cellIs" dxfId="3" priority="4" stopIfTrue="1" operator="equal">
      <formula>"USE EXBAR TR AT THE FRONT"</formula>
    </cfRule>
  </conditionalFormatting>
  <conditionalFormatting sqref="BV49:DL49 CI71:CY71">
    <cfRule type="expression" dxfId="2" priority="2">
      <formula>$B$127=0</formula>
    </cfRule>
    <cfRule type="expression" dxfId="1" priority="113">
      <formula>$B$127=0</formula>
    </cfRule>
  </conditionalFormatting>
  <conditionalFormatting sqref="B84 E84:K84 B93 D93:K93">
    <cfRule type="expression" dxfId="0" priority="1">
      <formula>$BS$52=0</formula>
    </cfRule>
  </conditionalFormatting>
  <dataValidations count="10">
    <dataValidation type="custom" allowBlank="1" showInputMessage="1" showErrorMessage="1" sqref="D166:K177">
      <formula1>OR(D166=0,D166=2,D166=5)</formula1>
    </dataValidation>
    <dataValidation type="decimal" allowBlank="1" showInputMessage="1" showErrorMessage="1" sqref="N134:N161 N167:N177 D160:K161 D157:K158 N188:N210 M189:M210 M168:M177 M135:M161 E188:K210">
      <formula1>0</formula1>
      <formula2>8</formula2>
    </dataValidation>
    <dataValidation type="whole" allowBlank="1" showInputMessage="1" showErrorMessage="1" sqref="E133:K133 E187:K187">
      <formula1>0</formula1>
      <formula2>4</formula2>
    </dataValidation>
    <dataValidation type="decimal" allowBlank="1" showInputMessage="1" showErrorMessage="1" sqref="M166:N166 M133:N133 M187:N187">
      <formula1>0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12" sqref="B163">
      <formula1>1</formula1>
      <formula2>12</formula2>
    </dataValidation>
    <dataValidation type="whole" allowBlank="1" showInputMessage="1" showErrorMessage="1" errorTitle="Coda Audio" error="YOU HAVE ENTERED A WRONG NUMBER OF CABINETS" promptTitle="Coda Audio" prompt="ENTER THE NUMBER OF CABINETS FROM 1 UP TO 24" sqref="B184 B130">
      <formula1>1</formula1>
      <formula2>24</formula2>
    </dataValidation>
    <dataValidation type="whole" allowBlank="1" showInputMessage="1" showErrorMessage="1" sqref="E134:K156">
      <formula1>0</formula1>
      <formula2>8</formula2>
    </dataValidation>
    <dataValidation type="whole" allowBlank="1" showInputMessage="1" showErrorMessage="1" sqref="B160">
      <formula1>-12</formula1>
      <formula2>6</formula2>
    </dataValidation>
    <dataValidation type="list" allowBlank="1" showInputMessage="1" showErrorMessage="1" sqref="D133:D156 D187:D210">
      <formula1>$E133:$K133</formula1>
    </dataValidation>
    <dataValidation type="decimal" allowBlank="1" showInputMessage="1" showErrorMessage="1" sqref="B127">
      <formula1>-89.9</formula1>
      <formula2>89.9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E075CAE2-A79B-4A64-94FF-A4D6839CCB33}">
            <xm:f>TiRAY!$BX$47</xm:f>
            <x14:dxf>
              <fill>
                <patternFill>
                  <bgColor theme="0" tint="-4.9989318521683403E-2"/>
                </patternFill>
              </fill>
            </x14:dxf>
          </x14:cfRule>
          <xm:sqref>CI49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TiRAY</vt:lpstr>
      <vt:lpstr>TiLOW+TiRAY</vt:lpstr>
      <vt:lpstr>TiLOW</vt:lpstr>
      <vt:lpstr>TiRAY+TiLOW+TiRAY</vt:lpstr>
    </vt:vector>
  </TitlesOfParts>
  <Company>CODA AUDIO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Edgar Krueger</cp:lastModifiedBy>
  <dcterms:created xsi:type="dcterms:W3CDTF">2009-10-07T12:24:30Z</dcterms:created>
  <dcterms:modified xsi:type="dcterms:W3CDTF">2014-08-29T07:32:33Z</dcterms:modified>
</cp:coreProperties>
</file>