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c\Home\Desktop\Desktop\safety sheets\safety sheets\"/>
    </mc:Choice>
  </mc:AlternateContent>
  <xr:revisionPtr revIDLastSave="0" documentId="8_{68B4CFA5-2393-43A8-96E1-01B8C683EDB1}" xr6:coauthVersionLast="45" xr6:coauthVersionMax="45" xr10:uidLastSave="{00000000-0000-0000-0000-000000000000}"/>
  <bookViews>
    <workbookView xWindow="21480" yWindow="-120" windowWidth="29040" windowHeight="15840" tabRatio="831" xr2:uid="{00000000-000D-0000-FFFF-FFFF00000000}"/>
  </bookViews>
  <sheets>
    <sheet name="N-APS with FRV-N-APS" sheetId="1" r:id="rId1"/>
    <sheet name="N-SUB with FRV-N-APS" sheetId="2" r:id="rId2"/>
    <sheet name="N-SUB+N-APS with FRV-N-APS" sheetId="26" r:id="rId3"/>
    <sheet name="N-APS+N-SUB+N-APS with FRV-NAPS" sheetId="37" r:id="rId4"/>
    <sheet name="N-APS with FRH-N-APS " sheetId="35" r:id="rId5"/>
  </sheets>
  <definedNames>
    <definedName name="_xlnm._FilterDatabase" localSheetId="4" hidden="1">'N-APS with FRH-N-APS '!$AR$110:$AR$111</definedName>
    <definedName name="_xlnm._FilterDatabase" localSheetId="0" hidden="1">'N-APS with FRV-N-APS'!$AR$75:$AR$76</definedName>
    <definedName name="_xlnm._FilterDatabase" localSheetId="1" hidden="1">'N-SUB with FRV-N-APS'!#REF!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5" l="1"/>
  <c r="AU104" i="35" l="1"/>
  <c r="AU105" i="35" s="1"/>
  <c r="AU106" i="35" s="1"/>
  <c r="AU107" i="35" s="1"/>
  <c r="AU108" i="35" s="1"/>
  <c r="AU109" i="35" s="1"/>
  <c r="AU110" i="35" s="1"/>
  <c r="AU111" i="35" s="1"/>
  <c r="AU112" i="35" s="1"/>
  <c r="AU113" i="35" s="1"/>
  <c r="AU103" i="35"/>
  <c r="AF106" i="35" l="1"/>
  <c r="F2" i="35"/>
  <c r="E2" i="35"/>
  <c r="BK148" i="37" l="1"/>
  <c r="BJ149" i="37"/>
  <c r="BJ150" i="37" s="1"/>
  <c r="BJ151" i="37" s="1"/>
  <c r="BJ152" i="37" s="1"/>
  <c r="BJ153" i="37" s="1"/>
  <c r="BJ154" i="37" s="1"/>
  <c r="BJ155" i="37" s="1"/>
  <c r="BJ156" i="37" s="1"/>
  <c r="BJ157" i="37" s="1"/>
  <c r="BJ158" i="37" s="1"/>
  <c r="BJ159" i="37" s="1"/>
  <c r="BJ160" i="37" s="1"/>
  <c r="BJ161" i="37" s="1"/>
  <c r="BJ162" i="37" s="1"/>
  <c r="BJ163" i="37" s="1"/>
  <c r="BJ164" i="37" s="1"/>
  <c r="BJ165" i="37" s="1"/>
  <c r="BG49" i="37"/>
  <c r="BO44" i="37"/>
  <c r="BN44" i="37"/>
  <c r="AQ132" i="37"/>
  <c r="AQ131" i="37"/>
  <c r="AQ130" i="37"/>
  <c r="AQ129" i="37"/>
  <c r="AQ128" i="37"/>
  <c r="AQ127" i="37"/>
  <c r="AQ126" i="37"/>
  <c r="AQ125" i="37"/>
  <c r="AQ115" i="37"/>
  <c r="AQ114" i="37"/>
  <c r="AQ113" i="37"/>
  <c r="AQ112" i="37"/>
  <c r="AQ111" i="37"/>
  <c r="AQ110" i="37"/>
  <c r="AQ109" i="37"/>
  <c r="AQ108" i="37"/>
  <c r="AQ107" i="37"/>
  <c r="AQ106" i="37"/>
  <c r="AQ105" i="37"/>
  <c r="AQ104" i="37"/>
  <c r="AQ97" i="37"/>
  <c r="AQ96" i="37"/>
  <c r="AQ95" i="37"/>
  <c r="AQ94" i="37"/>
  <c r="AQ93" i="37"/>
  <c r="AQ92" i="37"/>
  <c r="AQ91" i="37"/>
  <c r="AQ90" i="37"/>
  <c r="C15" i="37"/>
  <c r="C18" i="37"/>
  <c r="C11" i="37"/>
  <c r="F2" i="37"/>
  <c r="E2" i="37"/>
  <c r="BK149" i="37" l="1"/>
  <c r="BK150" i="37" s="1"/>
  <c r="C7" i="37"/>
  <c r="BR154" i="26"/>
  <c r="BQ155" i="26"/>
  <c r="BQ156" i="26" s="1"/>
  <c r="BQ157" i="26" s="1"/>
  <c r="BQ158" i="26" s="1"/>
  <c r="BQ159" i="26" s="1"/>
  <c r="BQ160" i="26" s="1"/>
  <c r="BQ161" i="26" s="1"/>
  <c r="BQ162" i="26" s="1"/>
  <c r="BQ163" i="26" s="1"/>
  <c r="BQ164" i="26" s="1"/>
  <c r="BQ165" i="26" s="1"/>
  <c r="BQ166" i="26" s="1"/>
  <c r="BQ167" i="26" s="1"/>
  <c r="BQ168" i="26" s="1"/>
  <c r="BQ169" i="26" s="1"/>
  <c r="BQ170" i="26" s="1"/>
  <c r="BQ171" i="26" s="1"/>
  <c r="BN59" i="26"/>
  <c r="BV54" i="26"/>
  <c r="BU54" i="26"/>
  <c r="AP122" i="26"/>
  <c r="AP121" i="26"/>
  <c r="AP120" i="26"/>
  <c r="AP119" i="26"/>
  <c r="AP118" i="26"/>
  <c r="AP117" i="26"/>
  <c r="AP116" i="26"/>
  <c r="AP115" i="26"/>
  <c r="AP105" i="26"/>
  <c r="AP104" i="26"/>
  <c r="AP103" i="26"/>
  <c r="AP102" i="26"/>
  <c r="AP101" i="26"/>
  <c r="AP100" i="26"/>
  <c r="AP99" i="26"/>
  <c r="AP98" i="26"/>
  <c r="AP97" i="26"/>
  <c r="AP96" i="26"/>
  <c r="AP95" i="26"/>
  <c r="AP94" i="26"/>
  <c r="C14" i="26"/>
  <c r="C11" i="26"/>
  <c r="F2" i="26"/>
  <c r="E2" i="26"/>
  <c r="BK151" i="37" l="1"/>
  <c r="C7" i="26"/>
  <c r="BQ31" i="26" s="1"/>
  <c r="BR155" i="26"/>
  <c r="BR156" i="26" s="1"/>
  <c r="AS80" i="2"/>
  <c r="AR81" i="2"/>
  <c r="AR82" i="2" s="1"/>
  <c r="AR83" i="2" s="1"/>
  <c r="AR84" i="2" s="1"/>
  <c r="AR85" i="2" s="1"/>
  <c r="AR86" i="2" s="1"/>
  <c r="AR87" i="2" s="1"/>
  <c r="AR88" i="2" s="1"/>
  <c r="AR89" i="2" s="1"/>
  <c r="AR90" i="2" s="1"/>
  <c r="AR91" i="2" s="1"/>
  <c r="AR92" i="2" s="1"/>
  <c r="AR93" i="2" s="1"/>
  <c r="AR94" i="2" s="1"/>
  <c r="AR95" i="2" s="1"/>
  <c r="AR96" i="2" s="1"/>
  <c r="AR97" i="2" s="1"/>
  <c r="BC49" i="2"/>
  <c r="BK44" i="2"/>
  <c r="BJ44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C7" i="2"/>
  <c r="F2" i="2"/>
  <c r="E2" i="2"/>
  <c r="D84" i="26" l="1"/>
  <c r="BM84" i="26"/>
  <c r="BK152" i="37"/>
  <c r="BR157" i="26"/>
  <c r="AS81" i="2"/>
  <c r="AS82" i="2" s="1"/>
  <c r="AU95" i="1"/>
  <c r="AU96" i="1" s="1"/>
  <c r="AU97" i="1" s="1"/>
  <c r="AU98" i="1" s="1"/>
  <c r="AU99" i="1" s="1"/>
  <c r="AU100" i="1" s="1"/>
  <c r="AU101" i="1" s="1"/>
  <c r="AU102" i="1" s="1"/>
  <c r="AU103" i="1" s="1"/>
  <c r="AU104" i="1" s="1"/>
  <c r="AU105" i="1" s="1"/>
  <c r="AU106" i="1" s="1"/>
  <c r="AU107" i="1" s="1"/>
  <c r="AU108" i="1" s="1"/>
  <c r="AU109" i="1" s="1"/>
  <c r="AU110" i="1" s="1"/>
  <c r="AU111" i="1" s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C12" i="1"/>
  <c r="F2" i="1"/>
  <c r="BK153" i="37" l="1"/>
  <c r="BR158" i="26"/>
  <c r="AS83" i="2"/>
  <c r="BK154" i="37" l="1"/>
  <c r="BR159" i="26"/>
  <c r="AS84" i="2"/>
  <c r="BK155" i="37" l="1"/>
  <c r="BR160" i="26"/>
  <c r="AS85" i="2"/>
  <c r="BK156" i="37" l="1"/>
  <c r="BR161" i="26"/>
  <c r="AS86" i="2"/>
  <c r="BK157" i="37" l="1"/>
  <c r="BR162" i="26"/>
  <c r="AS87" i="2"/>
  <c r="BK158" i="37" l="1"/>
  <c r="BR163" i="26"/>
  <c r="AS88" i="2"/>
  <c r="BK159" i="37" l="1"/>
  <c r="BR164" i="26"/>
  <c r="AS89" i="2"/>
  <c r="BK160" i="37" l="1"/>
  <c r="BR165" i="26"/>
  <c r="AS90" i="2"/>
  <c r="BK161" i="37" l="1"/>
  <c r="BR166" i="26"/>
  <c r="AS91" i="2"/>
  <c r="BK162" i="37" l="1"/>
  <c r="BR167" i="26"/>
  <c r="AS92" i="2"/>
  <c r="BK163" i="37" l="1"/>
  <c r="BR168" i="26"/>
  <c r="AS93" i="2"/>
  <c r="BK164" i="37" l="1"/>
  <c r="BR169" i="26"/>
  <c r="AS94" i="2"/>
  <c r="BK165" i="37" l="1"/>
  <c r="BR170" i="26"/>
  <c r="AS95" i="2"/>
  <c r="BR171" i="26" l="1"/>
  <c r="AS96" i="2"/>
  <c r="AS97" i="2" l="1"/>
  <c r="E2" i="1" l="1"/>
  <c r="V132" i="37" l="1"/>
  <c r="J132" i="37"/>
  <c r="K132" i="37" s="1"/>
  <c r="L132" i="37" s="1"/>
  <c r="M132" i="37" s="1"/>
  <c r="N132" i="37" s="1"/>
  <c r="G132" i="37"/>
  <c r="V131" i="37"/>
  <c r="J131" i="37"/>
  <c r="K131" i="37" s="1"/>
  <c r="L131" i="37" s="1"/>
  <c r="M131" i="37" s="1"/>
  <c r="N131" i="37" s="1"/>
  <c r="G131" i="37"/>
  <c r="V130" i="37"/>
  <c r="J130" i="37"/>
  <c r="K130" i="37" s="1"/>
  <c r="L130" i="37" s="1"/>
  <c r="M130" i="37" s="1"/>
  <c r="N130" i="37" s="1"/>
  <c r="G130" i="37"/>
  <c r="V129" i="37"/>
  <c r="J129" i="37"/>
  <c r="K129" i="37" s="1"/>
  <c r="L129" i="37" s="1"/>
  <c r="M129" i="37" s="1"/>
  <c r="N129" i="37" s="1"/>
  <c r="G129" i="37"/>
  <c r="V128" i="37"/>
  <c r="J128" i="37"/>
  <c r="K128" i="37" s="1"/>
  <c r="L128" i="37" s="1"/>
  <c r="M128" i="37" s="1"/>
  <c r="N128" i="37" s="1"/>
  <c r="G128" i="37"/>
  <c r="J127" i="37"/>
  <c r="K127" i="37" s="1"/>
  <c r="L127" i="37" s="1"/>
  <c r="M127" i="37" s="1"/>
  <c r="N127" i="37" s="1"/>
  <c r="G127" i="37"/>
  <c r="J126" i="37"/>
  <c r="K126" i="37" s="1"/>
  <c r="L126" i="37" s="1"/>
  <c r="M126" i="37" s="1"/>
  <c r="N126" i="37" s="1"/>
  <c r="G126" i="37"/>
  <c r="G125" i="37"/>
  <c r="AI115" i="37"/>
  <c r="V115" i="37"/>
  <c r="AF115" i="37" s="1"/>
  <c r="J115" i="37"/>
  <c r="K115" i="37" s="1"/>
  <c r="L115" i="37" s="1"/>
  <c r="M115" i="37" s="1"/>
  <c r="N115" i="37" s="1"/>
  <c r="AI114" i="37"/>
  <c r="V114" i="37"/>
  <c r="J114" i="37"/>
  <c r="K114" i="37" s="1"/>
  <c r="L114" i="37" s="1"/>
  <c r="M114" i="37" s="1"/>
  <c r="N114" i="37" s="1"/>
  <c r="AI113" i="37"/>
  <c r="V113" i="37"/>
  <c r="J113" i="37"/>
  <c r="K113" i="37" s="1"/>
  <c r="L113" i="37" s="1"/>
  <c r="M113" i="37" s="1"/>
  <c r="N113" i="37" s="1"/>
  <c r="AI112" i="37"/>
  <c r="V112" i="37"/>
  <c r="AE112" i="37" s="1"/>
  <c r="J112" i="37"/>
  <c r="K112" i="37" s="1"/>
  <c r="L112" i="37" s="1"/>
  <c r="M112" i="37" s="1"/>
  <c r="N112" i="37" s="1"/>
  <c r="AI111" i="37"/>
  <c r="V111" i="37"/>
  <c r="J111" i="37"/>
  <c r="K111" i="37" s="1"/>
  <c r="L111" i="37" s="1"/>
  <c r="M111" i="37" s="1"/>
  <c r="N111" i="37" s="1"/>
  <c r="AR110" i="37"/>
  <c r="AI110" i="37"/>
  <c r="V110" i="37"/>
  <c r="AE110" i="37" s="1"/>
  <c r="J110" i="37"/>
  <c r="K110" i="37" s="1"/>
  <c r="L110" i="37" s="1"/>
  <c r="M110" i="37" s="1"/>
  <c r="N110" i="37" s="1"/>
  <c r="AR109" i="37"/>
  <c r="AI109" i="37"/>
  <c r="V109" i="37"/>
  <c r="J109" i="37"/>
  <c r="K109" i="37" s="1"/>
  <c r="L109" i="37" s="1"/>
  <c r="M109" i="37" s="1"/>
  <c r="N109" i="37" s="1"/>
  <c r="AR108" i="37"/>
  <c r="AI108" i="37"/>
  <c r="V108" i="37"/>
  <c r="AE108" i="37" s="1"/>
  <c r="J108" i="37"/>
  <c r="K108" i="37" s="1"/>
  <c r="L108" i="37" s="1"/>
  <c r="M108" i="37" s="1"/>
  <c r="N108" i="37" s="1"/>
  <c r="AR107" i="37"/>
  <c r="AI107" i="37"/>
  <c r="V107" i="37"/>
  <c r="J107" i="37"/>
  <c r="K107" i="37" s="1"/>
  <c r="L107" i="37" s="1"/>
  <c r="M107" i="37" s="1"/>
  <c r="N107" i="37" s="1"/>
  <c r="AR106" i="37"/>
  <c r="J106" i="37"/>
  <c r="K106" i="37" s="1"/>
  <c r="L106" i="37" s="1"/>
  <c r="M106" i="37" s="1"/>
  <c r="N106" i="37" s="1"/>
  <c r="AR105" i="37"/>
  <c r="J105" i="37"/>
  <c r="K105" i="37" s="1"/>
  <c r="L105" i="37" s="1"/>
  <c r="M105" i="37" s="1"/>
  <c r="N105" i="37" s="1"/>
  <c r="AR104" i="37"/>
  <c r="AI97" i="37"/>
  <c r="V97" i="37"/>
  <c r="AF97" i="37" s="1"/>
  <c r="J97" i="37"/>
  <c r="K97" i="37" s="1"/>
  <c r="L97" i="37" s="1"/>
  <c r="M97" i="37" s="1"/>
  <c r="N97" i="37" s="1"/>
  <c r="G97" i="37"/>
  <c r="AI96" i="37"/>
  <c r="V96" i="37"/>
  <c r="AE96" i="37" s="1"/>
  <c r="J96" i="37"/>
  <c r="K96" i="37" s="1"/>
  <c r="L96" i="37" s="1"/>
  <c r="M96" i="37" s="1"/>
  <c r="N96" i="37" s="1"/>
  <c r="G96" i="37"/>
  <c r="AR95" i="37"/>
  <c r="AI95" i="37"/>
  <c r="V95" i="37"/>
  <c r="J95" i="37"/>
  <c r="K95" i="37" s="1"/>
  <c r="L95" i="37" s="1"/>
  <c r="M95" i="37" s="1"/>
  <c r="N95" i="37" s="1"/>
  <c r="G95" i="37"/>
  <c r="AR94" i="37"/>
  <c r="AI94" i="37"/>
  <c r="V94" i="37"/>
  <c r="AE94" i="37" s="1"/>
  <c r="J94" i="37"/>
  <c r="K94" i="37" s="1"/>
  <c r="L94" i="37" s="1"/>
  <c r="M94" i="37" s="1"/>
  <c r="N94" i="37" s="1"/>
  <c r="G94" i="37"/>
  <c r="AR93" i="37"/>
  <c r="AI93" i="37"/>
  <c r="V93" i="37"/>
  <c r="AE93" i="37" s="1"/>
  <c r="J93" i="37"/>
  <c r="K93" i="37" s="1"/>
  <c r="L93" i="37" s="1"/>
  <c r="M93" i="37" s="1"/>
  <c r="N93" i="37" s="1"/>
  <c r="G93" i="37"/>
  <c r="AR92" i="37"/>
  <c r="J92" i="37"/>
  <c r="K92" i="37" s="1"/>
  <c r="L92" i="37" s="1"/>
  <c r="M92" i="37" s="1"/>
  <c r="N92" i="37" s="1"/>
  <c r="G92" i="37"/>
  <c r="AR91" i="37"/>
  <c r="J91" i="37"/>
  <c r="K91" i="37" s="1"/>
  <c r="L91" i="37" s="1"/>
  <c r="M91" i="37" s="1"/>
  <c r="N91" i="37" s="1"/>
  <c r="G91" i="37"/>
  <c r="AR90" i="37"/>
  <c r="G90" i="37"/>
  <c r="C90" i="37"/>
  <c r="AM84" i="37"/>
  <c r="AN84" i="37" s="1"/>
  <c r="AO84" i="37" s="1"/>
  <c r="D2" i="37"/>
  <c r="AF114" i="37" l="1"/>
  <c r="AR96" i="37"/>
  <c r="AR111" i="37"/>
  <c r="AR113" i="37"/>
  <c r="AR97" i="37"/>
  <c r="AR114" i="37"/>
  <c r="AR115" i="37"/>
  <c r="AR112" i="37"/>
  <c r="AE114" i="37"/>
  <c r="BJ21" i="37"/>
  <c r="AF109" i="37"/>
  <c r="AF111" i="37"/>
  <c r="AE97" i="37"/>
  <c r="AF108" i="37"/>
  <c r="AE109" i="37"/>
  <c r="AF112" i="37"/>
  <c r="AF107" i="37"/>
  <c r="AF94" i="37"/>
  <c r="AH96" i="37"/>
  <c r="O95" i="37"/>
  <c r="P95" i="37" s="1"/>
  <c r="Q95" i="37" s="1"/>
  <c r="AH92" i="37"/>
  <c r="AI92" i="37" s="1"/>
  <c r="J90" i="37"/>
  <c r="K90" i="37" s="1"/>
  <c r="L90" i="37" s="1"/>
  <c r="M90" i="37" s="1"/>
  <c r="N90" i="37" s="1"/>
  <c r="AH95" i="37"/>
  <c r="O94" i="37"/>
  <c r="P94" i="37" s="1"/>
  <c r="Q94" i="37" s="1"/>
  <c r="AH91" i="37"/>
  <c r="AI91" i="37" s="1"/>
  <c r="AH90" i="37"/>
  <c r="AH97" i="37"/>
  <c r="O96" i="37"/>
  <c r="P96" i="37" s="1"/>
  <c r="Q96" i="37" s="1"/>
  <c r="O93" i="37"/>
  <c r="P93" i="37" s="1"/>
  <c r="Q93" i="37" s="1"/>
  <c r="O91" i="37"/>
  <c r="P91" i="37" s="1"/>
  <c r="Q91" i="37" s="1"/>
  <c r="AH93" i="37"/>
  <c r="O92" i="37"/>
  <c r="P92" i="37" s="1"/>
  <c r="Q92" i="37" s="1"/>
  <c r="AH94" i="37"/>
  <c r="O90" i="37"/>
  <c r="P90" i="37" s="1"/>
  <c r="AF95" i="37"/>
  <c r="AE95" i="37"/>
  <c r="O97" i="37"/>
  <c r="P97" i="37" s="1"/>
  <c r="Q97" i="37" s="1"/>
  <c r="AF93" i="37"/>
  <c r="AF131" i="37"/>
  <c r="AF128" i="37"/>
  <c r="AF129" i="37"/>
  <c r="AF113" i="37"/>
  <c r="AE113" i="37"/>
  <c r="AF96" i="37"/>
  <c r="AE107" i="37"/>
  <c r="AF110" i="37"/>
  <c r="AE111" i="37"/>
  <c r="AF132" i="37"/>
  <c r="AE115" i="37"/>
  <c r="AF130" i="37"/>
  <c r="AF125" i="35"/>
  <c r="AF124" i="35"/>
  <c r="AF123" i="35"/>
  <c r="AF122" i="35"/>
  <c r="AF121" i="35"/>
  <c r="AF120" i="35"/>
  <c r="AF119" i="35"/>
  <c r="AF118" i="35"/>
  <c r="AF117" i="35"/>
  <c r="AF116" i="35"/>
  <c r="AF115" i="35"/>
  <c r="AF114" i="35"/>
  <c r="AF113" i="35"/>
  <c r="AF112" i="35"/>
  <c r="AF111" i="35"/>
  <c r="AF110" i="35"/>
  <c r="AF109" i="35"/>
  <c r="AF108" i="35"/>
  <c r="AF107" i="35"/>
  <c r="D78" i="37" l="1"/>
  <c r="BF78" i="37"/>
  <c r="Q90" i="37"/>
  <c r="S90" i="37" s="1"/>
  <c r="T90" i="37" s="1"/>
  <c r="R91" i="37" s="1"/>
  <c r="S91" i="37" s="1"/>
  <c r="AJ94" i="37"/>
  <c r="AK94" i="37" s="1"/>
  <c r="AL94" i="37" s="1"/>
  <c r="AM94" i="37"/>
  <c r="AN94" i="37" s="1"/>
  <c r="AO94" i="37" s="1"/>
  <c r="AM91" i="37"/>
  <c r="AN91" i="37" s="1"/>
  <c r="AO91" i="37" s="1"/>
  <c r="AJ91" i="37"/>
  <c r="AK91" i="37" s="1"/>
  <c r="AL91" i="37" s="1"/>
  <c r="AJ93" i="37"/>
  <c r="AK93" i="37" s="1"/>
  <c r="AL93" i="37" s="1"/>
  <c r="AM93" i="37"/>
  <c r="AN93" i="37" s="1"/>
  <c r="AO93" i="37" s="1"/>
  <c r="AJ97" i="37"/>
  <c r="AK97" i="37" s="1"/>
  <c r="AL97" i="37" s="1"/>
  <c r="AM97" i="37"/>
  <c r="AN97" i="37" s="1"/>
  <c r="AO97" i="37" s="1"/>
  <c r="AM95" i="37"/>
  <c r="AN95" i="37" s="1"/>
  <c r="AO95" i="37" s="1"/>
  <c r="AJ95" i="37"/>
  <c r="AK95" i="37" s="1"/>
  <c r="AL95" i="37" s="1"/>
  <c r="AJ96" i="37"/>
  <c r="AK96" i="37" s="1"/>
  <c r="AL96" i="37" s="1"/>
  <c r="AM96" i="37"/>
  <c r="AN96" i="37" s="1"/>
  <c r="AO96" i="37" s="1"/>
  <c r="AM92" i="37"/>
  <c r="AN92" i="37" s="1"/>
  <c r="AO92" i="37" s="1"/>
  <c r="AJ92" i="37"/>
  <c r="AK92" i="37" s="1"/>
  <c r="AL92" i="37" s="1"/>
  <c r="AM90" i="37"/>
  <c r="AN90" i="37" s="1"/>
  <c r="AO90" i="37" s="1"/>
  <c r="AI90" i="37"/>
  <c r="AI98" i="37" s="1"/>
  <c r="AJ90" i="37"/>
  <c r="AK90" i="37" s="1"/>
  <c r="AL90" i="37" s="1"/>
  <c r="BN44" i="1"/>
  <c r="V90" i="37" l="1"/>
  <c r="AT90" i="37" s="1"/>
  <c r="AS90" i="37"/>
  <c r="AS95" i="37"/>
  <c r="AT95" i="37"/>
  <c r="AV95" i="37" s="1"/>
  <c r="AS92" i="37"/>
  <c r="AS96" i="37"/>
  <c r="AT96" i="37"/>
  <c r="AV96" i="37" s="1"/>
  <c r="AS97" i="37"/>
  <c r="AT97" i="37"/>
  <c r="AV97" i="37" s="1"/>
  <c r="T91" i="37"/>
  <c r="S92" i="37"/>
  <c r="AT94" i="37"/>
  <c r="AV94" i="37" s="1"/>
  <c r="AS94" i="37"/>
  <c r="X91" i="37"/>
  <c r="Z91" i="37" s="1"/>
  <c r="C104" i="37"/>
  <c r="AS93" i="37"/>
  <c r="AT93" i="37"/>
  <c r="AV93" i="37" s="1"/>
  <c r="AS91" i="37"/>
  <c r="BG54" i="35"/>
  <c r="AV102" i="35"/>
  <c r="V125" i="35"/>
  <c r="X125" i="35" s="1"/>
  <c r="J125" i="35"/>
  <c r="K125" i="35" s="1"/>
  <c r="L125" i="35" s="1"/>
  <c r="M125" i="35" s="1"/>
  <c r="N125" i="35" s="1"/>
  <c r="G125" i="35"/>
  <c r="V124" i="35"/>
  <c r="J124" i="35"/>
  <c r="K124" i="35" s="1"/>
  <c r="L124" i="35" s="1"/>
  <c r="M124" i="35" s="1"/>
  <c r="N124" i="35" s="1"/>
  <c r="G124" i="35"/>
  <c r="V123" i="35"/>
  <c r="J123" i="35"/>
  <c r="K123" i="35" s="1"/>
  <c r="L123" i="35" s="1"/>
  <c r="M123" i="35" s="1"/>
  <c r="N123" i="35" s="1"/>
  <c r="G123" i="35"/>
  <c r="V122" i="35"/>
  <c r="J122" i="35"/>
  <c r="K122" i="35" s="1"/>
  <c r="L122" i="35" s="1"/>
  <c r="M122" i="35" s="1"/>
  <c r="N122" i="35" s="1"/>
  <c r="G122" i="35"/>
  <c r="V121" i="35"/>
  <c r="J121" i="35"/>
  <c r="K121" i="35" s="1"/>
  <c r="L121" i="35" s="1"/>
  <c r="M121" i="35" s="1"/>
  <c r="N121" i="35" s="1"/>
  <c r="G121" i="35"/>
  <c r="V120" i="35"/>
  <c r="J120" i="35"/>
  <c r="K120" i="35" s="1"/>
  <c r="L120" i="35" s="1"/>
  <c r="M120" i="35" s="1"/>
  <c r="N120" i="35" s="1"/>
  <c r="G120" i="35"/>
  <c r="V119" i="35"/>
  <c r="J119" i="35"/>
  <c r="K119" i="35" s="1"/>
  <c r="L119" i="35" s="1"/>
  <c r="M119" i="35" s="1"/>
  <c r="N119" i="35" s="1"/>
  <c r="G119" i="35"/>
  <c r="V118" i="35"/>
  <c r="J118" i="35"/>
  <c r="K118" i="35" s="1"/>
  <c r="L118" i="35" s="1"/>
  <c r="M118" i="35" s="1"/>
  <c r="N118" i="35" s="1"/>
  <c r="G118" i="35"/>
  <c r="V117" i="35"/>
  <c r="J117" i="35"/>
  <c r="K117" i="35" s="1"/>
  <c r="L117" i="35" s="1"/>
  <c r="M117" i="35" s="1"/>
  <c r="N117" i="35" s="1"/>
  <c r="G117" i="35"/>
  <c r="V116" i="35"/>
  <c r="J116" i="35"/>
  <c r="K116" i="35" s="1"/>
  <c r="L116" i="35" s="1"/>
  <c r="M116" i="35" s="1"/>
  <c r="N116" i="35" s="1"/>
  <c r="G116" i="35"/>
  <c r="V115" i="35"/>
  <c r="J115" i="35"/>
  <c r="K115" i="35" s="1"/>
  <c r="L115" i="35" s="1"/>
  <c r="M115" i="35" s="1"/>
  <c r="N115" i="35" s="1"/>
  <c r="G115" i="35"/>
  <c r="V114" i="35"/>
  <c r="J114" i="35"/>
  <c r="K114" i="35" s="1"/>
  <c r="L114" i="35" s="1"/>
  <c r="M114" i="35" s="1"/>
  <c r="N114" i="35" s="1"/>
  <c r="G114" i="35"/>
  <c r="V113" i="35"/>
  <c r="J113" i="35"/>
  <c r="K113" i="35" s="1"/>
  <c r="L113" i="35" s="1"/>
  <c r="M113" i="35" s="1"/>
  <c r="N113" i="35" s="1"/>
  <c r="G113" i="35"/>
  <c r="V112" i="35"/>
  <c r="J112" i="35"/>
  <c r="K112" i="35" s="1"/>
  <c r="L112" i="35" s="1"/>
  <c r="M112" i="35" s="1"/>
  <c r="N112" i="35" s="1"/>
  <c r="G112" i="35"/>
  <c r="V111" i="35"/>
  <c r="J111" i="35"/>
  <c r="K111" i="35" s="1"/>
  <c r="L111" i="35" s="1"/>
  <c r="M111" i="35" s="1"/>
  <c r="N111" i="35" s="1"/>
  <c r="G111" i="35"/>
  <c r="V110" i="35"/>
  <c r="J110" i="35"/>
  <c r="K110" i="35" s="1"/>
  <c r="L110" i="35" s="1"/>
  <c r="M110" i="35" s="1"/>
  <c r="N110" i="35" s="1"/>
  <c r="G110" i="35"/>
  <c r="V109" i="35"/>
  <c r="J109" i="35"/>
  <c r="K109" i="35" s="1"/>
  <c r="L109" i="35" s="1"/>
  <c r="M109" i="35" s="1"/>
  <c r="N109" i="35" s="1"/>
  <c r="G109" i="35"/>
  <c r="J108" i="35"/>
  <c r="K108" i="35" s="1"/>
  <c r="L108" i="35" s="1"/>
  <c r="M108" i="35" s="1"/>
  <c r="N108" i="35" s="1"/>
  <c r="G108" i="35"/>
  <c r="J107" i="35"/>
  <c r="K107" i="35" s="1"/>
  <c r="L107" i="35" s="1"/>
  <c r="M107" i="35" s="1"/>
  <c r="N107" i="35" s="1"/>
  <c r="G107" i="35"/>
  <c r="G106" i="35"/>
  <c r="C106" i="35"/>
  <c r="O116" i="35" s="1"/>
  <c r="P116" i="35" s="1"/>
  <c r="U101" i="35"/>
  <c r="V101" i="35" s="1"/>
  <c r="W101" i="35" s="1"/>
  <c r="BF87" i="35"/>
  <c r="B14" i="35"/>
  <c r="C14" i="35" s="1"/>
  <c r="D2" i="35"/>
  <c r="R92" i="37" l="1"/>
  <c r="V91" i="37"/>
  <c r="AE90" i="37"/>
  <c r="AX93" i="37"/>
  <c r="AZ93" i="37" s="1"/>
  <c r="BB93" i="37" s="1"/>
  <c r="AX96" i="37"/>
  <c r="AZ96" i="37" s="1"/>
  <c r="BB96" i="37" s="1"/>
  <c r="AX95" i="37"/>
  <c r="AZ95" i="37" s="1"/>
  <c r="BB95" i="37" s="1"/>
  <c r="AW97" i="37"/>
  <c r="AY97" i="37" s="1"/>
  <c r="BA97" i="37" s="1"/>
  <c r="AW94" i="37"/>
  <c r="AY94" i="37" s="1"/>
  <c r="BA94" i="37" s="1"/>
  <c r="S93" i="37"/>
  <c r="T92" i="37"/>
  <c r="AW93" i="37"/>
  <c r="AY93" i="37" s="1"/>
  <c r="BA93" i="37" s="1"/>
  <c r="AX94" i="37"/>
  <c r="AZ94" i="37" s="1"/>
  <c r="BB94" i="37" s="1"/>
  <c r="AW96" i="37"/>
  <c r="AY96" i="37" s="1"/>
  <c r="BA96" i="37" s="1"/>
  <c r="AW95" i="37"/>
  <c r="AY95" i="37" s="1"/>
  <c r="BA95" i="37" s="1"/>
  <c r="AH114" i="37"/>
  <c r="O113" i="37"/>
  <c r="P113" i="37" s="1"/>
  <c r="Q113" i="37" s="1"/>
  <c r="AH113" i="37"/>
  <c r="O112" i="37"/>
  <c r="P112" i="37" s="1"/>
  <c r="Q112" i="37" s="1"/>
  <c r="O115" i="37"/>
  <c r="P115" i="37" s="1"/>
  <c r="Q115" i="37" s="1"/>
  <c r="O114" i="37"/>
  <c r="P114" i="37" s="1"/>
  <c r="Q114" i="37" s="1"/>
  <c r="AH110" i="37"/>
  <c r="O109" i="37"/>
  <c r="P109" i="37" s="1"/>
  <c r="Q109" i="37" s="1"/>
  <c r="AH106" i="37"/>
  <c r="AI106" i="37" s="1"/>
  <c r="O105" i="37"/>
  <c r="P105" i="37" s="1"/>
  <c r="Q105" i="37" s="1"/>
  <c r="J104" i="37"/>
  <c r="P104" i="37" s="1"/>
  <c r="Q104" i="37" s="1"/>
  <c r="S104" i="37" s="1"/>
  <c r="T104" i="37" s="1"/>
  <c r="AH109" i="37"/>
  <c r="O108" i="37"/>
  <c r="P108" i="37" s="1"/>
  <c r="Q108" i="37" s="1"/>
  <c r="AH105" i="37"/>
  <c r="AI105" i="37" s="1"/>
  <c r="AH108" i="37"/>
  <c r="O111" i="37"/>
  <c r="P111" i="37" s="1"/>
  <c r="Q111" i="37" s="1"/>
  <c r="O106" i="37"/>
  <c r="P106" i="37" s="1"/>
  <c r="Q106" i="37" s="1"/>
  <c r="AH115" i="37"/>
  <c r="AH111" i="37"/>
  <c r="AH107" i="37"/>
  <c r="AH104" i="37"/>
  <c r="AH112" i="37"/>
  <c r="O110" i="37"/>
  <c r="P110" i="37" s="1"/>
  <c r="Q110" i="37" s="1"/>
  <c r="O107" i="37"/>
  <c r="P107" i="37" s="1"/>
  <c r="Q107" i="37" s="1"/>
  <c r="AX97" i="37"/>
  <c r="AZ97" i="37" s="1"/>
  <c r="BB97" i="37" s="1"/>
  <c r="AV103" i="35"/>
  <c r="AV104" i="35" s="1"/>
  <c r="O108" i="35"/>
  <c r="P108" i="35" s="1"/>
  <c r="Q108" i="35" s="1"/>
  <c r="Y110" i="35"/>
  <c r="Z110" i="35" s="1"/>
  <c r="AA110" i="35" s="1"/>
  <c r="AB110" i="35" s="1"/>
  <c r="O111" i="35"/>
  <c r="P111" i="35" s="1"/>
  <c r="Q111" i="35" s="1"/>
  <c r="X122" i="35"/>
  <c r="X116" i="35"/>
  <c r="X115" i="35"/>
  <c r="Q116" i="35"/>
  <c r="X117" i="35"/>
  <c r="X121" i="35"/>
  <c r="X114" i="35"/>
  <c r="X113" i="35"/>
  <c r="X109" i="35"/>
  <c r="X111" i="35"/>
  <c r="Y124" i="35"/>
  <c r="O124" i="35"/>
  <c r="P124" i="35" s="1"/>
  <c r="Q124" i="35" s="1"/>
  <c r="Y120" i="35"/>
  <c r="O120" i="35"/>
  <c r="P120" i="35" s="1"/>
  <c r="Q120" i="35" s="1"/>
  <c r="Y125" i="35"/>
  <c r="O125" i="35"/>
  <c r="P125" i="35" s="1"/>
  <c r="Q125" i="35" s="1"/>
  <c r="Y123" i="35"/>
  <c r="O123" i="35"/>
  <c r="P123" i="35" s="1"/>
  <c r="Q123" i="35" s="1"/>
  <c r="Y119" i="35"/>
  <c r="O119" i="35"/>
  <c r="P119" i="35" s="1"/>
  <c r="Q119" i="35" s="1"/>
  <c r="Y122" i="35"/>
  <c r="Y118" i="35"/>
  <c r="O118" i="35"/>
  <c r="P118" i="35" s="1"/>
  <c r="Q118" i="35" s="1"/>
  <c r="Y114" i="35"/>
  <c r="O114" i="35"/>
  <c r="P114" i="35" s="1"/>
  <c r="Q114" i="35" s="1"/>
  <c r="O121" i="35"/>
  <c r="P121" i="35" s="1"/>
  <c r="Q121" i="35" s="1"/>
  <c r="Y117" i="35"/>
  <c r="O117" i="35"/>
  <c r="P117" i="35" s="1"/>
  <c r="Q117" i="35" s="1"/>
  <c r="Y113" i="35"/>
  <c r="O113" i="35"/>
  <c r="P113" i="35" s="1"/>
  <c r="Q113" i="35" s="1"/>
  <c r="Y121" i="35"/>
  <c r="Y116" i="35"/>
  <c r="Y111" i="35"/>
  <c r="Y107" i="35"/>
  <c r="O107" i="35"/>
  <c r="P107" i="35" s="1"/>
  <c r="Q107" i="35" s="1"/>
  <c r="O122" i="35"/>
  <c r="P122" i="35" s="1"/>
  <c r="Q122" i="35" s="1"/>
  <c r="Y115" i="35"/>
  <c r="Y112" i="35"/>
  <c r="Y109" i="35"/>
  <c r="O109" i="35"/>
  <c r="P109" i="35" s="1"/>
  <c r="Q109" i="35" s="1"/>
  <c r="O106" i="35"/>
  <c r="P106" i="35" s="1"/>
  <c r="O115" i="35"/>
  <c r="P115" i="35" s="1"/>
  <c r="Q115" i="35" s="1"/>
  <c r="O112" i="35"/>
  <c r="P112" i="35" s="1"/>
  <c r="Q112" i="35" s="1"/>
  <c r="O110" i="35"/>
  <c r="P110" i="35" s="1"/>
  <c r="Q110" i="35" s="1"/>
  <c r="Y106" i="35"/>
  <c r="J106" i="35"/>
  <c r="K106" i="35" s="1"/>
  <c r="L106" i="35" s="1"/>
  <c r="M106" i="35" s="1"/>
  <c r="N106" i="35" s="1"/>
  <c r="Y108" i="35"/>
  <c r="X112" i="35"/>
  <c r="X110" i="35"/>
  <c r="X118" i="35"/>
  <c r="X119" i="35"/>
  <c r="X120" i="35"/>
  <c r="X123" i="35"/>
  <c r="X124" i="35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122" i="26"/>
  <c r="G121" i="26"/>
  <c r="G120" i="26"/>
  <c r="G119" i="26"/>
  <c r="G118" i="26"/>
  <c r="G117" i="26"/>
  <c r="G116" i="26"/>
  <c r="G115" i="26"/>
  <c r="R93" i="37" l="1"/>
  <c r="V92" i="37"/>
  <c r="AF91" i="37" s="1"/>
  <c r="AE91" i="37"/>
  <c r="AT91" i="37"/>
  <c r="S94" i="37"/>
  <c r="T93" i="37"/>
  <c r="R94" i="37" s="1"/>
  <c r="AJ104" i="37"/>
  <c r="AK104" i="37" s="1"/>
  <c r="AL104" i="37" s="1"/>
  <c r="AM104" i="37"/>
  <c r="AN104" i="37" s="1"/>
  <c r="AO104" i="37" s="1"/>
  <c r="AI104" i="37"/>
  <c r="AI116" i="37" s="1"/>
  <c r="AJ106" i="37"/>
  <c r="AK106" i="37" s="1"/>
  <c r="AL106" i="37" s="1"/>
  <c r="AM106" i="37"/>
  <c r="AN106" i="37" s="1"/>
  <c r="AO106" i="37" s="1"/>
  <c r="AJ114" i="37"/>
  <c r="AK114" i="37" s="1"/>
  <c r="AL114" i="37" s="1"/>
  <c r="AM114" i="37"/>
  <c r="AN114" i="37" s="1"/>
  <c r="AO114" i="37" s="1"/>
  <c r="AJ111" i="37"/>
  <c r="AK111" i="37" s="1"/>
  <c r="AL111" i="37" s="1"/>
  <c r="AM111" i="37"/>
  <c r="AN111" i="37" s="1"/>
  <c r="AO111" i="37" s="1"/>
  <c r="AJ108" i="37"/>
  <c r="AK108" i="37" s="1"/>
  <c r="AL108" i="37" s="1"/>
  <c r="AM108" i="37"/>
  <c r="AN108" i="37" s="1"/>
  <c r="AO108" i="37" s="1"/>
  <c r="R105" i="37"/>
  <c r="S105" i="37" s="1"/>
  <c r="V104" i="37"/>
  <c r="AM110" i="37"/>
  <c r="AN110" i="37" s="1"/>
  <c r="AO110" i="37" s="1"/>
  <c r="AJ110" i="37"/>
  <c r="AK110" i="37" s="1"/>
  <c r="AL110" i="37" s="1"/>
  <c r="AM113" i="37"/>
  <c r="AN113" i="37" s="1"/>
  <c r="AO113" i="37" s="1"/>
  <c r="AJ113" i="37"/>
  <c r="AK113" i="37" s="1"/>
  <c r="AL113" i="37" s="1"/>
  <c r="AJ112" i="37"/>
  <c r="AK112" i="37" s="1"/>
  <c r="AL112" i="37" s="1"/>
  <c r="AM112" i="37"/>
  <c r="AN112" i="37" s="1"/>
  <c r="AO112" i="37" s="1"/>
  <c r="AJ115" i="37"/>
  <c r="AK115" i="37" s="1"/>
  <c r="AL115" i="37" s="1"/>
  <c r="AM115" i="37"/>
  <c r="AN115" i="37" s="1"/>
  <c r="AO115" i="37" s="1"/>
  <c r="AM105" i="37"/>
  <c r="AN105" i="37" s="1"/>
  <c r="AO105" i="37" s="1"/>
  <c r="AJ105" i="37"/>
  <c r="AK105" i="37" s="1"/>
  <c r="AL105" i="37" s="1"/>
  <c r="AJ107" i="37"/>
  <c r="AK107" i="37" s="1"/>
  <c r="AL107" i="37" s="1"/>
  <c r="AM107" i="37"/>
  <c r="AN107" i="37" s="1"/>
  <c r="AO107" i="37" s="1"/>
  <c r="AM109" i="37"/>
  <c r="AN109" i="37" s="1"/>
  <c r="AO109" i="37" s="1"/>
  <c r="AJ109" i="37"/>
  <c r="AK109" i="37" s="1"/>
  <c r="AL109" i="37" s="1"/>
  <c r="AC110" i="35"/>
  <c r="AD110" i="35" s="1"/>
  <c r="AE110" i="35" s="1"/>
  <c r="AH110" i="35" s="1"/>
  <c r="AI110" i="35" s="1"/>
  <c r="Q106" i="35"/>
  <c r="S106" i="35" s="1"/>
  <c r="T106" i="35" s="1"/>
  <c r="R107" i="35" s="1"/>
  <c r="S107" i="35" s="1"/>
  <c r="Z106" i="35"/>
  <c r="AA106" i="35" s="1"/>
  <c r="AB106" i="35" s="1"/>
  <c r="AC106" i="35"/>
  <c r="AD106" i="35" s="1"/>
  <c r="AE106" i="35" s="1"/>
  <c r="Z115" i="35"/>
  <c r="AA115" i="35" s="1"/>
  <c r="AB115" i="35" s="1"/>
  <c r="AC115" i="35"/>
  <c r="AD115" i="35" s="1"/>
  <c r="AE115" i="35" s="1"/>
  <c r="Z111" i="35"/>
  <c r="AA111" i="35" s="1"/>
  <c r="AB111" i="35" s="1"/>
  <c r="AC111" i="35"/>
  <c r="AD111" i="35" s="1"/>
  <c r="AE111" i="35" s="1"/>
  <c r="AC113" i="35"/>
  <c r="AD113" i="35" s="1"/>
  <c r="AE113" i="35" s="1"/>
  <c r="Z113" i="35"/>
  <c r="AA113" i="35" s="1"/>
  <c r="AB113" i="35" s="1"/>
  <c r="Z122" i="35"/>
  <c r="AA122" i="35" s="1"/>
  <c r="AB122" i="35" s="1"/>
  <c r="AC122" i="35"/>
  <c r="AD122" i="35" s="1"/>
  <c r="AE122" i="35" s="1"/>
  <c r="AC114" i="35"/>
  <c r="AD114" i="35" s="1"/>
  <c r="AE114" i="35" s="1"/>
  <c r="Z114" i="35"/>
  <c r="AA114" i="35" s="1"/>
  <c r="AB114" i="35" s="1"/>
  <c r="Z108" i="35"/>
  <c r="AA108" i="35" s="1"/>
  <c r="AB108" i="35" s="1"/>
  <c r="AC108" i="35"/>
  <c r="AD108" i="35" s="1"/>
  <c r="AE108" i="35" s="1"/>
  <c r="AC109" i="35"/>
  <c r="AD109" i="35" s="1"/>
  <c r="AE109" i="35" s="1"/>
  <c r="Z109" i="35"/>
  <c r="AA109" i="35" s="1"/>
  <c r="AB109" i="35" s="1"/>
  <c r="Z121" i="35"/>
  <c r="AA121" i="35" s="1"/>
  <c r="AB121" i="35" s="1"/>
  <c r="AC121" i="35"/>
  <c r="AD121" i="35" s="1"/>
  <c r="AE121" i="35" s="1"/>
  <c r="AC117" i="35"/>
  <c r="AD117" i="35" s="1"/>
  <c r="AE117" i="35" s="1"/>
  <c r="Z117" i="35"/>
  <c r="AA117" i="35" s="1"/>
  <c r="AB117" i="35" s="1"/>
  <c r="AC119" i="35"/>
  <c r="AD119" i="35" s="1"/>
  <c r="AE119" i="35" s="1"/>
  <c r="Z119" i="35"/>
  <c r="AA119" i="35" s="1"/>
  <c r="AB119" i="35" s="1"/>
  <c r="Z125" i="35"/>
  <c r="AA125" i="35" s="1"/>
  <c r="AB125" i="35" s="1"/>
  <c r="AC125" i="35"/>
  <c r="AD125" i="35" s="1"/>
  <c r="AE125" i="35" s="1"/>
  <c r="AC124" i="35"/>
  <c r="AD124" i="35" s="1"/>
  <c r="AE124" i="35" s="1"/>
  <c r="Z124" i="35"/>
  <c r="AA124" i="35" s="1"/>
  <c r="AB124" i="35" s="1"/>
  <c r="AV105" i="35"/>
  <c r="AC123" i="35"/>
  <c r="AD123" i="35" s="1"/>
  <c r="AE123" i="35" s="1"/>
  <c r="Z123" i="35"/>
  <c r="AA123" i="35" s="1"/>
  <c r="AB123" i="35" s="1"/>
  <c r="AC120" i="35"/>
  <c r="AD120" i="35" s="1"/>
  <c r="AE120" i="35" s="1"/>
  <c r="Z120" i="35"/>
  <c r="AA120" i="35" s="1"/>
  <c r="AB120" i="35" s="1"/>
  <c r="AC116" i="35"/>
  <c r="AD116" i="35" s="1"/>
  <c r="AE116" i="35" s="1"/>
  <c r="Z116" i="35"/>
  <c r="AA116" i="35" s="1"/>
  <c r="AB116" i="35" s="1"/>
  <c r="AC112" i="35"/>
  <c r="AD112" i="35" s="1"/>
  <c r="AE112" i="35" s="1"/>
  <c r="Z112" i="35"/>
  <c r="AA112" i="35" s="1"/>
  <c r="AB112" i="35" s="1"/>
  <c r="AC107" i="35"/>
  <c r="AD107" i="35" s="1"/>
  <c r="AE107" i="35" s="1"/>
  <c r="Z107" i="35"/>
  <c r="AA107" i="35" s="1"/>
  <c r="AB107" i="35" s="1"/>
  <c r="AC118" i="35"/>
  <c r="AD118" i="35" s="1"/>
  <c r="AE118" i="35" s="1"/>
  <c r="Z118" i="35"/>
  <c r="AA118" i="35" s="1"/>
  <c r="AB118" i="35" s="1"/>
  <c r="AQ98" i="26"/>
  <c r="AQ94" i="26"/>
  <c r="J95" i="26"/>
  <c r="J96" i="26"/>
  <c r="J97" i="26"/>
  <c r="J98" i="26"/>
  <c r="J99" i="26"/>
  <c r="J100" i="26"/>
  <c r="J101" i="26"/>
  <c r="J102" i="26"/>
  <c r="J103" i="26"/>
  <c r="J104" i="26"/>
  <c r="J105" i="26"/>
  <c r="D2" i="26"/>
  <c r="AV91" i="37" l="1"/>
  <c r="AE92" i="37"/>
  <c r="AF92" i="37"/>
  <c r="AT92" i="37"/>
  <c r="T86" i="37"/>
  <c r="AF90" i="37"/>
  <c r="AV90" i="37" s="1"/>
  <c r="V106" i="35"/>
  <c r="AH106" i="35" s="1"/>
  <c r="AS104" i="37"/>
  <c r="AS113" i="37"/>
  <c r="AT113" i="37"/>
  <c r="AV113" i="37" s="1"/>
  <c r="AS109" i="37"/>
  <c r="AT109" i="37"/>
  <c r="AV109" i="37" s="1"/>
  <c r="AS112" i="37"/>
  <c r="AT112" i="37"/>
  <c r="AV112" i="37" s="1"/>
  <c r="AS106" i="37"/>
  <c r="S106" i="37"/>
  <c r="T105" i="37"/>
  <c r="AS108" i="37"/>
  <c r="AT108" i="37"/>
  <c r="AV108" i="37" s="1"/>
  <c r="AS107" i="37"/>
  <c r="AT107" i="37"/>
  <c r="AV107" i="37" s="1"/>
  <c r="AS105" i="37"/>
  <c r="AS110" i="37"/>
  <c r="AT110" i="37"/>
  <c r="AV110" i="37" s="1"/>
  <c r="AS115" i="37"/>
  <c r="AT115" i="37"/>
  <c r="AV115" i="37" s="1"/>
  <c r="AE104" i="37"/>
  <c r="AT104" i="37"/>
  <c r="AS111" i="37"/>
  <c r="AT111" i="37"/>
  <c r="AV111" i="37" s="1"/>
  <c r="AT114" i="37"/>
  <c r="AV114" i="37" s="1"/>
  <c r="AS114" i="37"/>
  <c r="C125" i="37"/>
  <c r="X104" i="37"/>
  <c r="Z104" i="37" s="1"/>
  <c r="S95" i="37"/>
  <c r="T94" i="37"/>
  <c r="R95" i="37" s="1"/>
  <c r="AG110" i="35"/>
  <c r="AJ110" i="35" s="1"/>
  <c r="AL110" i="35" s="1"/>
  <c r="AN110" i="35" s="1"/>
  <c r="AG107" i="35"/>
  <c r="AG120" i="35"/>
  <c r="AH120" i="35"/>
  <c r="AI120" i="35" s="1"/>
  <c r="AH112" i="35"/>
  <c r="AI112" i="35" s="1"/>
  <c r="AG112" i="35"/>
  <c r="T107" i="35"/>
  <c r="S108" i="35"/>
  <c r="AG121" i="35"/>
  <c r="AH121" i="35"/>
  <c r="AI121" i="35" s="1"/>
  <c r="AG108" i="35"/>
  <c r="AG122" i="35"/>
  <c r="AH122" i="35"/>
  <c r="AI122" i="35" s="1"/>
  <c r="AH111" i="35"/>
  <c r="AI111" i="35" s="1"/>
  <c r="AG111" i="35"/>
  <c r="AG106" i="35"/>
  <c r="AG124" i="35"/>
  <c r="AH124" i="35"/>
  <c r="AI124" i="35" s="1"/>
  <c r="AG119" i="35"/>
  <c r="AH119" i="35"/>
  <c r="AI119" i="35" s="1"/>
  <c r="AG118" i="35"/>
  <c r="AH118" i="35"/>
  <c r="AI118" i="35" s="1"/>
  <c r="AH116" i="35"/>
  <c r="AI116" i="35" s="1"/>
  <c r="AG116" i="35"/>
  <c r="AV106" i="35"/>
  <c r="AG125" i="35"/>
  <c r="AH125" i="35"/>
  <c r="AI125" i="35" s="1"/>
  <c r="AG114" i="35"/>
  <c r="AH114" i="35"/>
  <c r="AI114" i="35" s="1"/>
  <c r="AH115" i="35"/>
  <c r="AI115" i="35" s="1"/>
  <c r="AG115" i="35"/>
  <c r="AG123" i="35"/>
  <c r="AH123" i="35"/>
  <c r="AI123" i="35" s="1"/>
  <c r="AG117" i="35"/>
  <c r="AH117" i="35"/>
  <c r="AI117" i="35" s="1"/>
  <c r="AG109" i="35"/>
  <c r="AH109" i="35"/>
  <c r="AI109" i="35" s="1"/>
  <c r="AG113" i="35"/>
  <c r="AH113" i="35"/>
  <c r="AI113" i="35" s="1"/>
  <c r="AQ102" i="26"/>
  <c r="AQ96" i="26"/>
  <c r="AQ95" i="26"/>
  <c r="AQ99" i="26"/>
  <c r="AQ103" i="26"/>
  <c r="AQ100" i="26"/>
  <c r="AQ104" i="26"/>
  <c r="AQ97" i="26"/>
  <c r="AQ101" i="26"/>
  <c r="AQ105" i="26"/>
  <c r="R106" i="37" l="1"/>
  <c r="V105" i="37"/>
  <c r="AX90" i="37"/>
  <c r="AZ90" i="37" s="1"/>
  <c r="BB90" i="37" s="1"/>
  <c r="AW90" i="37"/>
  <c r="AY90" i="37" s="1"/>
  <c r="BA90" i="37" s="1"/>
  <c r="AV92" i="37"/>
  <c r="AD91" i="37"/>
  <c r="AC91" i="37" s="1"/>
  <c r="AD95" i="37"/>
  <c r="AC95" i="37" s="1"/>
  <c r="AD92" i="37"/>
  <c r="AC92" i="37" s="1"/>
  <c r="AD94" i="37"/>
  <c r="AC94" i="37" s="1"/>
  <c r="AD97" i="37"/>
  <c r="AC97" i="37" s="1"/>
  <c r="AD90" i="37"/>
  <c r="AC90" i="37" s="1"/>
  <c r="AD93" i="37"/>
  <c r="AC93" i="37" s="1"/>
  <c r="AD96" i="37"/>
  <c r="AC96" i="37" s="1"/>
  <c r="AW91" i="37"/>
  <c r="AY91" i="37" s="1"/>
  <c r="BA91" i="37" s="1"/>
  <c r="AX91" i="37"/>
  <c r="AZ91" i="37" s="1"/>
  <c r="BB91" i="37" s="1"/>
  <c r="AH131" i="37"/>
  <c r="O131" i="37"/>
  <c r="P131" i="37" s="1"/>
  <c r="Q131" i="37" s="1"/>
  <c r="AH127" i="37"/>
  <c r="O127" i="37"/>
  <c r="P127" i="37" s="1"/>
  <c r="Q127" i="37" s="1"/>
  <c r="AH132" i="37"/>
  <c r="O132" i="37"/>
  <c r="P132" i="37" s="1"/>
  <c r="Q132" i="37" s="1"/>
  <c r="AH128" i="37"/>
  <c r="O128" i="37"/>
  <c r="P128" i="37" s="1"/>
  <c r="Q128" i="37" s="1"/>
  <c r="O130" i="37"/>
  <c r="P130" i="37" s="1"/>
  <c r="Q130" i="37" s="1"/>
  <c r="AH129" i="37"/>
  <c r="AH126" i="37"/>
  <c r="AH125" i="37"/>
  <c r="O125" i="37"/>
  <c r="P125" i="37" s="1"/>
  <c r="J125" i="37"/>
  <c r="K125" i="37" s="1"/>
  <c r="L125" i="37" s="1"/>
  <c r="M125" i="37" s="1"/>
  <c r="N125" i="37" s="1"/>
  <c r="O126" i="37"/>
  <c r="P126" i="37" s="1"/>
  <c r="Q126" i="37" s="1"/>
  <c r="AH130" i="37"/>
  <c r="O129" i="37"/>
  <c r="P129" i="37" s="1"/>
  <c r="Q129" i="37" s="1"/>
  <c r="T95" i="37"/>
  <c r="R96" i="37" s="1"/>
  <c r="S96" i="37"/>
  <c r="T106" i="37"/>
  <c r="S107" i="37"/>
  <c r="AK113" i="35"/>
  <c r="AM113" i="35" s="1"/>
  <c r="AO113" i="35" s="1"/>
  <c r="AK110" i="35"/>
  <c r="AM110" i="35" s="1"/>
  <c r="AO110" i="35" s="1"/>
  <c r="AK109" i="35"/>
  <c r="AM109" i="35" s="1"/>
  <c r="AO109" i="35" s="1"/>
  <c r="AK123" i="35"/>
  <c r="AM123" i="35" s="1"/>
  <c r="AO123" i="35" s="1"/>
  <c r="AK114" i="35"/>
  <c r="AM114" i="35" s="1"/>
  <c r="AO114" i="35" s="1"/>
  <c r="AK120" i="35"/>
  <c r="AM120" i="35" s="1"/>
  <c r="AO120" i="35" s="1"/>
  <c r="AK116" i="35"/>
  <c r="AM116" i="35" s="1"/>
  <c r="AO116" i="35" s="1"/>
  <c r="AK115" i="35"/>
  <c r="AM115" i="35" s="1"/>
  <c r="AO115" i="35" s="1"/>
  <c r="AK118" i="35"/>
  <c r="AM118" i="35" s="1"/>
  <c r="AO118" i="35" s="1"/>
  <c r="AK124" i="35"/>
  <c r="AM124" i="35" s="1"/>
  <c r="AO124" i="35" s="1"/>
  <c r="AK112" i="35"/>
  <c r="AM112" i="35" s="1"/>
  <c r="AO112" i="35" s="1"/>
  <c r="AJ119" i="35"/>
  <c r="AL119" i="35" s="1"/>
  <c r="AN119" i="35" s="1"/>
  <c r="AJ122" i="35"/>
  <c r="AL122" i="35" s="1"/>
  <c r="AN122" i="35" s="1"/>
  <c r="AJ111" i="35"/>
  <c r="AL111" i="35" s="1"/>
  <c r="AN111" i="35" s="1"/>
  <c r="AJ117" i="35"/>
  <c r="AL117" i="35" s="1"/>
  <c r="AN117" i="35" s="1"/>
  <c r="AJ121" i="35"/>
  <c r="AL121" i="35" s="1"/>
  <c r="AN121" i="35" s="1"/>
  <c r="AJ125" i="35"/>
  <c r="AL125" i="35" s="1"/>
  <c r="AN125" i="35" s="1"/>
  <c r="AK122" i="35"/>
  <c r="AM122" i="35" s="1"/>
  <c r="AO122" i="35" s="1"/>
  <c r="AJ112" i="35"/>
  <c r="AL112" i="35" s="1"/>
  <c r="AN112" i="35" s="1"/>
  <c r="T108" i="35"/>
  <c r="S109" i="35"/>
  <c r="AJ109" i="35"/>
  <c r="AL109" i="35" s="1"/>
  <c r="AN109" i="35" s="1"/>
  <c r="AJ123" i="35"/>
  <c r="AL123" i="35" s="1"/>
  <c r="AN123" i="35" s="1"/>
  <c r="AJ114" i="35"/>
  <c r="AL114" i="35" s="1"/>
  <c r="AN114" i="35" s="1"/>
  <c r="AV107" i="35"/>
  <c r="AJ118" i="35"/>
  <c r="AL118" i="35" s="1"/>
  <c r="AN118" i="35" s="1"/>
  <c r="AJ124" i="35"/>
  <c r="AL124" i="35" s="1"/>
  <c r="AN124" i="35" s="1"/>
  <c r="R108" i="35"/>
  <c r="V107" i="35"/>
  <c r="AJ113" i="35"/>
  <c r="AL113" i="35" s="1"/>
  <c r="AN113" i="35" s="1"/>
  <c r="AK117" i="35"/>
  <c r="AM117" i="35" s="1"/>
  <c r="AO117" i="35" s="1"/>
  <c r="AJ115" i="35"/>
  <c r="AL115" i="35" s="1"/>
  <c r="AN115" i="35" s="1"/>
  <c r="AK125" i="35"/>
  <c r="AM125" i="35" s="1"/>
  <c r="AO125" i="35" s="1"/>
  <c r="AJ116" i="35"/>
  <c r="AL116" i="35" s="1"/>
  <c r="AN116" i="35" s="1"/>
  <c r="AK119" i="35"/>
  <c r="AM119" i="35" s="1"/>
  <c r="AO119" i="35" s="1"/>
  <c r="AK111" i="35"/>
  <c r="AM111" i="35" s="1"/>
  <c r="AO111" i="35" s="1"/>
  <c r="AK121" i="35"/>
  <c r="AM121" i="35" s="1"/>
  <c r="AO121" i="35" s="1"/>
  <c r="AJ120" i="35"/>
  <c r="AL120" i="35" s="1"/>
  <c r="AN120" i="35" s="1"/>
  <c r="R107" i="37" l="1"/>
  <c r="V106" i="37"/>
  <c r="AF105" i="37" s="1"/>
  <c r="AE105" i="37"/>
  <c r="AT105" i="37"/>
  <c r="AW92" i="37"/>
  <c r="AY92" i="37" s="1"/>
  <c r="BA92" i="37" s="1"/>
  <c r="AX92" i="37"/>
  <c r="AZ92" i="37" s="1"/>
  <c r="BB92" i="37" s="1"/>
  <c r="AC89" i="37"/>
  <c r="AA91" i="37" s="1"/>
  <c r="AJ125" i="37"/>
  <c r="AK125" i="37" s="1"/>
  <c r="AL125" i="37" s="1"/>
  <c r="AM125" i="37"/>
  <c r="AN125" i="37" s="1"/>
  <c r="AO125" i="37" s="1"/>
  <c r="S108" i="37"/>
  <c r="T107" i="37"/>
  <c r="R108" i="37" s="1"/>
  <c r="AJ128" i="37"/>
  <c r="AK128" i="37" s="1"/>
  <c r="AL128" i="37" s="1"/>
  <c r="AM128" i="37"/>
  <c r="AN128" i="37" s="1"/>
  <c r="AO128" i="37" s="1"/>
  <c r="AJ129" i="37"/>
  <c r="AK129" i="37" s="1"/>
  <c r="AL129" i="37" s="1"/>
  <c r="AM129" i="37"/>
  <c r="AN129" i="37" s="1"/>
  <c r="AO129" i="37" s="1"/>
  <c r="AM130" i="37"/>
  <c r="AN130" i="37" s="1"/>
  <c r="AO130" i="37" s="1"/>
  <c r="AJ130" i="37"/>
  <c r="AK130" i="37" s="1"/>
  <c r="AL130" i="37" s="1"/>
  <c r="S97" i="37"/>
  <c r="T97" i="37" s="1"/>
  <c r="T96" i="37"/>
  <c r="R97" i="37" s="1"/>
  <c r="AJ126" i="37"/>
  <c r="AK126" i="37" s="1"/>
  <c r="AL126" i="37" s="1"/>
  <c r="AM126" i="37"/>
  <c r="AN126" i="37" s="1"/>
  <c r="AO126" i="37" s="1"/>
  <c r="AM127" i="37"/>
  <c r="AN127" i="37" s="1"/>
  <c r="AO127" i="37" s="1"/>
  <c r="AJ127" i="37"/>
  <c r="AK127" i="37" s="1"/>
  <c r="AL127" i="37" s="1"/>
  <c r="Q125" i="37"/>
  <c r="S125" i="37" s="1"/>
  <c r="T125" i="37" s="1"/>
  <c r="AJ132" i="37"/>
  <c r="AK132" i="37" s="1"/>
  <c r="AL132" i="37" s="1"/>
  <c r="AM132" i="37"/>
  <c r="AN132" i="37" s="1"/>
  <c r="AO132" i="37" s="1"/>
  <c r="AM131" i="37"/>
  <c r="AN131" i="37" s="1"/>
  <c r="AO131" i="37" s="1"/>
  <c r="AJ131" i="37"/>
  <c r="AK131" i="37" s="1"/>
  <c r="AL131" i="37" s="1"/>
  <c r="AH107" i="35"/>
  <c r="R109" i="35"/>
  <c r="V108" i="35"/>
  <c r="X106" i="35" s="1"/>
  <c r="X101" i="35" s="1"/>
  <c r="AV108" i="35"/>
  <c r="S110" i="35"/>
  <c r="T109" i="35"/>
  <c r="R110" i="35" s="1"/>
  <c r="I76" i="2"/>
  <c r="I75" i="2"/>
  <c r="I74" i="2"/>
  <c r="I73" i="2"/>
  <c r="I72" i="2"/>
  <c r="I71" i="2"/>
  <c r="I70" i="2"/>
  <c r="I69" i="2"/>
  <c r="I68" i="2"/>
  <c r="I67" i="2"/>
  <c r="AF104" i="37" l="1"/>
  <c r="AV104" i="37" s="1"/>
  <c r="AE106" i="37"/>
  <c r="AD111" i="37" s="1"/>
  <c r="AC111" i="37" s="1"/>
  <c r="AF106" i="37"/>
  <c r="AT106" i="37"/>
  <c r="AV105" i="37"/>
  <c r="AD106" i="37"/>
  <c r="AC106" i="37" s="1"/>
  <c r="AD115" i="37"/>
  <c r="AC115" i="37" s="1"/>
  <c r="AD112" i="37"/>
  <c r="AC112" i="37" s="1"/>
  <c r="AD110" i="37"/>
  <c r="AC110" i="37" s="1"/>
  <c r="AD114" i="37"/>
  <c r="AC114" i="37" s="1"/>
  <c r="AD105" i="37"/>
  <c r="AC105" i="37" s="1"/>
  <c r="AD108" i="37"/>
  <c r="AC108" i="37" s="1"/>
  <c r="AS125" i="37"/>
  <c r="AS128" i="37"/>
  <c r="AT128" i="37"/>
  <c r="AV128" i="37" s="1"/>
  <c r="AT130" i="37"/>
  <c r="AV130" i="37" s="1"/>
  <c r="AS130" i="37"/>
  <c r="AS132" i="37"/>
  <c r="AT132" i="37"/>
  <c r="AV132" i="37" s="1"/>
  <c r="AS127" i="37"/>
  <c r="AT129" i="37"/>
  <c r="AV129" i="37" s="1"/>
  <c r="AS129" i="37"/>
  <c r="R126" i="37"/>
  <c r="S126" i="37" s="1"/>
  <c r="V125" i="37"/>
  <c r="AS131" i="37"/>
  <c r="AT131" i="37"/>
  <c r="AV131" i="37" s="1"/>
  <c r="AS126" i="37"/>
  <c r="S109" i="37"/>
  <c r="T108" i="37"/>
  <c r="R109" i="37" s="1"/>
  <c r="X107" i="35"/>
  <c r="AI107" i="35" s="1"/>
  <c r="AK107" i="35" s="1"/>
  <c r="AM107" i="35" s="1"/>
  <c r="AO107" i="35" s="1"/>
  <c r="C15" i="35"/>
  <c r="C3" i="35" s="1"/>
  <c r="AI106" i="35"/>
  <c r="T110" i="35"/>
  <c r="R111" i="35" s="1"/>
  <c r="S111" i="35"/>
  <c r="AV109" i="35"/>
  <c r="AH108" i="35"/>
  <c r="X108" i="35"/>
  <c r="AG104" i="37" l="1"/>
  <c r="AD109" i="37"/>
  <c r="AC109" i="37" s="1"/>
  <c r="AD107" i="37"/>
  <c r="AC107" i="37" s="1"/>
  <c r="AD104" i="37"/>
  <c r="AC104" i="37" s="1"/>
  <c r="AD113" i="37"/>
  <c r="AC113" i="37" s="1"/>
  <c r="AV106" i="37"/>
  <c r="AW131" i="37"/>
  <c r="AY131" i="37" s="1"/>
  <c r="BA131" i="37" s="1"/>
  <c r="AX129" i="37"/>
  <c r="AZ129" i="37" s="1"/>
  <c r="BB129" i="37" s="1"/>
  <c r="AW130" i="37"/>
  <c r="AY130" i="37" s="1"/>
  <c r="BA130" i="37" s="1"/>
  <c r="AW132" i="37"/>
  <c r="AY132" i="37" s="1"/>
  <c r="BA132" i="37" s="1"/>
  <c r="AW128" i="37"/>
  <c r="AY128" i="37" s="1"/>
  <c r="BA128" i="37" s="1"/>
  <c r="AT125" i="37"/>
  <c r="AX130" i="37"/>
  <c r="AZ130" i="37" s="1"/>
  <c r="BB130" i="37" s="1"/>
  <c r="AX131" i="37"/>
  <c r="AZ131" i="37" s="1"/>
  <c r="BB131" i="37" s="1"/>
  <c r="S127" i="37"/>
  <c r="T126" i="37"/>
  <c r="AX132" i="37"/>
  <c r="AZ132" i="37" s="1"/>
  <c r="BB132" i="37" s="1"/>
  <c r="AX128" i="37"/>
  <c r="AZ128" i="37" s="1"/>
  <c r="BB128" i="37" s="1"/>
  <c r="S110" i="37"/>
  <c r="T109" i="37"/>
  <c r="R110" i="37" s="1"/>
  <c r="AW129" i="37"/>
  <c r="AY129" i="37" s="1"/>
  <c r="BA129" i="37" s="1"/>
  <c r="AI108" i="35"/>
  <c r="AJ108" i="35" s="1"/>
  <c r="AL108" i="35" s="1"/>
  <c r="AN108" i="35" s="1"/>
  <c r="AJ107" i="35"/>
  <c r="AL107" i="35" s="1"/>
  <c r="AN107" i="35" s="1"/>
  <c r="T111" i="35"/>
  <c r="R112" i="35" s="1"/>
  <c r="S112" i="35"/>
  <c r="AV110" i="35"/>
  <c r="AK106" i="35"/>
  <c r="AM106" i="35" s="1"/>
  <c r="AO106" i="35" s="1"/>
  <c r="AJ106" i="35"/>
  <c r="AL106" i="35" s="1"/>
  <c r="AN106" i="35" s="1"/>
  <c r="D3" i="35"/>
  <c r="AW109" i="35" s="1"/>
  <c r="AX109" i="35" s="1"/>
  <c r="D10" i="35"/>
  <c r="C10" i="35"/>
  <c r="D2" i="1"/>
  <c r="AC103" i="37" l="1"/>
  <c r="AA104" i="37" s="1"/>
  <c r="R127" i="37"/>
  <c r="V126" i="37"/>
  <c r="T110" i="37"/>
  <c r="R111" i="37" s="1"/>
  <c r="S111" i="37"/>
  <c r="S128" i="37"/>
  <c r="T127" i="37"/>
  <c r="AK108" i="35"/>
  <c r="AM108" i="35" s="1"/>
  <c r="AO108" i="35" s="1"/>
  <c r="S113" i="35"/>
  <c r="T112" i="35"/>
  <c r="R113" i="35" s="1"/>
  <c r="BQ57" i="35"/>
  <c r="BG57" i="35"/>
  <c r="AW102" i="35"/>
  <c r="AW103" i="35"/>
  <c r="AX103" i="35" s="1"/>
  <c r="AW104" i="35"/>
  <c r="AX104" i="35" s="1"/>
  <c r="AW105" i="35"/>
  <c r="AX105" i="35" s="1"/>
  <c r="AW106" i="35"/>
  <c r="AX106" i="35" s="1"/>
  <c r="AW107" i="35"/>
  <c r="AX107" i="35" s="1"/>
  <c r="AW108" i="35"/>
  <c r="AX108" i="35" s="1"/>
  <c r="AV111" i="35"/>
  <c r="AW110" i="35"/>
  <c r="AX110" i="35" s="1"/>
  <c r="V127" i="37" l="1"/>
  <c r="R128" i="37"/>
  <c r="AT126" i="37"/>
  <c r="T128" i="37"/>
  <c r="R129" i="37" s="1"/>
  <c r="S129" i="37"/>
  <c r="S112" i="37"/>
  <c r="T111" i="37"/>
  <c r="R112" i="37" s="1"/>
  <c r="AV112" i="35"/>
  <c r="AW111" i="35"/>
  <c r="AX111" i="35" s="1"/>
  <c r="AX102" i="35"/>
  <c r="BA99" i="35"/>
  <c r="D99" i="35" s="1"/>
  <c r="S114" i="35"/>
  <c r="T113" i="35"/>
  <c r="R114" i="35" s="1"/>
  <c r="J122" i="26"/>
  <c r="K122" i="26" s="1"/>
  <c r="L122" i="26" s="1"/>
  <c r="M122" i="26" s="1"/>
  <c r="N122" i="26" s="1"/>
  <c r="J121" i="26"/>
  <c r="K121" i="26" s="1"/>
  <c r="L121" i="26" s="1"/>
  <c r="M121" i="26" s="1"/>
  <c r="N121" i="26" s="1"/>
  <c r="AF127" i="37" l="1"/>
  <c r="AT127" i="37"/>
  <c r="T129" i="37"/>
  <c r="R130" i="37" s="1"/>
  <c r="S130" i="37"/>
  <c r="AF126" i="37"/>
  <c r="AV126" i="37" s="1"/>
  <c r="S113" i="37"/>
  <c r="T112" i="37"/>
  <c r="R113" i="37" s="1"/>
  <c r="T121" i="37"/>
  <c r="AF125" i="37"/>
  <c r="T114" i="35"/>
  <c r="R115" i="35" s="1"/>
  <c r="S115" i="35"/>
  <c r="AV113" i="35"/>
  <c r="AW112" i="35"/>
  <c r="AX112" i="35" s="1"/>
  <c r="S131" i="37" l="1"/>
  <c r="T130" i="37"/>
  <c r="R131" i="37" s="1"/>
  <c r="S114" i="37"/>
  <c r="T113" i="37"/>
  <c r="R114" i="37" s="1"/>
  <c r="AV125" i="37"/>
  <c r="AP115" i="37"/>
  <c r="AU115" i="37" s="1"/>
  <c r="AP107" i="37"/>
  <c r="AU107" i="37" s="1"/>
  <c r="AP108" i="37"/>
  <c r="AU108" i="37" s="1"/>
  <c r="AP111" i="37"/>
  <c r="AU111" i="37" s="1"/>
  <c r="AP112" i="37"/>
  <c r="AU112" i="37" s="1"/>
  <c r="AP114" i="37"/>
  <c r="AU114" i="37" s="1"/>
  <c r="AP105" i="37"/>
  <c r="AU105" i="37" s="1"/>
  <c r="AP109" i="37"/>
  <c r="AU109" i="37" s="1"/>
  <c r="AP106" i="37"/>
  <c r="AU106" i="37" s="1"/>
  <c r="AP110" i="37"/>
  <c r="AU110" i="37" s="1"/>
  <c r="AP113" i="37"/>
  <c r="AU113" i="37" s="1"/>
  <c r="AG125" i="37"/>
  <c r="AP104" i="37"/>
  <c r="AU104" i="37" s="1"/>
  <c r="AX126" i="37"/>
  <c r="AZ126" i="37" s="1"/>
  <c r="BB126" i="37" s="1"/>
  <c r="AW126" i="37"/>
  <c r="AY126" i="37" s="1"/>
  <c r="BA126" i="37" s="1"/>
  <c r="AV127" i="37"/>
  <c r="AW113" i="35"/>
  <c r="T115" i="35"/>
  <c r="R116" i="35" s="1"/>
  <c r="S116" i="35"/>
  <c r="AL90" i="26"/>
  <c r="AX113" i="35" l="1"/>
  <c r="CI99" i="35"/>
  <c r="AX113" i="37"/>
  <c r="AZ113" i="37" s="1"/>
  <c r="BB113" i="37" s="1"/>
  <c r="AW113" i="37"/>
  <c r="AY113" i="37" s="1"/>
  <c r="BA113" i="37" s="1"/>
  <c r="AX108" i="37"/>
  <c r="AZ108" i="37" s="1"/>
  <c r="BB108" i="37" s="1"/>
  <c r="AW108" i="37"/>
  <c r="AY108" i="37" s="1"/>
  <c r="BA108" i="37" s="1"/>
  <c r="AX110" i="37"/>
  <c r="AZ110" i="37" s="1"/>
  <c r="BB110" i="37" s="1"/>
  <c r="AW110" i="37"/>
  <c r="AY110" i="37" s="1"/>
  <c r="BA110" i="37" s="1"/>
  <c r="AX107" i="37"/>
  <c r="AZ107" i="37" s="1"/>
  <c r="BB107" i="37" s="1"/>
  <c r="AW107" i="37"/>
  <c r="AY107" i="37" s="1"/>
  <c r="BA107" i="37" s="1"/>
  <c r="T114" i="37"/>
  <c r="R115" i="37" s="1"/>
  <c r="S115" i="37"/>
  <c r="T115" i="37" s="1"/>
  <c r="AX104" i="37"/>
  <c r="AZ104" i="37" s="1"/>
  <c r="BB104" i="37" s="1"/>
  <c r="AW104" i="37"/>
  <c r="AY104" i="37" s="1"/>
  <c r="BA104" i="37" s="1"/>
  <c r="AX106" i="37"/>
  <c r="AZ106" i="37" s="1"/>
  <c r="BB106" i="37" s="1"/>
  <c r="AW106" i="37"/>
  <c r="AY106" i="37" s="1"/>
  <c r="BA106" i="37" s="1"/>
  <c r="AX112" i="37"/>
  <c r="AZ112" i="37" s="1"/>
  <c r="BB112" i="37" s="1"/>
  <c r="AW112" i="37"/>
  <c r="AY112" i="37" s="1"/>
  <c r="BA112" i="37" s="1"/>
  <c r="AX115" i="37"/>
  <c r="AZ115" i="37" s="1"/>
  <c r="BB115" i="37" s="1"/>
  <c r="AW115" i="37"/>
  <c r="AY115" i="37" s="1"/>
  <c r="BA115" i="37" s="1"/>
  <c r="AX105" i="37"/>
  <c r="AZ105" i="37" s="1"/>
  <c r="BB105" i="37" s="1"/>
  <c r="AW105" i="37"/>
  <c r="AY105" i="37" s="1"/>
  <c r="BA105" i="37" s="1"/>
  <c r="AX127" i="37"/>
  <c r="AZ127" i="37" s="1"/>
  <c r="BB127" i="37" s="1"/>
  <c r="AW127" i="37"/>
  <c r="AY127" i="37" s="1"/>
  <c r="BA127" i="37" s="1"/>
  <c r="AX114" i="37"/>
  <c r="AZ114" i="37" s="1"/>
  <c r="BB114" i="37" s="1"/>
  <c r="AW114" i="37"/>
  <c r="AY114" i="37" s="1"/>
  <c r="BA114" i="37" s="1"/>
  <c r="AP97" i="37"/>
  <c r="AP95" i="37"/>
  <c r="AP94" i="37"/>
  <c r="AP93" i="37"/>
  <c r="AP92" i="37"/>
  <c r="AP91" i="37"/>
  <c r="AP96" i="37"/>
  <c r="AP90" i="37"/>
  <c r="AX109" i="37"/>
  <c r="AZ109" i="37" s="1"/>
  <c r="BB109" i="37" s="1"/>
  <c r="AW109" i="37"/>
  <c r="AY109" i="37" s="1"/>
  <c r="BA109" i="37" s="1"/>
  <c r="AX111" i="37"/>
  <c r="AZ111" i="37" s="1"/>
  <c r="BB111" i="37" s="1"/>
  <c r="AW111" i="37"/>
  <c r="AY111" i="37" s="1"/>
  <c r="BA111" i="37" s="1"/>
  <c r="AX125" i="37"/>
  <c r="AZ125" i="37" s="1"/>
  <c r="BB125" i="37" s="1"/>
  <c r="AW125" i="37"/>
  <c r="AY125" i="37" s="1"/>
  <c r="BA125" i="37" s="1"/>
  <c r="S132" i="37"/>
  <c r="T132" i="37" s="1"/>
  <c r="T131" i="37"/>
  <c r="R132" i="37" s="1"/>
  <c r="S117" i="35"/>
  <c r="T116" i="35"/>
  <c r="R117" i="35" s="1"/>
  <c r="AM90" i="26"/>
  <c r="AN90" i="26" s="1"/>
  <c r="AP84" i="37" l="1"/>
  <c r="C9" i="37" s="1"/>
  <c r="S118" i="35"/>
  <c r="T117" i="35"/>
  <c r="R118" i="35" s="1"/>
  <c r="C34" i="37" l="1"/>
  <c r="D3" i="37"/>
  <c r="BH24" i="37" s="1"/>
  <c r="D34" i="37"/>
  <c r="C3" i="37"/>
  <c r="S119" i="35"/>
  <c r="T118" i="35"/>
  <c r="R119" i="35" s="1"/>
  <c r="BL149" i="37" l="1"/>
  <c r="BM149" i="37" s="1"/>
  <c r="BL148" i="37"/>
  <c r="BL150" i="37"/>
  <c r="BM150" i="37" s="1"/>
  <c r="BL151" i="37"/>
  <c r="BM151" i="37" s="1"/>
  <c r="BL152" i="37"/>
  <c r="BM152" i="37" s="1"/>
  <c r="BL153" i="37"/>
  <c r="BM153" i="37" s="1"/>
  <c r="BL154" i="37"/>
  <c r="BM154" i="37" s="1"/>
  <c r="BL155" i="37"/>
  <c r="BM155" i="37" s="1"/>
  <c r="BL156" i="37"/>
  <c r="BM156" i="37" s="1"/>
  <c r="BL157" i="37"/>
  <c r="BM157" i="37" s="1"/>
  <c r="BL158" i="37"/>
  <c r="BM158" i="37" s="1"/>
  <c r="BL159" i="37"/>
  <c r="BM159" i="37" s="1"/>
  <c r="BL160" i="37"/>
  <c r="BM160" i="37" s="1"/>
  <c r="BL161" i="37"/>
  <c r="BM161" i="37" s="1"/>
  <c r="BL162" i="37"/>
  <c r="BM162" i="37" s="1"/>
  <c r="BL163" i="37"/>
  <c r="BM163" i="37" s="1"/>
  <c r="BL164" i="37"/>
  <c r="BM164" i="37" s="1"/>
  <c r="BL165" i="37"/>
  <c r="BX24" i="37"/>
  <c r="D101" i="35"/>
  <c r="S120" i="35"/>
  <c r="T119" i="35"/>
  <c r="R120" i="35" s="1"/>
  <c r="BM165" i="37" l="1"/>
  <c r="BZ61" i="37"/>
  <c r="D81" i="37" s="1"/>
  <c r="BD61" i="37"/>
  <c r="D79" i="37" s="1"/>
  <c r="BM148" i="37"/>
  <c r="T120" i="35"/>
  <c r="R121" i="35" s="1"/>
  <c r="S121" i="35"/>
  <c r="BN148" i="37" l="1"/>
  <c r="BN149" i="37" s="1"/>
  <c r="T121" i="35"/>
  <c r="R122" i="35" s="1"/>
  <c r="S122" i="35"/>
  <c r="Q59" i="2"/>
  <c r="R59" i="2" s="1"/>
  <c r="S59" i="2" s="1"/>
  <c r="BO148" i="37" l="1"/>
  <c r="BH46" i="37" s="1"/>
  <c r="BH47" i="37" s="1"/>
  <c r="BH49" i="37" s="1"/>
  <c r="BO149" i="37"/>
  <c r="BI46" i="37" s="1"/>
  <c r="BN150" i="37"/>
  <c r="S123" i="35"/>
  <c r="T122" i="35"/>
  <c r="R123" i="35" s="1"/>
  <c r="U66" i="1"/>
  <c r="V66" i="1" s="1"/>
  <c r="W66" i="1" s="1"/>
  <c r="BN151" i="37" l="1"/>
  <c r="BO150" i="37"/>
  <c r="BJ46" i="37" s="1"/>
  <c r="BJ42" i="37"/>
  <c r="BJ44" i="37" s="1"/>
  <c r="BH42" i="37"/>
  <c r="BI47" i="37"/>
  <c r="BI49" i="37" s="1"/>
  <c r="S124" i="35"/>
  <c r="T123" i="35"/>
  <c r="R124" i="35" s="1"/>
  <c r="BL41" i="37" l="1"/>
  <c r="BL44" i="37" s="1"/>
  <c r="BH41" i="37"/>
  <c r="BJ47" i="37"/>
  <c r="BJ49" i="37" s="1"/>
  <c r="BN152" i="37"/>
  <c r="BO151" i="37"/>
  <c r="BK46" i="37" s="1"/>
  <c r="S125" i="35"/>
  <c r="T125" i="35" s="1"/>
  <c r="T124" i="35"/>
  <c r="R125" i="35" s="1"/>
  <c r="BO152" i="37" l="1"/>
  <c r="BL46" i="37" s="1"/>
  <c r="BN153" i="37"/>
  <c r="BI40" i="37"/>
  <c r="BK47" i="37"/>
  <c r="BK49" i="37" s="1"/>
  <c r="BM40" i="37"/>
  <c r="AY102" i="35"/>
  <c r="BO153" i="37" l="1"/>
  <c r="BM46" i="37" s="1"/>
  <c r="BN154" i="37"/>
  <c r="BL47" i="37"/>
  <c r="BL49" i="37" s="1"/>
  <c r="BH39" i="37"/>
  <c r="BP39" i="37"/>
  <c r="AZ102" i="35"/>
  <c r="BG84" i="35" s="1"/>
  <c r="BG85" i="35" s="1"/>
  <c r="BG87" i="35" s="1"/>
  <c r="AY103" i="35"/>
  <c r="BN155" i="37" l="1"/>
  <c r="BO154" i="37"/>
  <c r="BN46" i="37" s="1"/>
  <c r="BH38" i="37"/>
  <c r="BR38" i="37"/>
  <c r="BR44" i="37" s="1"/>
  <c r="BM47" i="37"/>
  <c r="BM49" i="37" s="1"/>
  <c r="AY104" i="35"/>
  <c r="AZ103" i="35"/>
  <c r="BH84" i="35" s="1"/>
  <c r="J120" i="26"/>
  <c r="K120" i="26" s="1"/>
  <c r="L120" i="26" s="1"/>
  <c r="M120" i="26" s="1"/>
  <c r="N120" i="26" s="1"/>
  <c r="J119" i="26"/>
  <c r="K119" i="26" s="1"/>
  <c r="L119" i="26" s="1"/>
  <c r="M119" i="26" s="1"/>
  <c r="N119" i="26" s="1"/>
  <c r="J118" i="26"/>
  <c r="K118" i="26" s="1"/>
  <c r="L118" i="26" s="1"/>
  <c r="M118" i="26" s="1"/>
  <c r="N118" i="26" s="1"/>
  <c r="J117" i="26"/>
  <c r="K117" i="26" s="1"/>
  <c r="L117" i="26" s="1"/>
  <c r="M117" i="26" s="1"/>
  <c r="N117" i="26" s="1"/>
  <c r="J116" i="26"/>
  <c r="K116" i="26" s="1"/>
  <c r="L116" i="26" s="1"/>
  <c r="M116" i="26" s="1"/>
  <c r="N116" i="26" s="1"/>
  <c r="AH105" i="26"/>
  <c r="V105" i="26"/>
  <c r="AF105" i="26" s="1"/>
  <c r="K105" i="26"/>
  <c r="L105" i="26" s="1"/>
  <c r="M105" i="26" s="1"/>
  <c r="N105" i="26" s="1"/>
  <c r="AH104" i="26"/>
  <c r="V104" i="26"/>
  <c r="K104" i="26"/>
  <c r="L104" i="26" s="1"/>
  <c r="M104" i="26" s="1"/>
  <c r="N104" i="26" s="1"/>
  <c r="K103" i="26"/>
  <c r="L103" i="26" s="1"/>
  <c r="M103" i="26" s="1"/>
  <c r="N103" i="26" s="1"/>
  <c r="K102" i="26"/>
  <c r="L102" i="26" s="1"/>
  <c r="M102" i="26" s="1"/>
  <c r="N102" i="26" s="1"/>
  <c r="K101" i="26"/>
  <c r="L101" i="26" s="1"/>
  <c r="M101" i="26" s="1"/>
  <c r="N101" i="26" s="1"/>
  <c r="K100" i="26"/>
  <c r="L100" i="26" s="1"/>
  <c r="M100" i="26" s="1"/>
  <c r="N100" i="26" s="1"/>
  <c r="K99" i="26"/>
  <c r="L99" i="26" s="1"/>
  <c r="M99" i="26" s="1"/>
  <c r="N99" i="26" s="1"/>
  <c r="K98" i="26"/>
  <c r="L98" i="26" s="1"/>
  <c r="M98" i="26" s="1"/>
  <c r="N98" i="26" s="1"/>
  <c r="K97" i="26"/>
  <c r="L97" i="26" s="1"/>
  <c r="M97" i="26" s="1"/>
  <c r="N97" i="26" s="1"/>
  <c r="K96" i="26"/>
  <c r="L96" i="26" s="1"/>
  <c r="M96" i="26" s="1"/>
  <c r="N96" i="26" s="1"/>
  <c r="K95" i="26"/>
  <c r="L95" i="26" s="1"/>
  <c r="M95" i="26" s="1"/>
  <c r="N95" i="26" s="1"/>
  <c r="C94" i="26"/>
  <c r="BT37" i="37" l="1"/>
  <c r="BT44" i="37" s="1"/>
  <c r="BH37" i="37"/>
  <c r="BN47" i="37"/>
  <c r="BN49" i="37" s="1"/>
  <c r="BN156" i="37"/>
  <c r="BO155" i="37"/>
  <c r="BO46" i="37" s="1"/>
  <c r="BH85" i="35"/>
  <c r="BH87" i="35" s="1"/>
  <c r="BG80" i="35"/>
  <c r="BI80" i="35"/>
  <c r="AZ104" i="35"/>
  <c r="BI84" i="35" s="1"/>
  <c r="AY105" i="35"/>
  <c r="AG105" i="26"/>
  <c r="AL105" i="26" s="1"/>
  <c r="AM105" i="26" s="1"/>
  <c r="AN105" i="26" s="1"/>
  <c r="AS105" i="26" s="1"/>
  <c r="AU105" i="26" s="1"/>
  <c r="J94" i="26"/>
  <c r="P94" i="26" s="1"/>
  <c r="Q94" i="26" s="1"/>
  <c r="S94" i="26" s="1"/>
  <c r="T94" i="26" s="1"/>
  <c r="R95" i="26" s="1"/>
  <c r="O96" i="26"/>
  <c r="P96" i="26" s="1"/>
  <c r="Q96" i="26" s="1"/>
  <c r="AE105" i="26"/>
  <c r="AG97" i="26"/>
  <c r="O98" i="26"/>
  <c r="P98" i="26" s="1"/>
  <c r="Q98" i="26" s="1"/>
  <c r="O100" i="26"/>
  <c r="P100" i="26" s="1"/>
  <c r="Q100" i="26" s="1"/>
  <c r="AG101" i="26"/>
  <c r="AH101" i="26" s="1"/>
  <c r="O102" i="26"/>
  <c r="P102" i="26" s="1"/>
  <c r="Q102" i="26" s="1"/>
  <c r="AF104" i="26"/>
  <c r="AG103" i="26"/>
  <c r="AG95" i="26"/>
  <c r="AH95" i="26" s="1"/>
  <c r="AG99" i="26"/>
  <c r="O104" i="26"/>
  <c r="P104" i="26" s="1"/>
  <c r="Q104" i="26" s="1"/>
  <c r="AG96" i="26"/>
  <c r="AH96" i="26" s="1"/>
  <c r="O97" i="26"/>
  <c r="P97" i="26" s="1"/>
  <c r="Q97" i="26" s="1"/>
  <c r="AG100" i="26"/>
  <c r="AH100" i="26" s="1"/>
  <c r="O101" i="26"/>
  <c r="P101" i="26" s="1"/>
  <c r="Q101" i="26" s="1"/>
  <c r="AG104" i="26"/>
  <c r="O105" i="26"/>
  <c r="P105" i="26" s="1"/>
  <c r="Q105" i="26" s="1"/>
  <c r="AG94" i="26"/>
  <c r="O95" i="26"/>
  <c r="P95" i="26" s="1"/>
  <c r="Q95" i="26" s="1"/>
  <c r="AG98" i="26"/>
  <c r="AH98" i="26" s="1"/>
  <c r="O99" i="26"/>
  <c r="P99" i="26" s="1"/>
  <c r="Q99" i="26" s="1"/>
  <c r="AG102" i="26"/>
  <c r="AH102" i="26" s="1"/>
  <c r="O103" i="26"/>
  <c r="P103" i="26" s="1"/>
  <c r="Q103" i="26" s="1"/>
  <c r="AE104" i="26"/>
  <c r="BO47" i="37" l="1"/>
  <c r="BO49" i="37" s="1"/>
  <c r="BV36" i="37"/>
  <c r="BV44" i="37" s="1"/>
  <c r="BH36" i="37"/>
  <c r="BN157" i="37"/>
  <c r="BO156" i="37"/>
  <c r="BP46" i="37" s="1"/>
  <c r="BI85" i="35"/>
  <c r="BI87" i="35" s="1"/>
  <c r="BG79" i="35"/>
  <c r="BK79" i="35"/>
  <c r="AY106" i="35"/>
  <c r="AZ105" i="35"/>
  <c r="BJ84" i="35" s="1"/>
  <c r="AI105" i="26"/>
  <c r="AJ105" i="26" s="1"/>
  <c r="AK105" i="26" s="1"/>
  <c r="AR105" i="26" s="1"/>
  <c r="V94" i="26"/>
  <c r="AE94" i="26" s="1"/>
  <c r="AL103" i="26"/>
  <c r="AM103" i="26" s="1"/>
  <c r="AN103" i="26" s="1"/>
  <c r="AH103" i="26"/>
  <c r="AL99" i="26"/>
  <c r="AM99" i="26" s="1"/>
  <c r="AN99" i="26" s="1"/>
  <c r="AH99" i="26"/>
  <c r="AL97" i="26"/>
  <c r="AM97" i="26" s="1"/>
  <c r="AN97" i="26" s="1"/>
  <c r="AH97" i="26"/>
  <c r="AI103" i="26"/>
  <c r="AJ103" i="26" s="1"/>
  <c r="AK103" i="26" s="1"/>
  <c r="AI97" i="26"/>
  <c r="AJ97" i="26" s="1"/>
  <c r="AK97" i="26" s="1"/>
  <c r="AI99" i="26"/>
  <c r="AJ99" i="26" s="1"/>
  <c r="AK99" i="26" s="1"/>
  <c r="AL101" i="26"/>
  <c r="AM101" i="26" s="1"/>
  <c r="AN101" i="26" s="1"/>
  <c r="AI101" i="26"/>
  <c r="AJ101" i="26" s="1"/>
  <c r="AK101" i="26" s="1"/>
  <c r="AL95" i="26"/>
  <c r="AM95" i="26" s="1"/>
  <c r="AN95" i="26" s="1"/>
  <c r="AI95" i="26"/>
  <c r="AJ95" i="26" s="1"/>
  <c r="AK95" i="26" s="1"/>
  <c r="AI104" i="26"/>
  <c r="AJ104" i="26" s="1"/>
  <c r="AK104" i="26" s="1"/>
  <c r="AL104" i="26"/>
  <c r="AM104" i="26" s="1"/>
  <c r="AN104" i="26" s="1"/>
  <c r="AI96" i="26"/>
  <c r="AJ96" i="26" s="1"/>
  <c r="AK96" i="26" s="1"/>
  <c r="AL96" i="26"/>
  <c r="AM96" i="26" s="1"/>
  <c r="AN96" i="26" s="1"/>
  <c r="AI98" i="26"/>
  <c r="AJ98" i="26" s="1"/>
  <c r="AK98" i="26" s="1"/>
  <c r="AL98" i="26"/>
  <c r="AM98" i="26" s="1"/>
  <c r="AN98" i="26" s="1"/>
  <c r="S95" i="26"/>
  <c r="AI100" i="26"/>
  <c r="AJ100" i="26" s="1"/>
  <c r="AK100" i="26" s="1"/>
  <c r="AL100" i="26"/>
  <c r="AM100" i="26" s="1"/>
  <c r="AN100" i="26" s="1"/>
  <c r="AL102" i="26"/>
  <c r="AM102" i="26" s="1"/>
  <c r="AN102" i="26" s="1"/>
  <c r="AI102" i="26"/>
  <c r="AJ102" i="26" s="1"/>
  <c r="AK102" i="26" s="1"/>
  <c r="AI94" i="26"/>
  <c r="AJ94" i="26" s="1"/>
  <c r="AK94" i="26" s="1"/>
  <c r="AL94" i="26"/>
  <c r="AM94" i="26" s="1"/>
  <c r="AN94" i="26" s="1"/>
  <c r="AH94" i="26"/>
  <c r="BF21" i="2"/>
  <c r="D2" i="2"/>
  <c r="BN158" i="37" l="1"/>
  <c r="BO157" i="37"/>
  <c r="BQ46" i="37" s="1"/>
  <c r="BX35" i="37"/>
  <c r="BH35" i="37"/>
  <c r="BH44" i="37" s="1"/>
  <c r="BP47" i="37"/>
  <c r="BP49" i="37" s="1"/>
  <c r="AZ106" i="35"/>
  <c r="BK84" i="35" s="1"/>
  <c r="AY107" i="35"/>
  <c r="BG78" i="35"/>
  <c r="BJ85" i="35"/>
  <c r="BJ87" i="35" s="1"/>
  <c r="BM78" i="35"/>
  <c r="AR94" i="26"/>
  <c r="AH106" i="26"/>
  <c r="C115" i="26" s="1"/>
  <c r="AR99" i="26"/>
  <c r="AR97" i="26"/>
  <c r="AR103" i="26"/>
  <c r="AR101" i="26"/>
  <c r="AR95" i="26"/>
  <c r="S96" i="26"/>
  <c r="T95" i="26"/>
  <c r="AS94" i="26"/>
  <c r="AR104" i="26"/>
  <c r="AS104" i="26"/>
  <c r="AU104" i="26" s="1"/>
  <c r="AR102" i="26"/>
  <c r="AR100" i="26"/>
  <c r="AR98" i="26"/>
  <c r="AR96" i="26"/>
  <c r="BH77" i="35" l="1"/>
  <c r="BN77" i="35"/>
  <c r="BQ47" i="37"/>
  <c r="BQ49" i="37" s="1"/>
  <c r="BI34" i="37"/>
  <c r="BI44" i="37" s="1"/>
  <c r="BY34" i="37"/>
  <c r="BO158" i="37"/>
  <c r="BR46" i="37" s="1"/>
  <c r="BN159" i="37"/>
  <c r="AY108" i="35"/>
  <c r="AZ107" i="35"/>
  <c r="BL84" i="35" s="1"/>
  <c r="BG76" i="35" s="1"/>
  <c r="BK85" i="35"/>
  <c r="BK87" i="35" s="1"/>
  <c r="AG122" i="26"/>
  <c r="O122" i="26"/>
  <c r="P122" i="26" s="1"/>
  <c r="Q122" i="26" s="1"/>
  <c r="AG121" i="26"/>
  <c r="O121" i="26"/>
  <c r="P121" i="26" s="1"/>
  <c r="Q121" i="26" s="1"/>
  <c r="X94" i="26"/>
  <c r="Z94" i="26" s="1"/>
  <c r="R96" i="26"/>
  <c r="V95" i="26"/>
  <c r="T96" i="26"/>
  <c r="S97" i="26"/>
  <c r="O120" i="26"/>
  <c r="P120" i="26" s="1"/>
  <c r="Q120" i="26" s="1"/>
  <c r="O119" i="26"/>
  <c r="P119" i="26" s="1"/>
  <c r="Q119" i="26" s="1"/>
  <c r="O118" i="26"/>
  <c r="P118" i="26" s="1"/>
  <c r="Q118" i="26" s="1"/>
  <c r="AG119" i="26"/>
  <c r="AG120" i="26"/>
  <c r="AG117" i="26"/>
  <c r="O116" i="26"/>
  <c r="P116" i="26" s="1"/>
  <c r="Q116" i="26" s="1"/>
  <c r="O115" i="26"/>
  <c r="P115" i="26" s="1"/>
  <c r="J115" i="26"/>
  <c r="K115" i="26" s="1"/>
  <c r="L115" i="26" s="1"/>
  <c r="M115" i="26" s="1"/>
  <c r="N115" i="26" s="1"/>
  <c r="AG116" i="26"/>
  <c r="AG118" i="26"/>
  <c r="O117" i="26"/>
  <c r="P117" i="26" s="1"/>
  <c r="Q117" i="26" s="1"/>
  <c r="AG115" i="26"/>
  <c r="BK33" i="37" l="1"/>
  <c r="BK44" i="37" s="1"/>
  <c r="BY33" i="37"/>
  <c r="BR47" i="37"/>
  <c r="BR49" i="37" s="1"/>
  <c r="BO159" i="37"/>
  <c r="BS46" i="37" s="1"/>
  <c r="BN160" i="37"/>
  <c r="BL85" i="35"/>
  <c r="BL87" i="35" s="1"/>
  <c r="BQ76" i="35"/>
  <c r="AZ108" i="35"/>
  <c r="BM84" i="35" s="1"/>
  <c r="BH75" i="35" s="1"/>
  <c r="BH82" i="35" s="1"/>
  <c r="AY109" i="35"/>
  <c r="AI121" i="26"/>
  <c r="AJ121" i="26" s="1"/>
  <c r="AK121" i="26" s="1"/>
  <c r="AL121" i="26"/>
  <c r="AM121" i="26" s="1"/>
  <c r="AN121" i="26" s="1"/>
  <c r="AI122" i="26"/>
  <c r="AJ122" i="26" s="1"/>
  <c r="AK122" i="26" s="1"/>
  <c r="AL122" i="26"/>
  <c r="AM122" i="26" s="1"/>
  <c r="AN122" i="26" s="1"/>
  <c r="AE95" i="26"/>
  <c r="AS95" i="26"/>
  <c r="R97" i="26"/>
  <c r="V96" i="26"/>
  <c r="Q115" i="26"/>
  <c r="S115" i="26" s="1"/>
  <c r="T115" i="26" s="1"/>
  <c r="R116" i="26" s="1"/>
  <c r="S116" i="26" s="1"/>
  <c r="S98" i="26"/>
  <c r="T97" i="26"/>
  <c r="AI117" i="26"/>
  <c r="AJ117" i="26" s="1"/>
  <c r="AK117" i="26" s="1"/>
  <c r="AL117" i="26"/>
  <c r="AM117" i="26" s="1"/>
  <c r="AN117" i="26" s="1"/>
  <c r="AI115" i="26"/>
  <c r="AJ115" i="26" s="1"/>
  <c r="AK115" i="26" s="1"/>
  <c r="AL115" i="26"/>
  <c r="AM115" i="26" s="1"/>
  <c r="AN115" i="26" s="1"/>
  <c r="AI116" i="26"/>
  <c r="AJ116" i="26" s="1"/>
  <c r="AK116" i="26" s="1"/>
  <c r="AL116" i="26"/>
  <c r="AM116" i="26" s="1"/>
  <c r="AN116" i="26" s="1"/>
  <c r="AI120" i="26"/>
  <c r="AJ120" i="26" s="1"/>
  <c r="AK120" i="26" s="1"/>
  <c r="AL120" i="26"/>
  <c r="AM120" i="26" s="1"/>
  <c r="AN120" i="26" s="1"/>
  <c r="AI119" i="26"/>
  <c r="AJ119" i="26" s="1"/>
  <c r="AK119" i="26" s="1"/>
  <c r="AL119" i="26"/>
  <c r="AM119" i="26" s="1"/>
  <c r="AN119" i="26" s="1"/>
  <c r="AI118" i="26"/>
  <c r="AJ118" i="26" s="1"/>
  <c r="AK118" i="26" s="1"/>
  <c r="AL118" i="26"/>
  <c r="AM118" i="26" s="1"/>
  <c r="AN118" i="26" s="1"/>
  <c r="BQ82" i="35" l="1"/>
  <c r="BM32" i="37"/>
  <c r="BM44" i="37" s="1"/>
  <c r="BY32" i="37"/>
  <c r="BS47" i="37"/>
  <c r="BS49" i="37" s="1"/>
  <c r="BN161" i="37"/>
  <c r="BO160" i="37"/>
  <c r="BT46" i="37" s="1"/>
  <c r="BR75" i="35"/>
  <c r="BM85" i="35"/>
  <c r="BM87" i="35" s="1"/>
  <c r="AY110" i="35"/>
  <c r="AZ109" i="35"/>
  <c r="BN84" i="35" s="1"/>
  <c r="AR121" i="26"/>
  <c r="AR122" i="26"/>
  <c r="V115" i="26"/>
  <c r="R98" i="26"/>
  <c r="V97" i="26"/>
  <c r="AE96" i="26"/>
  <c r="AS96" i="26"/>
  <c r="AR119" i="26"/>
  <c r="AR116" i="26"/>
  <c r="AR117" i="26"/>
  <c r="AR118" i="26"/>
  <c r="AR120" i="26"/>
  <c r="AR115" i="26"/>
  <c r="S117" i="26"/>
  <c r="T116" i="26"/>
  <c r="S99" i="26"/>
  <c r="T98" i="26"/>
  <c r="BR74" i="35" l="1"/>
  <c r="BJ74" i="35"/>
  <c r="BJ82" i="35" s="1"/>
  <c r="BO161" i="37"/>
  <c r="BU46" i="37" s="1"/>
  <c r="BN162" i="37"/>
  <c r="BX31" i="37"/>
  <c r="BX44" i="37" s="1"/>
  <c r="BP31" i="37"/>
  <c r="BP44" i="37" s="1"/>
  <c r="BT47" i="37"/>
  <c r="BT49" i="37" s="1"/>
  <c r="AZ110" i="35"/>
  <c r="BO84" i="35" s="1"/>
  <c r="AY111" i="35"/>
  <c r="BN85" i="35"/>
  <c r="BN87" i="35" s="1"/>
  <c r="AS115" i="26"/>
  <c r="R99" i="26"/>
  <c r="V98" i="26"/>
  <c r="AE97" i="26"/>
  <c r="AS97" i="26"/>
  <c r="T99" i="26"/>
  <c r="S100" i="26"/>
  <c r="S118" i="26"/>
  <c r="T117" i="26"/>
  <c r="V116" i="26"/>
  <c r="R117" i="26"/>
  <c r="BL73" i="35" l="1"/>
  <c r="BL82" i="35" s="1"/>
  <c r="BR73" i="35"/>
  <c r="BN163" i="37"/>
  <c r="BO162" i="37"/>
  <c r="BV46" i="37" s="1"/>
  <c r="BU47" i="37"/>
  <c r="BU49" i="37" s="1"/>
  <c r="BQ30" i="37"/>
  <c r="BQ44" i="37" s="1"/>
  <c r="BY30" i="37"/>
  <c r="AY112" i="35"/>
  <c r="AZ111" i="35"/>
  <c r="BP84" i="35" s="1"/>
  <c r="BO85" i="35"/>
  <c r="BO87" i="35" s="1"/>
  <c r="AE98" i="26"/>
  <c r="AS98" i="26"/>
  <c r="R100" i="26"/>
  <c r="V99" i="26"/>
  <c r="T100" i="26"/>
  <c r="S101" i="26"/>
  <c r="V117" i="26"/>
  <c r="R118" i="26"/>
  <c r="S119" i="26"/>
  <c r="T118" i="26"/>
  <c r="AS116" i="26"/>
  <c r="BR72" i="35" l="1"/>
  <c r="BN72" i="35"/>
  <c r="BN82" i="35" s="1"/>
  <c r="BV47" i="37"/>
  <c r="BV49" i="37" s="1"/>
  <c r="BY29" i="37"/>
  <c r="BS29" i="37"/>
  <c r="BS44" i="37" s="1"/>
  <c r="BO163" i="37"/>
  <c r="BW46" i="37" s="1"/>
  <c r="BN164" i="37"/>
  <c r="BP85" i="35"/>
  <c r="BP87" i="35" s="1"/>
  <c r="AZ112" i="35"/>
  <c r="BQ84" i="35" s="1"/>
  <c r="AY113" i="35"/>
  <c r="R101" i="26"/>
  <c r="V100" i="26"/>
  <c r="AE99" i="26"/>
  <c r="AS99" i="26"/>
  <c r="V118" i="26"/>
  <c r="R119" i="26"/>
  <c r="S102" i="26"/>
  <c r="T101" i="26"/>
  <c r="AS117" i="26"/>
  <c r="S120" i="26"/>
  <c r="S121" i="26" s="1"/>
  <c r="T119" i="26"/>
  <c r="BP71" i="35" l="1"/>
  <c r="BP82" i="35" s="1"/>
  <c r="BR71" i="35"/>
  <c r="BO164" i="37"/>
  <c r="BX46" i="37" s="1"/>
  <c r="BN165" i="37"/>
  <c r="BO165" i="37" s="1"/>
  <c r="BY46" i="37" s="1"/>
  <c r="BY47" i="37" s="1"/>
  <c r="BY49" i="37" s="1"/>
  <c r="BY28" i="37"/>
  <c r="BW47" i="37"/>
  <c r="BW49" i="37" s="1"/>
  <c r="BU28" i="37"/>
  <c r="BU44" i="37" s="1"/>
  <c r="BQ85" i="35"/>
  <c r="BQ87" i="35" s="1"/>
  <c r="AZ113" i="35"/>
  <c r="BR84" i="35" s="1"/>
  <c r="T121" i="26"/>
  <c r="S122" i="26"/>
  <c r="T122" i="26" s="1"/>
  <c r="V122" i="26" s="1"/>
  <c r="R102" i="26"/>
  <c r="V101" i="26"/>
  <c r="AE100" i="26"/>
  <c r="AS100" i="26"/>
  <c r="V119" i="26"/>
  <c r="R120" i="26"/>
  <c r="S103" i="26"/>
  <c r="T102" i="26"/>
  <c r="T120" i="26"/>
  <c r="R121" i="26" s="1"/>
  <c r="AS118" i="26"/>
  <c r="BY27" i="37" l="1"/>
  <c r="BY44" i="37" s="1"/>
  <c r="BX47" i="37"/>
  <c r="BX49" i="37" s="1"/>
  <c r="BW27" i="37"/>
  <c r="BW44" i="37" s="1"/>
  <c r="BR82" i="35"/>
  <c r="BG82" i="35"/>
  <c r="BR85" i="35"/>
  <c r="BR87" i="35" s="1"/>
  <c r="AF122" i="26"/>
  <c r="AS122" i="26"/>
  <c r="V121" i="26"/>
  <c r="R122" i="26"/>
  <c r="AE101" i="26"/>
  <c r="AS101" i="26"/>
  <c r="R103" i="26"/>
  <c r="V102" i="26"/>
  <c r="AS119" i="26"/>
  <c r="T103" i="26"/>
  <c r="S104" i="26"/>
  <c r="V120" i="26"/>
  <c r="BI82" i="35" l="1"/>
  <c r="AF116" i="26"/>
  <c r="AF115" i="26"/>
  <c r="AF121" i="26"/>
  <c r="AS121" i="26"/>
  <c r="AU122" i="26"/>
  <c r="R104" i="26"/>
  <c r="V103" i="26"/>
  <c r="AF102" i="26" s="1"/>
  <c r="AE102" i="26"/>
  <c r="AS102" i="26"/>
  <c r="T104" i="26"/>
  <c r="R105" i="26" s="1"/>
  <c r="S105" i="26"/>
  <c r="T105" i="26" s="1"/>
  <c r="AS120" i="26"/>
  <c r="BK82" i="35" l="1"/>
  <c r="AU121" i="26"/>
  <c r="AW121" i="26" s="1"/>
  <c r="AY121" i="26" s="1"/>
  <c r="AW122" i="26"/>
  <c r="AY122" i="26" s="1"/>
  <c r="AV122" i="26"/>
  <c r="AX122" i="26" s="1"/>
  <c r="AZ122" i="26" s="1"/>
  <c r="AF96" i="26"/>
  <c r="AU96" i="26" s="1"/>
  <c r="AF100" i="26"/>
  <c r="AU100" i="26" s="1"/>
  <c r="AF98" i="26"/>
  <c r="AU98" i="26" s="1"/>
  <c r="AF99" i="26"/>
  <c r="AU99" i="26" s="1"/>
  <c r="AF97" i="26"/>
  <c r="AU97" i="26" s="1"/>
  <c r="AU102" i="26"/>
  <c r="AE103" i="26"/>
  <c r="AF103" i="26"/>
  <c r="AS103" i="26"/>
  <c r="AF95" i="26"/>
  <c r="AU95" i="26" s="1"/>
  <c r="AF94" i="26"/>
  <c r="AU94" i="26" s="1"/>
  <c r="AF101" i="26"/>
  <c r="AU101" i="26" s="1"/>
  <c r="BM82" i="35" l="1"/>
  <c r="AV121" i="26"/>
  <c r="AX121" i="26" s="1"/>
  <c r="AZ121" i="26" s="1"/>
  <c r="BA121" i="26"/>
  <c r="BA122" i="26"/>
  <c r="AU103" i="26"/>
  <c r="AD102" i="26"/>
  <c r="AC102" i="26" s="1"/>
  <c r="AD101" i="26"/>
  <c r="AC101" i="26" s="1"/>
  <c r="AD99" i="26"/>
  <c r="AC99" i="26" s="1"/>
  <c r="AD105" i="26"/>
  <c r="AC105" i="26" s="1"/>
  <c r="AD96" i="26"/>
  <c r="AC96" i="26" s="1"/>
  <c r="AD97" i="26"/>
  <c r="AC97" i="26" s="1"/>
  <c r="AD100" i="26"/>
  <c r="AC100" i="26" s="1"/>
  <c r="AD103" i="26"/>
  <c r="AC103" i="26" s="1"/>
  <c r="AD104" i="26"/>
  <c r="AC104" i="26" s="1"/>
  <c r="AD98" i="26"/>
  <c r="AC98" i="26" s="1"/>
  <c r="AD94" i="26"/>
  <c r="AC94" i="26" s="1"/>
  <c r="AD95" i="26"/>
  <c r="AC95" i="26" s="1"/>
  <c r="BO82" i="35" l="1"/>
  <c r="AC93" i="26"/>
  <c r="AA94" i="26" s="1"/>
  <c r="T111" i="26" l="1"/>
  <c r="AF117" i="26" l="1"/>
  <c r="AU117" i="26" s="1"/>
  <c r="AV117" i="26" s="1"/>
  <c r="AX117" i="26" s="1"/>
  <c r="AZ117" i="26" s="1"/>
  <c r="AF119" i="26"/>
  <c r="AU119" i="26" s="1"/>
  <c r="AW119" i="26" s="1"/>
  <c r="AY119" i="26" s="1"/>
  <c r="AU115" i="26"/>
  <c r="AO103" i="26"/>
  <c r="AT103" i="26" s="1"/>
  <c r="AO105" i="26"/>
  <c r="AT105" i="26" s="1"/>
  <c r="AO98" i="26"/>
  <c r="AT98" i="26" s="1"/>
  <c r="AO101" i="26"/>
  <c r="AT101" i="26" s="1"/>
  <c r="AO100" i="26"/>
  <c r="AT100" i="26" s="1"/>
  <c r="AO104" i="26"/>
  <c r="AT104" i="26" s="1"/>
  <c r="AO102" i="26"/>
  <c r="AT102" i="26" s="1"/>
  <c r="AO99" i="26"/>
  <c r="AT99" i="26" s="1"/>
  <c r="AO96" i="26"/>
  <c r="AT96" i="26" s="1"/>
  <c r="AO95" i="26"/>
  <c r="AT95" i="26" s="1"/>
  <c r="AO97" i="26"/>
  <c r="AT97" i="26" s="1"/>
  <c r="AO94" i="26"/>
  <c r="AO90" i="26" s="1"/>
  <c r="AF118" i="26"/>
  <c r="AU118" i="26" s="1"/>
  <c r="AF120" i="26"/>
  <c r="AU120" i="26" s="1"/>
  <c r="AU116" i="26"/>
  <c r="C9" i="26" l="1"/>
  <c r="AT94" i="26"/>
  <c r="AW117" i="26"/>
  <c r="AY117" i="26" s="1"/>
  <c r="AV119" i="26"/>
  <c r="AX119" i="26" s="1"/>
  <c r="AZ119" i="26" s="1"/>
  <c r="AW95" i="26"/>
  <c r="AY95" i="26" s="1"/>
  <c r="BA95" i="26" s="1"/>
  <c r="AV95" i="26"/>
  <c r="AX95" i="26" s="1"/>
  <c r="AZ95" i="26" s="1"/>
  <c r="AW105" i="26"/>
  <c r="AY105" i="26" s="1"/>
  <c r="BA105" i="26" s="1"/>
  <c r="AV105" i="26"/>
  <c r="AX105" i="26" s="1"/>
  <c r="AZ105" i="26" s="1"/>
  <c r="AW116" i="26"/>
  <c r="AY116" i="26" s="1"/>
  <c r="AV116" i="26"/>
  <c r="AX116" i="26" s="1"/>
  <c r="AZ116" i="26" s="1"/>
  <c r="AW96" i="26"/>
  <c r="AY96" i="26" s="1"/>
  <c r="BA96" i="26" s="1"/>
  <c r="AV96" i="26"/>
  <c r="AX96" i="26" s="1"/>
  <c r="AZ96" i="26" s="1"/>
  <c r="AW100" i="26"/>
  <c r="AY100" i="26" s="1"/>
  <c r="BA100" i="26" s="1"/>
  <c r="AV100" i="26"/>
  <c r="AX100" i="26" s="1"/>
  <c r="AZ100" i="26" s="1"/>
  <c r="AW103" i="26"/>
  <c r="AY103" i="26" s="1"/>
  <c r="BA103" i="26" s="1"/>
  <c r="AV103" i="26"/>
  <c r="AX103" i="26" s="1"/>
  <c r="AZ103" i="26" s="1"/>
  <c r="AW120" i="26"/>
  <c r="AY120" i="26" s="1"/>
  <c r="AV120" i="26"/>
  <c r="AX120" i="26" s="1"/>
  <c r="AZ120" i="26" s="1"/>
  <c r="AW99" i="26"/>
  <c r="AY99" i="26" s="1"/>
  <c r="BA99" i="26" s="1"/>
  <c r="AV99" i="26"/>
  <c r="AX99" i="26" s="1"/>
  <c r="AZ99" i="26" s="1"/>
  <c r="AW101" i="26"/>
  <c r="AY101" i="26" s="1"/>
  <c r="BA101" i="26" s="1"/>
  <c r="AV101" i="26"/>
  <c r="AX101" i="26" s="1"/>
  <c r="AZ101" i="26" s="1"/>
  <c r="AW115" i="26"/>
  <c r="AY115" i="26" s="1"/>
  <c r="AV115" i="26"/>
  <c r="AX115" i="26" s="1"/>
  <c r="AZ115" i="26" s="1"/>
  <c r="AW97" i="26"/>
  <c r="AY97" i="26" s="1"/>
  <c r="BA97" i="26" s="1"/>
  <c r="AV97" i="26"/>
  <c r="AX97" i="26" s="1"/>
  <c r="AZ97" i="26" s="1"/>
  <c r="AW102" i="26"/>
  <c r="AY102" i="26" s="1"/>
  <c r="BA102" i="26" s="1"/>
  <c r="AV102" i="26"/>
  <c r="AX102" i="26" s="1"/>
  <c r="AZ102" i="26" s="1"/>
  <c r="AW98" i="26"/>
  <c r="AY98" i="26" s="1"/>
  <c r="BA98" i="26" s="1"/>
  <c r="AV98" i="26"/>
  <c r="AX98" i="26" s="1"/>
  <c r="AZ98" i="26" s="1"/>
  <c r="AW118" i="26"/>
  <c r="AY118" i="26" s="1"/>
  <c r="AV118" i="26"/>
  <c r="AX118" i="26" s="1"/>
  <c r="AZ118" i="26" s="1"/>
  <c r="AW104" i="26"/>
  <c r="AY104" i="26" s="1"/>
  <c r="BA104" i="26" s="1"/>
  <c r="AV104" i="26"/>
  <c r="AX104" i="26" s="1"/>
  <c r="AZ104" i="26" s="1"/>
  <c r="BA119" i="26"/>
  <c r="D3" i="26" l="1"/>
  <c r="C3" i="26"/>
  <c r="BA116" i="26"/>
  <c r="BA117" i="26"/>
  <c r="BA120" i="26"/>
  <c r="BA115" i="26"/>
  <c r="BA118" i="26"/>
  <c r="D22" i="26"/>
  <c r="C22" i="26"/>
  <c r="AW94" i="26"/>
  <c r="AY94" i="26" s="1"/>
  <c r="BA94" i="26" s="1"/>
  <c r="AV94" i="26"/>
  <c r="AX94" i="26" s="1"/>
  <c r="AZ94" i="26" s="1"/>
  <c r="BS154" i="26" l="1"/>
  <c r="BS156" i="26"/>
  <c r="BT156" i="26" s="1"/>
  <c r="BS155" i="26"/>
  <c r="BT155" i="26" s="1"/>
  <c r="BS157" i="26"/>
  <c r="BT157" i="26" s="1"/>
  <c r="BS158" i="26"/>
  <c r="BT158" i="26" s="1"/>
  <c r="BS159" i="26"/>
  <c r="BT159" i="26" s="1"/>
  <c r="BS160" i="26"/>
  <c r="BT160" i="26" s="1"/>
  <c r="BS161" i="26"/>
  <c r="BT161" i="26" s="1"/>
  <c r="BS162" i="26"/>
  <c r="BT162" i="26" s="1"/>
  <c r="BS163" i="26"/>
  <c r="BT163" i="26" s="1"/>
  <c r="BS164" i="26"/>
  <c r="BT164" i="26" s="1"/>
  <c r="BS165" i="26"/>
  <c r="BT165" i="26" s="1"/>
  <c r="BS166" i="26"/>
  <c r="BT166" i="26" s="1"/>
  <c r="BS167" i="26"/>
  <c r="BT167" i="26" s="1"/>
  <c r="BS168" i="26"/>
  <c r="BT168" i="26" s="1"/>
  <c r="BS169" i="26"/>
  <c r="BT169" i="26" s="1"/>
  <c r="BS170" i="26"/>
  <c r="BT170" i="26" s="1"/>
  <c r="BS171" i="26"/>
  <c r="CE34" i="26"/>
  <c r="BO34" i="26"/>
  <c r="CG71" i="26" l="1"/>
  <c r="D87" i="26" s="1"/>
  <c r="BT171" i="26"/>
  <c r="BT154" i="26"/>
  <c r="BI71" i="26"/>
  <c r="D85" i="26" s="1"/>
  <c r="BU154" i="26" l="1"/>
  <c r="BV154" i="26" s="1"/>
  <c r="BO56" i="26" s="1"/>
  <c r="BO57" i="26" s="1"/>
  <c r="BO59" i="26" s="1"/>
  <c r="BU155" i="26" l="1"/>
  <c r="BU156" i="26" s="1"/>
  <c r="BV155" i="26" l="1"/>
  <c r="BP56" i="26" s="1"/>
  <c r="BO52" i="26" s="1"/>
  <c r="BU157" i="26"/>
  <c r="BV156" i="26"/>
  <c r="BQ56" i="26" s="1"/>
  <c r="BP57" i="26" l="1"/>
  <c r="BP59" i="26" s="1"/>
  <c r="BQ52" i="26"/>
  <c r="BQ54" i="26" s="1"/>
  <c r="BS51" i="26"/>
  <c r="BS54" i="26" s="1"/>
  <c r="BQ57" i="26"/>
  <c r="BQ59" i="26" s="1"/>
  <c r="BO51" i="26"/>
  <c r="BU158" i="26"/>
  <c r="BV157" i="26"/>
  <c r="BR56" i="26" s="1"/>
  <c r="BU159" i="26" l="1"/>
  <c r="BV158" i="26"/>
  <c r="BS56" i="26" s="1"/>
  <c r="BP50" i="26"/>
  <c r="BT50" i="26"/>
  <c r="BR57" i="26"/>
  <c r="BR59" i="26" s="1"/>
  <c r="BW49" i="26" l="1"/>
  <c r="BS57" i="26"/>
  <c r="BS59" i="26" s="1"/>
  <c r="BO49" i="26"/>
  <c r="BU160" i="26"/>
  <c r="BV159" i="26"/>
  <c r="BT56" i="26" s="1"/>
  <c r="BU161" i="26" l="1"/>
  <c r="BV160" i="26"/>
  <c r="BU56" i="26" s="1"/>
  <c r="BY48" i="26"/>
  <c r="BY54" i="26" s="1"/>
  <c r="BT57" i="26"/>
  <c r="BT59" i="26" s="1"/>
  <c r="BO48" i="26"/>
  <c r="CA47" i="26" l="1"/>
  <c r="CA54" i="26" s="1"/>
  <c r="BU57" i="26"/>
  <c r="BU59" i="26" s="1"/>
  <c r="BO47" i="26"/>
  <c r="BU162" i="26"/>
  <c r="BV161" i="26"/>
  <c r="BV56" i="26" s="1"/>
  <c r="BU163" i="26" l="1"/>
  <c r="BV162" i="26"/>
  <c r="BW56" i="26" s="1"/>
  <c r="BO46" i="26"/>
  <c r="BV57" i="26"/>
  <c r="BV59" i="26" s="1"/>
  <c r="CC46" i="26"/>
  <c r="CC54" i="26" s="1"/>
  <c r="CE45" i="26" l="1"/>
  <c r="BO45" i="26"/>
  <c r="BO54" i="26" s="1"/>
  <c r="BW57" i="26"/>
  <c r="BW59" i="26" s="1"/>
  <c r="BU164" i="26"/>
  <c r="BV163" i="26"/>
  <c r="BX56" i="26" s="1"/>
  <c r="BU165" i="26" l="1"/>
  <c r="BV164" i="26"/>
  <c r="BY56" i="26" s="1"/>
  <c r="CF44" i="26"/>
  <c r="BX57" i="26"/>
  <c r="BX59" i="26" s="1"/>
  <c r="BP44" i="26"/>
  <c r="BP54" i="26" s="1"/>
  <c r="BY57" i="26" l="1"/>
  <c r="BY59" i="26" s="1"/>
  <c r="CF43" i="26"/>
  <c r="BR43" i="26"/>
  <c r="BR54" i="26" s="1"/>
  <c r="BV165" i="26"/>
  <c r="BZ56" i="26" s="1"/>
  <c r="BU166" i="26"/>
  <c r="BT42" i="26" l="1"/>
  <c r="BT54" i="26" s="1"/>
  <c r="BZ57" i="26"/>
  <c r="BZ59" i="26" s="1"/>
  <c r="CF42" i="26"/>
  <c r="BU167" i="26"/>
  <c r="BV166" i="26"/>
  <c r="CA56" i="26" s="1"/>
  <c r="BU168" i="26" l="1"/>
  <c r="BV167" i="26"/>
  <c r="CB56" i="26" s="1"/>
  <c r="CE41" i="26"/>
  <c r="CE54" i="26" s="1"/>
  <c r="CA57" i="26"/>
  <c r="CA59" i="26" s="1"/>
  <c r="BW41" i="26"/>
  <c r="BW54" i="26" s="1"/>
  <c r="CF40" i="26" l="1"/>
  <c r="BX40" i="26"/>
  <c r="BX54" i="26" s="1"/>
  <c r="CB57" i="26"/>
  <c r="CB59" i="26" s="1"/>
  <c r="BU169" i="26"/>
  <c r="BV168" i="26"/>
  <c r="CC56" i="26" s="1"/>
  <c r="BU170" i="26" l="1"/>
  <c r="BV169" i="26"/>
  <c r="CD56" i="26" s="1"/>
  <c r="CF39" i="26"/>
  <c r="BZ39" i="26"/>
  <c r="BZ54" i="26" s="1"/>
  <c r="CC57" i="26"/>
  <c r="CC59" i="26" s="1"/>
  <c r="CB38" i="26" l="1"/>
  <c r="CB54" i="26" s="1"/>
  <c r="CD57" i="26"/>
  <c r="CD59" i="26" s="1"/>
  <c r="CF38" i="26"/>
  <c r="BU171" i="26"/>
  <c r="BV171" i="26" s="1"/>
  <c r="CF56" i="26" s="1"/>
  <c r="CF57" i="26" s="1"/>
  <c r="CF59" i="26" s="1"/>
  <c r="BV170" i="26"/>
  <c r="CE56" i="26" s="1"/>
  <c r="CF37" i="26" l="1"/>
  <c r="CF54" i="26" s="1"/>
  <c r="CE57" i="26"/>
  <c r="CE59" i="26" s="1"/>
  <c r="CD37" i="26"/>
  <c r="CD54" i="26" s="1"/>
  <c r="AV94" i="1" l="1"/>
  <c r="AV95" i="1" l="1"/>
  <c r="AV96" i="1" l="1"/>
  <c r="AV97" i="1" l="1"/>
  <c r="AV98" i="1" l="1"/>
  <c r="AV99" i="1" l="1"/>
  <c r="AV100" i="1" l="1"/>
  <c r="AV101" i="1" l="1"/>
  <c r="AV102" i="1" l="1"/>
  <c r="AV103" i="1" l="1"/>
  <c r="AV104" i="1" l="1"/>
  <c r="AV105" i="1" l="1"/>
  <c r="AV106" i="1" l="1"/>
  <c r="AV107" i="1" l="1"/>
  <c r="AV108" i="1" l="1"/>
  <c r="AV109" i="1" l="1"/>
  <c r="AV110" i="1" l="1"/>
  <c r="AV111" i="1" l="1"/>
  <c r="J76" i="2" l="1"/>
  <c r="K76" i="2" s="1"/>
  <c r="L76" i="2" s="1"/>
  <c r="M76" i="2" s="1"/>
  <c r="J75" i="2"/>
  <c r="K75" i="2" s="1"/>
  <c r="L75" i="2" s="1"/>
  <c r="M75" i="2" s="1"/>
  <c r="J74" i="2"/>
  <c r="K74" i="2" s="1"/>
  <c r="L74" i="2" s="1"/>
  <c r="M74" i="2" s="1"/>
  <c r="J73" i="2"/>
  <c r="K73" i="2" s="1"/>
  <c r="L73" i="2" s="1"/>
  <c r="M73" i="2" s="1"/>
  <c r="J72" i="2"/>
  <c r="K72" i="2" s="1"/>
  <c r="L72" i="2" s="1"/>
  <c r="M72" i="2" s="1"/>
  <c r="J71" i="2"/>
  <c r="K71" i="2" s="1"/>
  <c r="L71" i="2" s="1"/>
  <c r="M71" i="2" s="1"/>
  <c r="J70" i="2"/>
  <c r="K70" i="2" s="1"/>
  <c r="L70" i="2" s="1"/>
  <c r="M70" i="2" s="1"/>
  <c r="J69" i="2"/>
  <c r="K69" i="2" s="1"/>
  <c r="L69" i="2" s="1"/>
  <c r="M69" i="2" s="1"/>
  <c r="J68" i="2"/>
  <c r="K68" i="2" s="1"/>
  <c r="L68" i="2" s="1"/>
  <c r="M68" i="2" s="1"/>
  <c r="J67" i="2"/>
  <c r="K67" i="2" s="1"/>
  <c r="L67" i="2" s="1"/>
  <c r="M67" i="2" s="1"/>
  <c r="I66" i="2"/>
  <c r="J66" i="2" s="1"/>
  <c r="K66" i="2" s="1"/>
  <c r="L66" i="2" s="1"/>
  <c r="M66" i="2" s="1"/>
  <c r="C65" i="2"/>
  <c r="BI21" i="1"/>
  <c r="B14" i="1"/>
  <c r="C14" i="1" s="1"/>
  <c r="C71" i="1"/>
  <c r="Y76" i="1" s="1"/>
  <c r="G71" i="1"/>
  <c r="J72" i="1"/>
  <c r="K72" i="1" s="1"/>
  <c r="L72" i="1" s="1"/>
  <c r="M72" i="1" s="1"/>
  <c r="N72" i="1" s="1"/>
  <c r="J73" i="1"/>
  <c r="K73" i="1" s="1"/>
  <c r="L73" i="1" s="1"/>
  <c r="M73" i="1" s="1"/>
  <c r="N73" i="1" s="1"/>
  <c r="J74" i="1"/>
  <c r="K74" i="1" s="1"/>
  <c r="L74" i="1" s="1"/>
  <c r="M74" i="1" s="1"/>
  <c r="N74" i="1" s="1"/>
  <c r="J75" i="1"/>
  <c r="K75" i="1" s="1"/>
  <c r="L75" i="1" s="1"/>
  <c r="M75" i="1" s="1"/>
  <c r="N75" i="1" s="1"/>
  <c r="J76" i="1"/>
  <c r="K76" i="1" s="1"/>
  <c r="L76" i="1" s="1"/>
  <c r="M76" i="1" s="1"/>
  <c r="N76" i="1" s="1"/>
  <c r="J77" i="1"/>
  <c r="K77" i="1" s="1"/>
  <c r="L77" i="1" s="1"/>
  <c r="M77" i="1" s="1"/>
  <c r="N77" i="1" s="1"/>
  <c r="J78" i="1"/>
  <c r="K78" i="1" s="1"/>
  <c r="L78" i="1" s="1"/>
  <c r="M78" i="1" s="1"/>
  <c r="N78" i="1" s="1"/>
  <c r="J79" i="1"/>
  <c r="K79" i="1" s="1"/>
  <c r="L79" i="1" s="1"/>
  <c r="M79" i="1" s="1"/>
  <c r="N79" i="1" s="1"/>
  <c r="J80" i="1"/>
  <c r="K80" i="1" s="1"/>
  <c r="L80" i="1" s="1"/>
  <c r="M80" i="1" s="1"/>
  <c r="N80" i="1" s="1"/>
  <c r="J81" i="1"/>
  <c r="K81" i="1" s="1"/>
  <c r="L81" i="1" s="1"/>
  <c r="M81" i="1" s="1"/>
  <c r="N81" i="1" s="1"/>
  <c r="J82" i="1"/>
  <c r="K82" i="1" s="1"/>
  <c r="L82" i="1" s="1"/>
  <c r="M82" i="1" s="1"/>
  <c r="N82" i="1" s="1"/>
  <c r="J83" i="1"/>
  <c r="K83" i="1" s="1"/>
  <c r="L83" i="1" s="1"/>
  <c r="M83" i="1" s="1"/>
  <c r="N83" i="1" s="1"/>
  <c r="J84" i="1"/>
  <c r="K84" i="1" s="1"/>
  <c r="L84" i="1" s="1"/>
  <c r="M84" i="1" s="1"/>
  <c r="N84" i="1" s="1"/>
  <c r="J85" i="1"/>
  <c r="K85" i="1" s="1"/>
  <c r="L85" i="1" s="1"/>
  <c r="M85" i="1" s="1"/>
  <c r="N85" i="1" s="1"/>
  <c r="J86" i="1"/>
  <c r="K86" i="1" s="1"/>
  <c r="L86" i="1" s="1"/>
  <c r="M86" i="1" s="1"/>
  <c r="N86" i="1" s="1"/>
  <c r="J87" i="1"/>
  <c r="K87" i="1" s="1"/>
  <c r="L87" i="1" s="1"/>
  <c r="M87" i="1" s="1"/>
  <c r="N87" i="1" s="1"/>
  <c r="J88" i="1"/>
  <c r="K88" i="1" s="1"/>
  <c r="L88" i="1" s="1"/>
  <c r="M88" i="1" s="1"/>
  <c r="N88" i="1" s="1"/>
  <c r="J89" i="1"/>
  <c r="K89" i="1" s="1"/>
  <c r="L89" i="1" s="1"/>
  <c r="M89" i="1" s="1"/>
  <c r="N89" i="1" s="1"/>
  <c r="J90" i="1"/>
  <c r="K90" i="1" s="1"/>
  <c r="L90" i="1" s="1"/>
  <c r="M90" i="1" s="1"/>
  <c r="N90" i="1" s="1"/>
  <c r="AC76" i="1" l="1"/>
  <c r="AD76" i="1" s="1"/>
  <c r="AE76" i="1" s="1"/>
  <c r="Z76" i="1"/>
  <c r="AA76" i="1" s="1"/>
  <c r="AB76" i="1" s="1"/>
  <c r="Y80" i="1"/>
  <c r="O83" i="1"/>
  <c r="P83" i="1" s="1"/>
  <c r="Q83" i="1" s="1"/>
  <c r="Y82" i="1"/>
  <c r="O78" i="1"/>
  <c r="P78" i="1" s="1"/>
  <c r="Q78" i="1" s="1"/>
  <c r="O87" i="1"/>
  <c r="P87" i="1" s="1"/>
  <c r="Q87" i="1" s="1"/>
  <c r="O85" i="1"/>
  <c r="P85" i="1" s="1"/>
  <c r="Q85" i="1" s="1"/>
  <c r="O88" i="1"/>
  <c r="P88" i="1" s="1"/>
  <c r="Q88" i="1" s="1"/>
  <c r="N76" i="2"/>
  <c r="O76" i="2" s="1"/>
  <c r="P76" i="2" s="1"/>
  <c r="I65" i="2"/>
  <c r="O65" i="2" s="1"/>
  <c r="P65" i="2" s="1"/>
  <c r="R65" i="2" s="1"/>
  <c r="O89" i="1"/>
  <c r="P89" i="1" s="1"/>
  <c r="Q89" i="1" s="1"/>
  <c r="Y84" i="1"/>
  <c r="Y73" i="1"/>
  <c r="Y74" i="1"/>
  <c r="Y87" i="1"/>
  <c r="O74" i="1"/>
  <c r="P74" i="1" s="1"/>
  <c r="Q74" i="1" s="1"/>
  <c r="Y89" i="1"/>
  <c r="O80" i="1"/>
  <c r="P80" i="1" s="1"/>
  <c r="Q80" i="1" s="1"/>
  <c r="O71" i="1"/>
  <c r="P71" i="1" s="1"/>
  <c r="Y86" i="1"/>
  <c r="O82" i="1"/>
  <c r="P82" i="1" s="1"/>
  <c r="Q82" i="1" s="1"/>
  <c r="O79" i="1"/>
  <c r="P79" i="1" s="1"/>
  <c r="Q79" i="1" s="1"/>
  <c r="Y79" i="1"/>
  <c r="J71" i="1"/>
  <c r="K71" i="1" s="1"/>
  <c r="L71" i="1" s="1"/>
  <c r="M71" i="1" s="1"/>
  <c r="N71" i="1" s="1"/>
  <c r="O77" i="1"/>
  <c r="P77" i="1" s="1"/>
  <c r="Q77" i="1" s="1"/>
  <c r="Y88" i="1"/>
  <c r="O73" i="1"/>
  <c r="P73" i="1" s="1"/>
  <c r="Q73" i="1" s="1"/>
  <c r="Y72" i="1"/>
  <c r="Y85" i="1"/>
  <c r="O86" i="1"/>
  <c r="P86" i="1" s="1"/>
  <c r="Q86" i="1" s="1"/>
  <c r="Y81" i="1"/>
  <c r="Y71" i="1"/>
  <c r="O90" i="1"/>
  <c r="P90" i="1" s="1"/>
  <c r="Q90" i="1" s="1"/>
  <c r="Y75" i="1"/>
  <c r="O84" i="1"/>
  <c r="P84" i="1" s="1"/>
  <c r="Q84" i="1" s="1"/>
  <c r="O76" i="1"/>
  <c r="P76" i="1" s="1"/>
  <c r="Q76" i="1" s="1"/>
  <c r="Y83" i="1"/>
  <c r="O81" i="1"/>
  <c r="P81" i="1" s="1"/>
  <c r="Q81" i="1" s="1"/>
  <c r="Y78" i="1"/>
  <c r="O72" i="1"/>
  <c r="P72" i="1" s="1"/>
  <c r="Q72" i="1" s="1"/>
  <c r="Y90" i="1"/>
  <c r="Y77" i="1"/>
  <c r="O75" i="1"/>
  <c r="P75" i="1" s="1"/>
  <c r="Q75" i="1" s="1"/>
  <c r="Y65" i="2"/>
  <c r="N71" i="2"/>
  <c r="O71" i="2" s="1"/>
  <c r="P71" i="2" s="1"/>
  <c r="Y69" i="2"/>
  <c r="Y74" i="2"/>
  <c r="Z74" i="2" s="1"/>
  <c r="Y70" i="2"/>
  <c r="Z70" i="2" s="1"/>
  <c r="N67" i="2"/>
  <c r="O67" i="2" s="1"/>
  <c r="P67" i="2" s="1"/>
  <c r="N68" i="2"/>
  <c r="O68" i="2" s="1"/>
  <c r="P68" i="2" s="1"/>
  <c r="Y68" i="2"/>
  <c r="Z68" i="2" s="1"/>
  <c r="Y76" i="2"/>
  <c r="Z76" i="2" s="1"/>
  <c r="Y67" i="2"/>
  <c r="Z67" i="2" s="1"/>
  <c r="Y75" i="2"/>
  <c r="Z75" i="2" s="1"/>
  <c r="Y72" i="2"/>
  <c r="Z72" i="2" s="1"/>
  <c r="N72" i="2"/>
  <c r="O72" i="2" s="1"/>
  <c r="P72" i="2" s="1"/>
  <c r="Y73" i="2"/>
  <c r="Z73" i="2" s="1"/>
  <c r="N66" i="2"/>
  <c r="O66" i="2" s="1"/>
  <c r="P66" i="2" s="1"/>
  <c r="N70" i="2"/>
  <c r="O70" i="2" s="1"/>
  <c r="P70" i="2" s="1"/>
  <c r="N73" i="2"/>
  <c r="O73" i="2" s="1"/>
  <c r="P73" i="2" s="1"/>
  <c r="N74" i="2"/>
  <c r="O74" i="2" s="1"/>
  <c r="P74" i="2" s="1"/>
  <c r="Y71" i="2"/>
  <c r="Z71" i="2" s="1"/>
  <c r="Y66" i="2"/>
  <c r="Z66" i="2" s="1"/>
  <c r="N75" i="2"/>
  <c r="O75" i="2" s="1"/>
  <c r="P75" i="2" s="1"/>
  <c r="N69" i="2"/>
  <c r="O69" i="2" s="1"/>
  <c r="P69" i="2" s="1"/>
  <c r="Z65" i="2" l="1"/>
  <c r="AA65" i="2" s="1"/>
  <c r="AB65" i="2" s="1"/>
  <c r="AC69" i="2"/>
  <c r="AD69" i="2" s="1"/>
  <c r="AE69" i="2" s="1"/>
  <c r="Z69" i="2"/>
  <c r="AA69" i="2" s="1"/>
  <c r="AB69" i="2" s="1"/>
  <c r="AC71" i="1"/>
  <c r="AD71" i="1" s="1"/>
  <c r="AE71" i="1" s="1"/>
  <c r="Z71" i="1"/>
  <c r="AA71" i="1" s="1"/>
  <c r="AB71" i="1" s="1"/>
  <c r="AC74" i="1"/>
  <c r="AD74" i="1" s="1"/>
  <c r="AE74" i="1" s="1"/>
  <c r="Z74" i="1"/>
  <c r="AA74" i="1" s="1"/>
  <c r="AB74" i="1" s="1"/>
  <c r="Z81" i="1"/>
  <c r="AA81" i="1" s="1"/>
  <c r="AB81" i="1" s="1"/>
  <c r="AC81" i="1"/>
  <c r="AD81" i="1" s="1"/>
  <c r="AE81" i="1" s="1"/>
  <c r="AC79" i="1"/>
  <c r="AD79" i="1" s="1"/>
  <c r="AE79" i="1" s="1"/>
  <c r="Z79" i="1"/>
  <c r="AA79" i="1" s="1"/>
  <c r="AB79" i="1" s="1"/>
  <c r="AC87" i="1"/>
  <c r="AD87" i="1" s="1"/>
  <c r="AE87" i="1" s="1"/>
  <c r="Z87" i="1"/>
  <c r="AA87" i="1" s="1"/>
  <c r="Z80" i="1"/>
  <c r="AA80" i="1" s="1"/>
  <c r="AC80" i="1"/>
  <c r="AD80" i="1" s="1"/>
  <c r="AE80" i="1" s="1"/>
  <c r="AC84" i="1"/>
  <c r="AD84" i="1" s="1"/>
  <c r="AE84" i="1" s="1"/>
  <c r="Z84" i="1"/>
  <c r="AA84" i="1" s="1"/>
  <c r="AB84" i="1" s="1"/>
  <c r="AC90" i="1"/>
  <c r="AD90" i="1" s="1"/>
  <c r="AE90" i="1" s="1"/>
  <c r="Z90" i="1"/>
  <c r="AA90" i="1" s="1"/>
  <c r="AB90" i="1" s="1"/>
  <c r="AC75" i="1"/>
  <c r="AD75" i="1" s="1"/>
  <c r="AE75" i="1" s="1"/>
  <c r="Z75" i="1"/>
  <c r="AA75" i="1" s="1"/>
  <c r="AB75" i="1" s="1"/>
  <c r="AC85" i="1"/>
  <c r="AD85" i="1" s="1"/>
  <c r="AE85" i="1" s="1"/>
  <c r="Z85" i="1"/>
  <c r="AA85" i="1" s="1"/>
  <c r="AB85" i="1" s="1"/>
  <c r="Z89" i="1"/>
  <c r="AA89" i="1" s="1"/>
  <c r="AB89" i="1" s="1"/>
  <c r="AC89" i="1"/>
  <c r="AD89" i="1" s="1"/>
  <c r="AE89" i="1" s="1"/>
  <c r="AC82" i="1"/>
  <c r="AD82" i="1" s="1"/>
  <c r="AE82" i="1" s="1"/>
  <c r="Z82" i="1"/>
  <c r="AA82" i="1" s="1"/>
  <c r="AC77" i="1"/>
  <c r="AD77" i="1" s="1"/>
  <c r="AE77" i="1" s="1"/>
  <c r="Z77" i="1"/>
  <c r="AA77" i="1" s="1"/>
  <c r="AB77" i="1" s="1"/>
  <c r="AC78" i="1"/>
  <c r="AD78" i="1" s="1"/>
  <c r="AE78" i="1" s="1"/>
  <c r="Z78" i="1"/>
  <c r="AA78" i="1" s="1"/>
  <c r="AB78" i="1" s="1"/>
  <c r="AC88" i="1"/>
  <c r="AD88" i="1" s="1"/>
  <c r="AE88" i="1" s="1"/>
  <c r="Z88" i="1"/>
  <c r="AA88" i="1" s="1"/>
  <c r="AB88" i="1" s="1"/>
  <c r="AC83" i="1"/>
  <c r="AD83" i="1" s="1"/>
  <c r="AE83" i="1" s="1"/>
  <c r="Z83" i="1"/>
  <c r="AA83" i="1" s="1"/>
  <c r="AB83" i="1" s="1"/>
  <c r="AC72" i="1"/>
  <c r="AD72" i="1" s="1"/>
  <c r="AE72" i="1" s="1"/>
  <c r="Z72" i="1"/>
  <c r="AA72" i="1" s="1"/>
  <c r="Z86" i="1"/>
  <c r="AA86" i="1" s="1"/>
  <c r="AB86" i="1" s="1"/>
  <c r="AC86" i="1"/>
  <c r="AD86" i="1" s="1"/>
  <c r="AE86" i="1" s="1"/>
  <c r="AC73" i="1"/>
  <c r="AD73" i="1" s="1"/>
  <c r="AE73" i="1" s="1"/>
  <c r="Z73" i="1"/>
  <c r="AA73" i="1" s="1"/>
  <c r="AB73" i="1" s="1"/>
  <c r="AG76" i="1"/>
  <c r="Q71" i="1"/>
  <c r="S71" i="1" s="1"/>
  <c r="T71" i="1" s="1"/>
  <c r="AC65" i="2"/>
  <c r="AD65" i="2" s="1"/>
  <c r="AE65" i="2" s="1"/>
  <c r="AC74" i="2"/>
  <c r="AD74" i="2" s="1"/>
  <c r="AE74" i="2" s="1"/>
  <c r="AA74" i="2"/>
  <c r="AB74" i="2" s="1"/>
  <c r="AA66" i="2"/>
  <c r="AB66" i="2" s="1"/>
  <c r="AC66" i="2"/>
  <c r="AD66" i="2" s="1"/>
  <c r="AE66" i="2" s="1"/>
  <c r="AC73" i="2"/>
  <c r="AD73" i="2" s="1"/>
  <c r="AE73" i="2" s="1"/>
  <c r="AA73" i="2"/>
  <c r="AB73" i="2" s="1"/>
  <c r="AC75" i="2"/>
  <c r="AD75" i="2" s="1"/>
  <c r="AE75" i="2" s="1"/>
  <c r="AA75" i="2"/>
  <c r="AB75" i="2" s="1"/>
  <c r="AA76" i="2"/>
  <c r="AB76" i="2" s="1"/>
  <c r="AC76" i="2"/>
  <c r="AD76" i="2" s="1"/>
  <c r="AE76" i="2" s="1"/>
  <c r="AC70" i="2"/>
  <c r="AD70" i="2" s="1"/>
  <c r="AE70" i="2" s="1"/>
  <c r="AA70" i="2"/>
  <c r="AB70" i="2" s="1"/>
  <c r="AA67" i="2"/>
  <c r="AB67" i="2" s="1"/>
  <c r="AC67" i="2"/>
  <c r="AD67" i="2" s="1"/>
  <c r="AE67" i="2" s="1"/>
  <c r="AA71" i="2"/>
  <c r="AB71" i="2" s="1"/>
  <c r="AC71" i="2"/>
  <c r="AD71" i="2" s="1"/>
  <c r="AE71" i="2" s="1"/>
  <c r="AC72" i="2"/>
  <c r="AD72" i="2" s="1"/>
  <c r="AE72" i="2" s="1"/>
  <c r="AA72" i="2"/>
  <c r="AB72" i="2" s="1"/>
  <c r="AC68" i="2"/>
  <c r="AD68" i="2" s="1"/>
  <c r="AE68" i="2" s="1"/>
  <c r="AA68" i="2"/>
  <c r="AB68" i="2" s="1"/>
  <c r="S65" i="2"/>
  <c r="AG69" i="2" l="1"/>
  <c r="AG65" i="2"/>
  <c r="AB87" i="1"/>
  <c r="AG87" i="1" s="1"/>
  <c r="AB72" i="1"/>
  <c r="AG72" i="1" s="1"/>
  <c r="AB82" i="1"/>
  <c r="AG82" i="1" s="1"/>
  <c r="AB80" i="1"/>
  <c r="AG80" i="1" s="1"/>
  <c r="AG84" i="1"/>
  <c r="AG81" i="1"/>
  <c r="AG86" i="1"/>
  <c r="AG79" i="1"/>
  <c r="AG75" i="1"/>
  <c r="AG73" i="1"/>
  <c r="V71" i="1"/>
  <c r="AH71" i="1" s="1"/>
  <c r="R72" i="1"/>
  <c r="S72" i="1" s="1"/>
  <c r="AG90" i="1"/>
  <c r="AG89" i="1"/>
  <c r="AG88" i="1"/>
  <c r="AG78" i="1"/>
  <c r="AG71" i="1"/>
  <c r="AG83" i="1"/>
  <c r="AG74" i="1"/>
  <c r="AG77" i="1"/>
  <c r="AG85" i="1"/>
  <c r="AG72" i="2"/>
  <c r="AG73" i="2"/>
  <c r="AG74" i="2"/>
  <c r="AG75" i="2"/>
  <c r="AG68" i="2"/>
  <c r="AG70" i="2"/>
  <c r="V65" i="2"/>
  <c r="Q66" i="2"/>
  <c r="R66" i="2" s="1"/>
  <c r="AG67" i="2"/>
  <c r="AG76" i="2"/>
  <c r="AG66" i="2"/>
  <c r="AG71" i="2"/>
  <c r="T72" i="1" l="1"/>
  <c r="S73" i="1"/>
  <c r="AH65" i="2"/>
  <c r="S66" i="2"/>
  <c r="R67" i="2"/>
  <c r="T73" i="1" l="1"/>
  <c r="S74" i="1"/>
  <c r="V72" i="1"/>
  <c r="AH72" i="1" s="1"/>
  <c r="R73" i="1"/>
  <c r="Q67" i="2"/>
  <c r="V66" i="2"/>
  <c r="R68" i="2"/>
  <c r="S67" i="2"/>
  <c r="V73" i="1" l="1"/>
  <c r="AH73" i="1" s="1"/>
  <c r="R74" i="1"/>
  <c r="T74" i="1"/>
  <c r="S75" i="1"/>
  <c r="AH66" i="2"/>
  <c r="S68" i="2"/>
  <c r="R69" i="2"/>
  <c r="Q68" i="2"/>
  <c r="V67" i="2"/>
  <c r="S76" i="1" l="1"/>
  <c r="T75" i="1"/>
  <c r="R75" i="1"/>
  <c r="V74" i="1"/>
  <c r="AH74" i="1" s="1"/>
  <c r="AH67" i="2"/>
  <c r="Q69" i="2"/>
  <c r="V68" i="2"/>
  <c r="S69" i="2"/>
  <c r="R70" i="2"/>
  <c r="R76" i="1" l="1"/>
  <c r="V75" i="1"/>
  <c r="AH75" i="1" s="1"/>
  <c r="T76" i="1"/>
  <c r="S77" i="1"/>
  <c r="V69" i="2"/>
  <c r="Q70" i="2"/>
  <c r="S70" i="2"/>
  <c r="R71" i="2"/>
  <c r="AH68" i="2"/>
  <c r="T77" i="1" l="1"/>
  <c r="S78" i="1"/>
  <c r="V76" i="1"/>
  <c r="AH76" i="1" s="1"/>
  <c r="R77" i="1"/>
  <c r="S71" i="2"/>
  <c r="R72" i="2"/>
  <c r="AH69" i="2"/>
  <c r="V70" i="2"/>
  <c r="Q71" i="2"/>
  <c r="T78" i="1" l="1"/>
  <c r="S79" i="1"/>
  <c r="V77" i="1"/>
  <c r="AH77" i="1" s="1"/>
  <c r="R78" i="1"/>
  <c r="AH70" i="2"/>
  <c r="S72" i="2"/>
  <c r="R73" i="2"/>
  <c r="Q72" i="2"/>
  <c r="V71" i="2"/>
  <c r="S80" i="1" l="1"/>
  <c r="T79" i="1"/>
  <c r="R79" i="1"/>
  <c r="V78" i="1"/>
  <c r="AH78" i="1" s="1"/>
  <c r="S73" i="2"/>
  <c r="R74" i="2"/>
  <c r="AH71" i="2"/>
  <c r="Q73" i="2"/>
  <c r="V72" i="2"/>
  <c r="V79" i="1" l="1"/>
  <c r="AH79" i="1" s="1"/>
  <c r="R80" i="1"/>
  <c r="T80" i="1"/>
  <c r="S81" i="1"/>
  <c r="R75" i="2"/>
  <c r="S74" i="2"/>
  <c r="AH72" i="2"/>
  <c r="Q74" i="2"/>
  <c r="V73" i="2"/>
  <c r="T81" i="1" l="1"/>
  <c r="S82" i="1"/>
  <c r="R81" i="1"/>
  <c r="V80" i="1"/>
  <c r="AH80" i="1" s="1"/>
  <c r="V74" i="2"/>
  <c r="Q75" i="2"/>
  <c r="AH73" i="2"/>
  <c r="R76" i="2"/>
  <c r="S76" i="2" s="1"/>
  <c r="V76" i="2" s="1"/>
  <c r="S75" i="2"/>
  <c r="X76" i="2" l="1"/>
  <c r="AH76" i="2"/>
  <c r="Q76" i="2"/>
  <c r="V75" i="2"/>
  <c r="X73" i="2" s="1"/>
  <c r="AI73" i="2" s="1"/>
  <c r="AJ73" i="2" s="1"/>
  <c r="AL73" i="2" s="1"/>
  <c r="AN73" i="2" s="1"/>
  <c r="V81" i="1"/>
  <c r="AH81" i="1" s="1"/>
  <c r="R82" i="1"/>
  <c r="T82" i="1"/>
  <c r="S83" i="1"/>
  <c r="AH74" i="2"/>
  <c r="X67" i="2" l="1"/>
  <c r="AI67" i="2" s="1"/>
  <c r="AJ67" i="2" s="1"/>
  <c r="AL67" i="2" s="1"/>
  <c r="AN67" i="2" s="1"/>
  <c r="X68" i="2"/>
  <c r="AI68" i="2" s="1"/>
  <c r="AK68" i="2" s="1"/>
  <c r="AM68" i="2" s="1"/>
  <c r="X74" i="2"/>
  <c r="AI74" i="2" s="1"/>
  <c r="X70" i="2"/>
  <c r="AI70" i="2" s="1"/>
  <c r="AK70" i="2" s="1"/>
  <c r="AM70" i="2" s="1"/>
  <c r="X72" i="2"/>
  <c r="AI72" i="2" s="1"/>
  <c r="AJ72" i="2" s="1"/>
  <c r="AL72" i="2" s="1"/>
  <c r="AN72" i="2" s="1"/>
  <c r="X66" i="2"/>
  <c r="AI66" i="2" s="1"/>
  <c r="AK66" i="2" s="1"/>
  <c r="AM66" i="2" s="1"/>
  <c r="X69" i="2"/>
  <c r="AI69" i="2" s="1"/>
  <c r="AJ69" i="2" s="1"/>
  <c r="AL69" i="2" s="1"/>
  <c r="AN69" i="2" s="1"/>
  <c r="X65" i="2"/>
  <c r="AI76" i="2"/>
  <c r="X75" i="2"/>
  <c r="AH75" i="2"/>
  <c r="X71" i="2"/>
  <c r="AI71" i="2" s="1"/>
  <c r="S84" i="1"/>
  <c r="T83" i="1"/>
  <c r="V82" i="1"/>
  <c r="AH82" i="1" s="1"/>
  <c r="R83" i="1"/>
  <c r="AK73" i="2"/>
  <c r="AM73" i="2" s="1"/>
  <c r="T59" i="2" l="1"/>
  <c r="C10" i="2" s="1"/>
  <c r="C3" i="2" s="1"/>
  <c r="AI65" i="2"/>
  <c r="AK65" i="2" s="1"/>
  <c r="AM65" i="2" s="1"/>
  <c r="AO66" i="2"/>
  <c r="U66" i="2"/>
  <c r="AO68" i="2"/>
  <c r="U68" i="2"/>
  <c r="AO73" i="2"/>
  <c r="U73" i="2"/>
  <c r="AO70" i="2"/>
  <c r="U70" i="2"/>
  <c r="AK69" i="2"/>
  <c r="AM69" i="2" s="1"/>
  <c r="AJ66" i="2"/>
  <c r="AL66" i="2" s="1"/>
  <c r="AN66" i="2" s="1"/>
  <c r="AK67" i="2"/>
  <c r="AM67" i="2" s="1"/>
  <c r="AJ68" i="2"/>
  <c r="AL68" i="2" s="1"/>
  <c r="AN68" i="2" s="1"/>
  <c r="AI75" i="2"/>
  <c r="AK75" i="2" s="1"/>
  <c r="AM75" i="2" s="1"/>
  <c r="AJ70" i="2"/>
  <c r="AL70" i="2" s="1"/>
  <c r="AN70" i="2" s="1"/>
  <c r="AK72" i="2"/>
  <c r="AM72" i="2" s="1"/>
  <c r="AJ71" i="2"/>
  <c r="AL71" i="2" s="1"/>
  <c r="AN71" i="2" s="1"/>
  <c r="AK71" i="2"/>
  <c r="AM71" i="2" s="1"/>
  <c r="AJ76" i="2"/>
  <c r="AL76" i="2" s="1"/>
  <c r="AN76" i="2" s="1"/>
  <c r="AK76" i="2"/>
  <c r="AM76" i="2" s="1"/>
  <c r="S85" i="1"/>
  <c r="T84" i="1"/>
  <c r="V83" i="1"/>
  <c r="AH83" i="1" s="1"/>
  <c r="R84" i="1"/>
  <c r="AK74" i="2"/>
  <c r="AM74" i="2" s="1"/>
  <c r="AJ74" i="2"/>
  <c r="AL74" i="2" s="1"/>
  <c r="AN74" i="2" s="1"/>
  <c r="AJ65" i="2" l="1"/>
  <c r="AL65" i="2" s="1"/>
  <c r="AN65" i="2" s="1"/>
  <c r="AO75" i="2"/>
  <c r="U75" i="2"/>
  <c r="AO76" i="2"/>
  <c r="U76" i="2"/>
  <c r="AO72" i="2"/>
  <c r="U72" i="2"/>
  <c r="AO69" i="2"/>
  <c r="U69" i="2"/>
  <c r="AO74" i="2"/>
  <c r="U74" i="2"/>
  <c r="AO71" i="2"/>
  <c r="U71" i="2"/>
  <c r="AO65" i="2"/>
  <c r="U65" i="2"/>
  <c r="AO67" i="2"/>
  <c r="U67" i="2"/>
  <c r="D3" i="2"/>
  <c r="C34" i="2"/>
  <c r="B34" i="2"/>
  <c r="AJ75" i="2"/>
  <c r="AL75" i="2" s="1"/>
  <c r="AN75" i="2" s="1"/>
  <c r="S86" i="1"/>
  <c r="T85" i="1"/>
  <c r="R85" i="1"/>
  <c r="V84" i="1"/>
  <c r="AH84" i="1" s="1"/>
  <c r="AT80" i="2" l="1"/>
  <c r="AT82" i="2"/>
  <c r="AU82" i="2" s="1"/>
  <c r="AT81" i="2"/>
  <c r="AU81" i="2" s="1"/>
  <c r="AT83" i="2"/>
  <c r="AU83" i="2" s="1"/>
  <c r="AT84" i="2"/>
  <c r="AU84" i="2" s="1"/>
  <c r="AT85" i="2"/>
  <c r="AU85" i="2" s="1"/>
  <c r="AT86" i="2"/>
  <c r="AU86" i="2" s="1"/>
  <c r="AT87" i="2"/>
  <c r="AU87" i="2" s="1"/>
  <c r="AT88" i="2"/>
  <c r="AU88" i="2" s="1"/>
  <c r="AT89" i="2"/>
  <c r="AU89" i="2" s="1"/>
  <c r="AT90" i="2"/>
  <c r="AU90" i="2" s="1"/>
  <c r="AT91" i="2"/>
  <c r="AU91" i="2" s="1"/>
  <c r="AT92" i="2"/>
  <c r="AU92" i="2" s="1"/>
  <c r="AT93" i="2"/>
  <c r="AU93" i="2" s="1"/>
  <c r="AT94" i="2"/>
  <c r="AU94" i="2" s="1"/>
  <c r="AT95" i="2"/>
  <c r="AU95" i="2" s="1"/>
  <c r="AT96" i="2"/>
  <c r="AU96" i="2" s="1"/>
  <c r="AT97" i="2"/>
  <c r="BT24" i="2"/>
  <c r="BD24" i="2"/>
  <c r="T86" i="1"/>
  <c r="S87" i="1"/>
  <c r="V85" i="1"/>
  <c r="AH85" i="1" s="1"/>
  <c r="R86" i="1"/>
  <c r="AU97" i="2" l="1"/>
  <c r="BV61" i="2"/>
  <c r="D58" i="2" s="1"/>
  <c r="AU80" i="2"/>
  <c r="AX61" i="2"/>
  <c r="D56" i="2" s="1"/>
  <c r="V86" i="1"/>
  <c r="AH86" i="1" s="1"/>
  <c r="R87" i="1"/>
  <c r="S88" i="1"/>
  <c r="T87" i="1"/>
  <c r="AV80" i="2" l="1"/>
  <c r="AW80" i="2" s="1"/>
  <c r="BD46" i="2" s="1"/>
  <c r="BD47" i="2" s="1"/>
  <c r="BD49" i="2" s="1"/>
  <c r="V87" i="1"/>
  <c r="AH87" i="1" s="1"/>
  <c r="R88" i="1"/>
  <c r="T88" i="1"/>
  <c r="S89" i="1"/>
  <c r="AV81" i="2" l="1"/>
  <c r="AV82" i="2" s="1"/>
  <c r="C29" i="2"/>
  <c r="S90" i="1"/>
  <c r="T89" i="1"/>
  <c r="V88" i="1"/>
  <c r="AH88" i="1" s="1"/>
  <c r="R89" i="1"/>
  <c r="AW81" i="2" l="1"/>
  <c r="BE46" i="2" s="1"/>
  <c r="BE47" i="2" s="1"/>
  <c r="BE49" i="2" s="1"/>
  <c r="AW82" i="2"/>
  <c r="BF46" i="2" s="1"/>
  <c r="AV83" i="2"/>
  <c r="T90" i="1"/>
  <c r="V89" i="1"/>
  <c r="R90" i="1"/>
  <c r="BF42" i="2" l="1"/>
  <c r="BF44" i="2" s="1"/>
  <c r="BD42" i="2"/>
  <c r="BD41" i="2"/>
  <c r="BH41" i="2"/>
  <c r="BH44" i="2" s="1"/>
  <c r="BF47" i="2"/>
  <c r="BF49" i="2" s="1"/>
  <c r="AW83" i="2"/>
  <c r="BG46" i="2" s="1"/>
  <c r="AV84" i="2"/>
  <c r="AH89" i="1"/>
  <c r="V90" i="1"/>
  <c r="BE40" i="2" l="1"/>
  <c r="BG47" i="2"/>
  <c r="BG49" i="2" s="1"/>
  <c r="BI40" i="2"/>
  <c r="AW84" i="2"/>
  <c r="BH46" i="2" s="1"/>
  <c r="AV85" i="2"/>
  <c r="AH90" i="1"/>
  <c r="BH47" i="2" l="1"/>
  <c r="BH49" i="2" s="1"/>
  <c r="BL39" i="2"/>
  <c r="BD39" i="2"/>
  <c r="AW85" i="2"/>
  <c r="BI46" i="2" s="1"/>
  <c r="AV86" i="2"/>
  <c r="X89" i="1"/>
  <c r="AI89" i="1" s="1"/>
  <c r="BD38" i="2" l="1"/>
  <c r="BI47" i="2"/>
  <c r="BI49" i="2" s="1"/>
  <c r="BN38" i="2"/>
  <c r="BN44" i="2" s="1"/>
  <c r="AV87" i="2"/>
  <c r="AW86" i="2"/>
  <c r="BJ46" i="2" s="1"/>
  <c r="X84" i="1"/>
  <c r="AI84" i="1" s="1"/>
  <c r="AK84" i="1" s="1"/>
  <c r="AM84" i="1" s="1"/>
  <c r="X88" i="1"/>
  <c r="AI88" i="1" s="1"/>
  <c r="AJ88" i="1" s="1"/>
  <c r="AL88" i="1" s="1"/>
  <c r="AN88" i="1" s="1"/>
  <c r="X77" i="1"/>
  <c r="AI77" i="1" s="1"/>
  <c r="AJ77" i="1" s="1"/>
  <c r="AL77" i="1" s="1"/>
  <c r="AN77" i="1" s="1"/>
  <c r="X82" i="1"/>
  <c r="AI82" i="1" s="1"/>
  <c r="AK82" i="1" s="1"/>
  <c r="AM82" i="1" s="1"/>
  <c r="X85" i="1"/>
  <c r="AI85" i="1" s="1"/>
  <c r="AK85" i="1" s="1"/>
  <c r="AM85" i="1" s="1"/>
  <c r="AJ89" i="1"/>
  <c r="AL89" i="1" s="1"/>
  <c r="AN89" i="1" s="1"/>
  <c r="AK89" i="1"/>
  <c r="AM89" i="1" s="1"/>
  <c r="X86" i="1"/>
  <c r="AI86" i="1" s="1"/>
  <c r="X78" i="1"/>
  <c r="AI78" i="1" s="1"/>
  <c r="X71" i="1"/>
  <c r="X66" i="1" s="1"/>
  <c r="X87" i="1"/>
  <c r="AI87" i="1" s="1"/>
  <c r="X81" i="1"/>
  <c r="AI81" i="1" s="1"/>
  <c r="X80" i="1"/>
  <c r="AI80" i="1" s="1"/>
  <c r="X75" i="1"/>
  <c r="AI75" i="1" s="1"/>
  <c r="X76" i="1"/>
  <c r="AI76" i="1" s="1"/>
  <c r="X90" i="1"/>
  <c r="AI90" i="1" s="1"/>
  <c r="X83" i="1"/>
  <c r="AI83" i="1" s="1"/>
  <c r="X73" i="1"/>
  <c r="AI73" i="1" s="1"/>
  <c r="X74" i="1"/>
  <c r="AI74" i="1" s="1"/>
  <c r="X79" i="1"/>
  <c r="AI79" i="1" s="1"/>
  <c r="X72" i="1"/>
  <c r="AI72" i="1" s="1"/>
  <c r="AV88" i="2" l="1"/>
  <c r="AW87" i="2"/>
  <c r="BK46" i="2" s="1"/>
  <c r="BP37" i="2"/>
  <c r="BP44" i="2" s="1"/>
  <c r="BJ47" i="2"/>
  <c r="BJ49" i="2" s="1"/>
  <c r="BD37" i="2"/>
  <c r="C15" i="1"/>
  <c r="C3" i="1" s="1"/>
  <c r="AK77" i="1"/>
  <c r="AM77" i="1" s="1"/>
  <c r="AJ82" i="1"/>
  <c r="AL82" i="1" s="1"/>
  <c r="AN82" i="1" s="1"/>
  <c r="AK88" i="1"/>
  <c r="AM88" i="1" s="1"/>
  <c r="AJ84" i="1"/>
  <c r="AL84" i="1" s="1"/>
  <c r="AN84" i="1" s="1"/>
  <c r="AJ85" i="1"/>
  <c r="AL85" i="1" s="1"/>
  <c r="AN85" i="1" s="1"/>
  <c r="AK73" i="1"/>
  <c r="AM73" i="1" s="1"/>
  <c r="AJ73" i="1"/>
  <c r="AL73" i="1" s="1"/>
  <c r="AN73" i="1" s="1"/>
  <c r="AO85" i="1"/>
  <c r="AK76" i="1"/>
  <c r="AM76" i="1" s="1"/>
  <c r="AJ76" i="1"/>
  <c r="AL76" i="1" s="1"/>
  <c r="AN76" i="1" s="1"/>
  <c r="AI71" i="1"/>
  <c r="AO84" i="1"/>
  <c r="AJ74" i="1"/>
  <c r="AL74" i="1" s="1"/>
  <c r="AN74" i="1" s="1"/>
  <c r="AK74" i="1"/>
  <c r="AM74" i="1" s="1"/>
  <c r="AJ72" i="1"/>
  <c r="AL72" i="1" s="1"/>
  <c r="AN72" i="1" s="1"/>
  <c r="AK72" i="1"/>
  <c r="AM72" i="1" s="1"/>
  <c r="AJ75" i="1"/>
  <c r="AL75" i="1" s="1"/>
  <c r="AN75" i="1" s="1"/>
  <c r="AK75" i="1"/>
  <c r="AM75" i="1" s="1"/>
  <c r="AO82" i="1"/>
  <c r="AJ78" i="1"/>
  <c r="AL78" i="1" s="1"/>
  <c r="AN78" i="1" s="1"/>
  <c r="AK78" i="1"/>
  <c r="AM78" i="1" s="1"/>
  <c r="AO89" i="1"/>
  <c r="AK90" i="1"/>
  <c r="AM90" i="1" s="1"/>
  <c r="AJ90" i="1"/>
  <c r="AL90" i="1" s="1"/>
  <c r="AN90" i="1" s="1"/>
  <c r="AJ87" i="1"/>
  <c r="AL87" i="1" s="1"/>
  <c r="AN87" i="1" s="1"/>
  <c r="AK87" i="1"/>
  <c r="AM87" i="1" s="1"/>
  <c r="AK79" i="1"/>
  <c r="AM79" i="1" s="1"/>
  <c r="AJ79" i="1"/>
  <c r="AL79" i="1" s="1"/>
  <c r="AN79" i="1" s="1"/>
  <c r="AK83" i="1"/>
  <c r="AM83" i="1" s="1"/>
  <c r="AJ83" i="1"/>
  <c r="AL83" i="1" s="1"/>
  <c r="AN83" i="1" s="1"/>
  <c r="AJ80" i="1"/>
  <c r="AL80" i="1" s="1"/>
  <c r="AN80" i="1" s="1"/>
  <c r="AK80" i="1"/>
  <c r="AM80" i="1" s="1"/>
  <c r="AJ81" i="1"/>
  <c r="AL81" i="1" s="1"/>
  <c r="AN81" i="1" s="1"/>
  <c r="AK81" i="1"/>
  <c r="AM81" i="1" s="1"/>
  <c r="AK86" i="1"/>
  <c r="AM86" i="1" s="1"/>
  <c r="AJ86" i="1"/>
  <c r="AL86" i="1" s="1"/>
  <c r="AN86" i="1" s="1"/>
  <c r="BK47" i="2" l="1"/>
  <c r="BK49" i="2" s="1"/>
  <c r="BR36" i="2"/>
  <c r="BR44" i="2" s="1"/>
  <c r="BD36" i="2"/>
  <c r="AW88" i="2"/>
  <c r="BL46" i="2" s="1"/>
  <c r="AV89" i="2"/>
  <c r="D3" i="1"/>
  <c r="AO77" i="1"/>
  <c r="AO88" i="1"/>
  <c r="AO83" i="1"/>
  <c r="AO78" i="1"/>
  <c r="AK71" i="1"/>
  <c r="AM71" i="1" s="1"/>
  <c r="AJ71" i="1"/>
  <c r="AL71" i="1" s="1"/>
  <c r="AN71" i="1" s="1"/>
  <c r="AO73" i="1"/>
  <c r="AO81" i="1"/>
  <c r="AO76" i="1"/>
  <c r="AO80" i="1"/>
  <c r="AO75" i="1"/>
  <c r="D10" i="1"/>
  <c r="C10" i="1"/>
  <c r="AO87" i="1"/>
  <c r="AO74" i="1"/>
  <c r="AO86" i="1"/>
  <c r="AO79" i="1"/>
  <c r="AO90" i="1"/>
  <c r="G72" i="1"/>
  <c r="AO72" i="1"/>
  <c r="BL47" i="2" l="1"/>
  <c r="BL49" i="2" s="1"/>
  <c r="BT35" i="2"/>
  <c r="BD35" i="2"/>
  <c r="BD44" i="2" s="1"/>
  <c r="AW89" i="2"/>
  <c r="BM46" i="2" s="1"/>
  <c r="AV90" i="2"/>
  <c r="BG24" i="1"/>
  <c r="AW108" i="1"/>
  <c r="AX108" i="1" s="1"/>
  <c r="AW104" i="1"/>
  <c r="AX104" i="1" s="1"/>
  <c r="AW100" i="1"/>
  <c r="AX100" i="1" s="1"/>
  <c r="AW96" i="1"/>
  <c r="AX96" i="1" s="1"/>
  <c r="AW111" i="1"/>
  <c r="AW103" i="1"/>
  <c r="AX103" i="1" s="1"/>
  <c r="AW95" i="1"/>
  <c r="AX95" i="1" s="1"/>
  <c r="AW105" i="1"/>
  <c r="AX105" i="1" s="1"/>
  <c r="AW107" i="1"/>
  <c r="AX107" i="1" s="1"/>
  <c r="AW99" i="1"/>
  <c r="AX99" i="1" s="1"/>
  <c r="AW97" i="1"/>
  <c r="AX97" i="1" s="1"/>
  <c r="AW110" i="1"/>
  <c r="AX110" i="1" s="1"/>
  <c r="AW106" i="1"/>
  <c r="AX106" i="1" s="1"/>
  <c r="AW102" i="1"/>
  <c r="AX102" i="1" s="1"/>
  <c r="AW98" i="1"/>
  <c r="AX98" i="1" s="1"/>
  <c r="AW109" i="1"/>
  <c r="AX109" i="1" s="1"/>
  <c r="AW101" i="1"/>
  <c r="AX101" i="1" s="1"/>
  <c r="BW24" i="1"/>
  <c r="AW94" i="1"/>
  <c r="AX94" i="1" s="1"/>
  <c r="AO71" i="1"/>
  <c r="BE34" i="2" l="1"/>
  <c r="BE44" i="2" s="1"/>
  <c r="BM47" i="2"/>
  <c r="BM49" i="2" s="1"/>
  <c r="BU34" i="2"/>
  <c r="AV91" i="2"/>
  <c r="AW90" i="2"/>
  <c r="BN46" i="2" s="1"/>
  <c r="AX111" i="1"/>
  <c r="CI61" i="1"/>
  <c r="D63" i="1" s="1"/>
  <c r="BA61" i="1"/>
  <c r="D61" i="1" s="1"/>
  <c r="AV92" i="2" l="1"/>
  <c r="AW91" i="2"/>
  <c r="BO46" i="2" s="1"/>
  <c r="BU33" i="2"/>
  <c r="BG33" i="2"/>
  <c r="BG44" i="2" s="1"/>
  <c r="BN47" i="2"/>
  <c r="BN49" i="2" s="1"/>
  <c r="AY94" i="1"/>
  <c r="AZ94" i="1" s="1"/>
  <c r="BG46" i="1" s="1"/>
  <c r="BO47" i="2" l="1"/>
  <c r="BO49" i="2" s="1"/>
  <c r="BI32" i="2"/>
  <c r="BI44" i="2" s="1"/>
  <c r="BU32" i="2"/>
  <c r="AW92" i="2"/>
  <c r="BP46" i="2" s="1"/>
  <c r="AV93" i="2"/>
  <c r="AY95" i="1"/>
  <c r="AY96" i="1" s="1"/>
  <c r="BL31" i="2" l="1"/>
  <c r="BL44" i="2" s="1"/>
  <c r="BT31" i="2"/>
  <c r="BT44" i="2" s="1"/>
  <c r="BP47" i="2"/>
  <c r="BP49" i="2" s="1"/>
  <c r="AW93" i="2"/>
  <c r="BQ46" i="2" s="1"/>
  <c r="AV94" i="2"/>
  <c r="AZ95" i="1"/>
  <c r="BH46" i="1" s="1"/>
  <c r="BG42" i="1" s="1"/>
  <c r="AY97" i="1"/>
  <c r="AZ97" i="1" s="1"/>
  <c r="BJ46" i="1" s="1"/>
  <c r="AZ96" i="1"/>
  <c r="BI46" i="1" s="1"/>
  <c r="BM30" i="2" l="1"/>
  <c r="BM44" i="2" s="1"/>
  <c r="BQ47" i="2"/>
  <c r="BQ49" i="2" s="1"/>
  <c r="BU30" i="2"/>
  <c r="AV95" i="2"/>
  <c r="AW94" i="2"/>
  <c r="BR46" i="2" s="1"/>
  <c r="BL40" i="1"/>
  <c r="BH40" i="1"/>
  <c r="BI42" i="1"/>
  <c r="BK41" i="1"/>
  <c r="BG41" i="1"/>
  <c r="AY98" i="1"/>
  <c r="AZ98" i="1" s="1"/>
  <c r="BK46" i="1" s="1"/>
  <c r="BO39" i="1" s="1"/>
  <c r="BU29" i="2" l="1"/>
  <c r="BO29" i="2"/>
  <c r="BO44" i="2" s="1"/>
  <c r="BR47" i="2"/>
  <c r="BR49" i="2" s="1"/>
  <c r="AV96" i="2"/>
  <c r="AW95" i="2"/>
  <c r="BS46" i="2" s="1"/>
  <c r="BG39" i="1"/>
  <c r="AY99" i="1"/>
  <c r="AZ99" i="1" s="1"/>
  <c r="BL46" i="1" s="1"/>
  <c r="BS47" i="2" l="1"/>
  <c r="BS49" i="2" s="1"/>
  <c r="BU28" i="2"/>
  <c r="BQ28" i="2"/>
  <c r="BQ44" i="2" s="1"/>
  <c r="AW96" i="2"/>
  <c r="BT46" i="2" s="1"/>
  <c r="AV97" i="2"/>
  <c r="AW97" i="2" s="1"/>
  <c r="BU46" i="2" s="1"/>
  <c r="BU47" i="2" s="1"/>
  <c r="BU49" i="2" s="1"/>
  <c r="BQ38" i="1"/>
  <c r="BQ44" i="1" s="1"/>
  <c r="BG38" i="1"/>
  <c r="AY100" i="1"/>
  <c r="AZ100" i="1" s="1"/>
  <c r="BM46" i="1" s="1"/>
  <c r="BU27" i="2" l="1"/>
  <c r="BU44" i="2" s="1"/>
  <c r="BT47" i="2"/>
  <c r="BT49" i="2" s="1"/>
  <c r="BS27" i="2"/>
  <c r="BS44" i="2" s="1"/>
  <c r="BS37" i="1"/>
  <c r="BG37" i="1"/>
  <c r="AY101" i="1"/>
  <c r="AZ101" i="1" s="1"/>
  <c r="BN46" i="1" s="1"/>
  <c r="BU36" i="1" s="1"/>
  <c r="BS44" i="1" l="1"/>
  <c r="BG36" i="1"/>
  <c r="AY102" i="1"/>
  <c r="AZ102" i="1" s="1"/>
  <c r="BO46" i="1" s="1"/>
  <c r="BW35" i="1" s="1"/>
  <c r="BG35" i="1" l="1"/>
  <c r="AY103" i="1"/>
  <c r="AZ103" i="1" s="1"/>
  <c r="BP46" i="1" s="1"/>
  <c r="BH34" i="1" s="1"/>
  <c r="BH44" i="1" s="1"/>
  <c r="BX34" i="1" l="1"/>
  <c r="AY104" i="1"/>
  <c r="AZ104" i="1" s="1"/>
  <c r="BF49" i="1" l="1"/>
  <c r="BQ46" i="1"/>
  <c r="AY105" i="1"/>
  <c r="AZ105" i="1" s="1"/>
  <c r="BR46" i="1" s="1"/>
  <c r="BX32" i="1" l="1"/>
  <c r="BL32" i="1"/>
  <c r="BL44" i="1" s="1"/>
  <c r="BJ33" i="1"/>
  <c r="BJ44" i="1" s="1"/>
  <c r="BX33" i="1"/>
  <c r="AY106" i="1"/>
  <c r="AZ106" i="1" s="1"/>
  <c r="BS46" i="1" s="1"/>
  <c r="BG47" i="1"/>
  <c r="BG49" i="1" s="1"/>
  <c r="BW31" i="1" l="1"/>
  <c r="BO31" i="1"/>
  <c r="BG44" i="1"/>
  <c r="BI44" i="1"/>
  <c r="AY107" i="1"/>
  <c r="AZ107" i="1" s="1"/>
  <c r="BT46" i="1" s="1"/>
  <c r="BH47" i="1"/>
  <c r="BH49" i="1" s="1"/>
  <c r="BP30" i="1" l="1"/>
  <c r="BP44" i="1" s="1"/>
  <c r="BX30" i="1"/>
  <c r="BK44" i="1"/>
  <c r="AY108" i="1"/>
  <c r="AZ108" i="1" s="1"/>
  <c r="BU46" i="1" s="1"/>
  <c r="BI47" i="1"/>
  <c r="BI49" i="1" s="1"/>
  <c r="BR29" i="1" l="1"/>
  <c r="BR44" i="1" s="1"/>
  <c r="BX29" i="1"/>
  <c r="BM44" i="1"/>
  <c r="AY109" i="1"/>
  <c r="AZ109" i="1" s="1"/>
  <c r="BV46" i="1" s="1"/>
  <c r="BJ47" i="1"/>
  <c r="BJ49" i="1" s="1"/>
  <c r="BT28" i="1" l="1"/>
  <c r="BX28" i="1"/>
  <c r="BO44" i="1"/>
  <c r="AY110" i="1"/>
  <c r="AZ110" i="1" s="1"/>
  <c r="BW46" i="1" s="1"/>
  <c r="BK47" i="1"/>
  <c r="BK49" i="1" s="1"/>
  <c r="BV27" i="1" l="1"/>
  <c r="BV44" i="1" s="1"/>
  <c r="BX27" i="1"/>
  <c r="BX44" i="1" s="1"/>
  <c r="AY111" i="1"/>
  <c r="BL47" i="1"/>
  <c r="BL49" i="1" s="1"/>
  <c r="AZ111" i="1" l="1"/>
  <c r="BX46" i="1" s="1"/>
  <c r="BM47" i="1"/>
  <c r="BM49" i="1" s="1"/>
  <c r="BT44" i="1" l="1"/>
  <c r="BU44" i="1"/>
  <c r="BN47" i="1"/>
  <c r="BN49" i="1" s="1"/>
  <c r="BO47" i="1" l="1"/>
  <c r="BO49" i="1" s="1"/>
  <c r="BW44" i="1" l="1"/>
  <c r="BP47" i="1"/>
  <c r="BP49" i="1" s="1"/>
  <c r="BQ47" i="1" l="1"/>
  <c r="BQ49" i="1" s="1"/>
  <c r="BR47" i="1" l="1"/>
  <c r="BR49" i="1" s="1"/>
  <c r="BS47" i="1" l="1"/>
  <c r="BS49" i="1" s="1"/>
  <c r="BT47" i="1" l="1"/>
  <c r="BT49" i="1" s="1"/>
  <c r="BU47" i="1" l="1"/>
  <c r="BU49" i="1" s="1"/>
  <c r="BV47" i="1" l="1"/>
  <c r="BV49" i="1" s="1"/>
  <c r="BW47" i="1" l="1"/>
  <c r="BW49" i="1" s="1"/>
  <c r="BX47" i="1" l="1"/>
  <c r="BX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Stanislav</author>
  </authors>
  <commentList>
    <comment ref="C2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>разстояние между двата крайни отвора на FRV-NAPS</t>
        </r>
      </text>
    </comment>
    <comment ref="D2" authorId="0" shapeId="0" xr:uid="{00000000-0006-0000-0000-000002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</t>
        </r>
      </text>
    </comment>
    <comment ref="E2" authorId="0" shapeId="0" xr:uid="{00000000-0006-0000-0000-000003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 на FRV-N-APS- 30mm</t>
        </r>
      </text>
    </comment>
    <comment ref="F2" authorId="0" shapeId="0" xr:uid="{00000000-0006-0000-0000-000004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28.5565949°, 45.5553  константи за FRV-NAPS</t>
        </r>
      </text>
    </comment>
    <comment ref="C3" authorId="0" shapeId="0" xr:uid="{00000000-0006-0000-0000-000005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3" authorId="0" shapeId="0" xr:uid="{00000000-0006-0000-0000-000006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C4" authorId="0" shapeId="0" xr:uid="{00000000-0006-0000-0000-000007000000}">
      <text>
        <r>
          <rPr>
            <sz val="12"/>
            <color indexed="81"/>
            <rFont val="Tahoma"/>
            <family val="2"/>
          </rPr>
          <t>разстояние от първия отвор на EXBAR AR до последния отвор на FR AR (ADS)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00000000-0006-0000-0000-000008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5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AR</t>
        </r>
      </text>
    </comment>
    <comment ref="D5" authorId="0" shapeId="0" xr:uid="{00000000-0006-0000-0000-00000A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 473мм</t>
        </r>
      </text>
    </comment>
    <comment ref="C7" authorId="0" shapeId="0" xr:uid="{00000000-0006-0000-0000-00000B000000}">
      <text>
        <r>
          <rPr>
            <b/>
            <sz val="12"/>
            <color indexed="81"/>
            <rFont val="Tahoma"/>
            <family val="2"/>
          </rPr>
          <t>Stanislav:</t>
        </r>
        <r>
          <rPr>
            <sz val="12"/>
            <color indexed="81"/>
            <rFont val="Tahoma"/>
            <family val="2"/>
          </rPr>
          <t xml:space="preserve">
2x5800- отпред на ViRAY
8000-  FRONT OF FR VR</t>
        </r>
      </text>
    </comment>
    <comment ref="D7" authorId="0" shapeId="0" xr:uid="{00000000-0006-0000-0000-00000C000000}">
      <text>
        <r>
          <rPr>
            <b/>
            <sz val="16"/>
            <color indexed="81"/>
            <rFont val="Tahoma"/>
            <family val="2"/>
          </rPr>
          <t>10 000 кг  ViRAY задно</t>
        </r>
      </text>
    </comment>
    <comment ref="E8" authorId="0" shapeId="0" xr:uid="{00000000-0006-0000-0000-00000D000000}">
      <text>
        <r>
          <rPr>
            <b/>
            <sz val="12"/>
            <color indexed="81"/>
            <rFont val="Tahoma"/>
            <family val="2"/>
            <charset val="204"/>
          </rPr>
          <t>Stanislav:с един шегел в средата</t>
        </r>
      </text>
    </comment>
    <comment ref="C12" authorId="0" shapeId="0" xr:uid="{00000000-0006-0000-0000-00000E000000}">
      <text>
        <r>
          <rPr>
            <b/>
            <sz val="12"/>
            <color indexed="81"/>
            <rFont val="Tahoma"/>
            <family val="2"/>
          </rPr>
          <t>общо тегло 
кутии+FRV-N-APS+кабели</t>
        </r>
      </text>
    </comment>
    <comment ref="C13" authorId="0" shapeId="0" xr:uid="{00000000-0006-0000-0000-00000F000000}">
      <text>
        <r>
          <rPr>
            <sz val="12"/>
            <color indexed="81"/>
            <rFont val="Tahoma"/>
            <family val="2"/>
          </rPr>
          <t>разстояние  между точките на предното и задното окачване ViRAY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Stanislav</author>
  </authors>
  <commentList>
    <comment ref="C2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>разстояние между двата крайни отвора на FRV-NAPS</t>
        </r>
      </text>
    </comment>
    <comment ref="D2" authorId="0" shapeId="0" xr:uid="{00000000-0006-0000-0100-000002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</t>
        </r>
      </text>
    </comment>
    <comment ref="E2" authorId="0" shapeId="0" xr:uid="{00000000-0006-0000-0100-000003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 на FRV-N-APS- 30mm</t>
        </r>
      </text>
    </comment>
    <comment ref="F2" authorId="0" shapeId="0" xr:uid="{00000000-0006-0000-0100-000004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28.5565949°, 45.5553  константи за FRV-NAPS</t>
        </r>
      </text>
    </comment>
    <comment ref="C3" authorId="0" shapeId="0" xr:uid="{00000000-0006-0000-0100-000005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3" authorId="0" shapeId="0" xr:uid="{00000000-0006-0000-0100-000006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C4" authorId="0" shapeId="0" xr:uid="{00000000-0006-0000-0100-000007000000}">
      <text>
        <r>
          <rPr>
            <sz val="12"/>
            <color indexed="81"/>
            <rFont val="Tahoma"/>
            <family val="2"/>
          </rPr>
          <t>разстояние от първия отвор на EXBAR AR до последния отвор на FR AR (ADS)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00000000-0006-0000-0100-000008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5" authorId="0" shapeId="0" xr:uid="{00000000-0006-0000-0100-000009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</t>
        </r>
      </text>
    </comment>
    <comment ref="D5" authorId="0" shapeId="0" xr:uid="{00000000-0006-0000-0100-00000A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 473мм</t>
        </r>
      </text>
    </comment>
    <comment ref="B31" authorId="0" shapeId="0" xr:uid="{00000000-0006-0000-0100-00000B000000}">
      <text>
        <r>
          <rPr>
            <b/>
            <sz val="14"/>
            <color indexed="81"/>
            <rFont val="Tahoma"/>
            <family val="2"/>
          </rPr>
          <t>5800- SC V F отпред</t>
        </r>
      </text>
    </comment>
    <comment ref="C31" authorId="0" shapeId="0" xr:uid="{00000000-0006-0000-0100-00000C000000}">
      <text>
        <r>
          <rPr>
            <b/>
            <sz val="14"/>
            <color indexed="81"/>
            <rFont val="Tahoma"/>
            <family val="2"/>
          </rPr>
          <t>5800- SC V F отпред</t>
        </r>
      </text>
    </comment>
    <comment ref="D32" authorId="0" shapeId="0" xr:uid="{00000000-0006-0000-0100-00000D000000}">
      <text>
        <r>
          <rPr>
            <b/>
            <sz val="12"/>
            <color indexed="81"/>
            <rFont val="Tahoma"/>
            <family val="2"/>
            <charset val="204"/>
          </rPr>
          <t>Stanislav:с един шегел в средата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Stanislav</author>
  </authors>
  <commentList>
    <comment ref="C2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>разстояние между двата крайни отвора на FRV-NAPS</t>
        </r>
      </text>
    </comment>
    <comment ref="D2" authorId="0" shapeId="0" xr:uid="{00000000-0006-0000-0200-000002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Без EXBARS.</t>
        </r>
      </text>
    </comment>
    <comment ref="E2" authorId="0" shapeId="0" xr:uid="{00000000-0006-0000-0200-000003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 на FRV-N-APS- 30mm</t>
        </r>
      </text>
    </comment>
    <comment ref="F2" authorId="0" shapeId="0" xr:uid="{00000000-0006-0000-0200-000004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28.5565949°, 45.5553  константи за FRV-NAPS</t>
        </r>
      </text>
    </comment>
    <comment ref="C3" authorId="0" shapeId="0" xr:uid="{00000000-0006-0000-0200-000005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3" authorId="0" shapeId="0" xr:uid="{00000000-0006-0000-0200-000006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C4" authorId="0" shapeId="0" xr:uid="{00000000-0006-0000-0200-000007000000}">
      <text>
        <r>
          <rPr>
            <sz val="12"/>
            <color indexed="81"/>
            <rFont val="Tahoma"/>
            <family val="2"/>
          </rPr>
          <t>разстояние от първия отвор на EXBAR AR до последния отвор на FR AR (ADS)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00000000-0006-0000-0200-000008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5" authorId="0" shapeId="0" xr:uid="{00000000-0006-0000-0200-000009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AR</t>
        </r>
      </text>
    </comment>
    <comment ref="D5" authorId="0" shapeId="0" xr:uid="{00000000-0006-0000-0200-00000A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 473мм</t>
        </r>
      </text>
    </comment>
    <comment ref="C7" authorId="0" shapeId="0" xr:uid="{00000000-0006-0000-0200-00000B000000}">
      <text>
        <r>
          <rPr>
            <b/>
            <sz val="14"/>
            <color indexed="81"/>
            <rFont val="Tahoma"/>
            <family val="2"/>
          </rPr>
          <t>тегло на цялата система + кабели + FRV-N-SUB</t>
        </r>
      </text>
    </comment>
    <comment ref="C9" authorId="0" shapeId="0" xr:uid="{00000000-0006-0000-0200-00000C000000}">
      <text>
        <r>
          <rPr>
            <b/>
            <sz val="14"/>
            <color indexed="81"/>
            <rFont val="Tahoma"/>
            <family val="2"/>
          </rPr>
          <t>център на тежест на системата спрямо предната точка на окачване</t>
        </r>
      </text>
    </comment>
    <comment ref="C12" authorId="0" shapeId="0" xr:uid="{00000000-0006-0000-0200-00000D000000}">
      <text>
        <r>
          <rPr>
            <b/>
            <sz val="14"/>
            <color indexed="81"/>
            <rFont val="Tahoma"/>
            <family val="2"/>
          </rPr>
          <t>разстояние между предното и задното окачване на SCV F</t>
        </r>
      </text>
    </comment>
    <comment ref="C15" authorId="0" shapeId="0" xr:uid="{00000000-0006-0000-0200-00000E000000}">
      <text>
        <r>
          <rPr>
            <sz val="12"/>
            <color indexed="81"/>
            <rFont val="Tahoma"/>
            <family val="2"/>
          </rPr>
          <t>разстояние  между точките на предното и задното окачване AiRAY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 xr:uid="{00000000-0006-0000-0200-00000F000000}">
      <text>
        <r>
          <rPr>
            <b/>
            <sz val="12"/>
            <color indexed="81"/>
            <rFont val="Tahoma"/>
            <family val="2"/>
            <charset val="204"/>
          </rPr>
          <t>Stanislav:с един шегел в средата</t>
        </r>
      </text>
    </comment>
    <comment ref="D115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Stanislav:</t>
        </r>
        <r>
          <rPr>
            <sz val="9"/>
            <color indexed="81"/>
            <rFont val="Tahoma"/>
            <family val="2"/>
            <charset val="204"/>
          </rPr>
          <t xml:space="preserve">
не е грешка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Stanislav</author>
  </authors>
  <commentList>
    <comment ref="C2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>разстояние между двата крайни отвора на FRV-NAPS</t>
        </r>
      </text>
    </comment>
    <comment ref="D2" authorId="0" shapeId="0" xr:uid="{00000000-0006-0000-0300-000002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Без EXBARS.</t>
        </r>
      </text>
    </comment>
    <comment ref="E2" authorId="0" shapeId="0" xr:uid="{00000000-0006-0000-0300-000003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 на FRV-N-APS- 30mm</t>
        </r>
      </text>
    </comment>
    <comment ref="F2" authorId="0" shapeId="0" xr:uid="{00000000-0006-0000-0300-000004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28.5565949°, 45.5553  константи за FRV-NAPS</t>
        </r>
      </text>
    </comment>
    <comment ref="C3" authorId="0" shapeId="0" xr:uid="{00000000-0006-0000-0300-000005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3" authorId="0" shapeId="0" xr:uid="{00000000-0006-0000-0300-000006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C4" authorId="0" shapeId="0" xr:uid="{00000000-0006-0000-0300-000007000000}">
      <text>
        <r>
          <rPr>
            <sz val="12"/>
            <color indexed="81"/>
            <rFont val="Tahoma"/>
            <family val="2"/>
          </rPr>
          <t>разстояние от първия отвор на EXBAR AR до последния отвор на FR AR (ADS)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00000000-0006-0000-0300-000008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5" authorId="0" shapeId="0" xr:uid="{00000000-0006-0000-0300-000009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AR</t>
        </r>
      </text>
    </comment>
    <comment ref="D5" authorId="0" shapeId="0" xr:uid="{00000000-0006-0000-0300-00000A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 473мм</t>
        </r>
      </text>
    </comment>
    <comment ref="C7" authorId="0" shapeId="0" xr:uid="{00000000-0006-0000-0300-00000B000000}">
      <text>
        <r>
          <rPr>
            <b/>
            <sz val="14"/>
            <color indexed="81"/>
            <rFont val="Tahoma"/>
            <family val="2"/>
          </rPr>
          <t xml:space="preserve">тегло на цялата система + кабели 
</t>
        </r>
      </text>
    </comment>
    <comment ref="C9" authorId="0" shapeId="0" xr:uid="{00000000-0006-0000-0300-00000C000000}">
      <text>
        <r>
          <rPr>
            <b/>
            <sz val="14"/>
            <color indexed="81"/>
            <rFont val="Tahoma"/>
            <family val="2"/>
          </rPr>
          <t>център на тежест на системата спрямо предната точка на окачване</t>
        </r>
      </text>
    </comment>
    <comment ref="C15" authorId="0" shapeId="0" xr:uid="{00000000-0006-0000-0300-00000D000000}">
      <text>
        <r>
          <rPr>
            <b/>
            <sz val="14"/>
            <color indexed="81"/>
            <rFont val="Tahoma"/>
            <family val="2"/>
          </rPr>
          <t>Stanislav:</t>
        </r>
        <r>
          <rPr>
            <sz val="14"/>
            <color indexed="81"/>
            <rFont val="Tahoma"/>
            <family val="2"/>
          </rPr>
          <t xml:space="preserve">
тегло на SCV F системата SCV F
+ FR VR</t>
        </r>
      </text>
    </comment>
    <comment ref="C18" authorId="0" shapeId="0" xr:uid="{00000000-0006-0000-0300-00000E000000}">
      <text>
        <r>
          <rPr>
            <sz val="14"/>
            <color indexed="81"/>
            <rFont val="Tahoma"/>
            <family val="2"/>
          </rPr>
          <t>тегло на системаат  ViRAY + FR VF</t>
        </r>
      </text>
    </comment>
    <comment ref="E24" authorId="0" shapeId="0" xr:uid="{00000000-0006-0000-0300-00000F000000}">
      <text>
        <r>
          <rPr>
            <b/>
            <sz val="12"/>
            <color indexed="81"/>
            <rFont val="Tahoma"/>
            <family val="2"/>
            <charset val="204"/>
          </rPr>
          <t>Stanislav:с един шегел в средата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Stanislav</author>
  </authors>
  <commentList>
    <comment ref="C2" authorId="0" shapeId="0" xr:uid="{00000000-0006-0000-0400-000001000000}">
      <text>
        <r>
          <rPr>
            <b/>
            <sz val="11"/>
            <color indexed="81"/>
            <rFont val="Tahoma"/>
            <family val="2"/>
          </rPr>
          <t>Stanislav: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>разстояние между двата крайни отвора на FRH NAPS</t>
        </r>
      </text>
    </comment>
    <comment ref="D2" authorId="0" shapeId="0" xr:uid="{00000000-0006-0000-0400-000002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фрейм.
С EXBAR в средата</t>
        </r>
      </text>
    </comment>
    <comment ref="E2" authorId="0" shapeId="0" xr:uid="{00000000-0006-0000-0400-000003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два  отвора на FRH NAPS- 28mm</t>
        </r>
      </text>
    </comment>
    <comment ref="F2" authorId="0" shapeId="0" xr:uid="{00000000-0006-0000-0400-000004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проектитрано разстояние между първия отвор на фрейма и началото на координатната система в която смята центъра на тежеста.
40.3080044°, 46.6845 константи за FRH N APS
</t>
        </r>
      </text>
    </comment>
    <comment ref="C3" authorId="0" shapeId="0" xr:uid="{00000000-0006-0000-0400-000005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</t>
        </r>
      </text>
    </comment>
    <comment ref="D3" authorId="0" shapeId="0" xr:uid="{00000000-0006-0000-0400-000006000000}">
      <text>
        <r>
          <rPr>
            <sz val="12"/>
            <color indexed="81"/>
            <rFont val="Tahoma"/>
            <family val="2"/>
          </rPr>
          <t>разстояние от центъра на тежеста на системата до първия отвор за шегел при накланяне на фрейма.
Това разстояние се ползва за пресмятане на силите при EXBAR ОТЗАД!</t>
        </r>
      </text>
    </comment>
    <comment ref="C4" authorId="0" shapeId="0" xr:uid="{00000000-0006-0000-0400-000007000000}">
      <text>
        <r>
          <rPr>
            <sz val="12"/>
            <color indexed="81"/>
            <rFont val="Tahoma"/>
            <family val="2"/>
          </rPr>
          <t>разстояние от първия отвор на EXBAR AR до последния отвор на FR AR (ADS)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00000000-0006-0000-0400-000008000000}">
      <text>
        <r>
          <rPr>
            <b/>
            <sz val="12"/>
            <color indexed="81"/>
            <rFont val="Tahoma"/>
            <family val="2"/>
            <charset val="204"/>
          </rPr>
          <t>Stanislav:</t>
        </r>
        <r>
          <rPr>
            <sz val="12"/>
            <color indexed="81"/>
            <rFont val="Tahoma"/>
            <family val="2"/>
            <charset val="204"/>
          </rPr>
          <t xml:space="preserve">
разстояние между  крайните отвори на наклонения фрейм+ EXBAR</t>
        </r>
      </text>
    </comment>
    <comment ref="C5" authorId="0" shapeId="0" xr:uid="{00000000-0006-0000-0400-000009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AR</t>
        </r>
      </text>
    </comment>
    <comment ref="D5" authorId="0" shapeId="0" xr:uid="{00000000-0006-0000-0400-00000A000000}">
      <text>
        <r>
          <rPr>
            <b/>
            <sz val="12"/>
            <color indexed="81"/>
            <rFont val="Tahoma"/>
            <family val="2"/>
          </rPr>
          <t>разтояние на центъра на тежеста на системат до първия отвор на EXBAR VR , който е отпред ПРИ НАКЛОНЕНА СИ-МА
 473мм</t>
        </r>
      </text>
    </comment>
    <comment ref="C7" authorId="0" shapeId="0" xr:uid="{00000000-0006-0000-0400-00000B000000}">
      <text>
        <r>
          <rPr>
            <b/>
            <sz val="12"/>
            <color indexed="81"/>
            <rFont val="Tahoma"/>
            <family val="2"/>
          </rPr>
          <t>Stanislav:</t>
        </r>
        <r>
          <rPr>
            <sz val="12"/>
            <color indexed="81"/>
            <rFont val="Tahoma"/>
            <family val="2"/>
          </rPr>
          <t xml:space="preserve">
2x5800- отпред на ViRAY
8000-  FRONT OF FR VR</t>
        </r>
      </text>
    </comment>
    <comment ref="D7" authorId="0" shapeId="0" xr:uid="{00000000-0006-0000-0400-00000C000000}">
      <text>
        <r>
          <rPr>
            <b/>
            <sz val="16"/>
            <color indexed="81"/>
            <rFont val="Tahoma"/>
            <family val="2"/>
          </rPr>
          <t>10 000 кг  ViRAY задно</t>
        </r>
      </text>
    </comment>
    <comment ref="E8" authorId="0" shapeId="0" xr:uid="{00000000-0006-0000-0400-00000D000000}">
      <text>
        <r>
          <rPr>
            <b/>
            <sz val="12"/>
            <color indexed="81"/>
            <rFont val="Tahoma"/>
            <family val="2"/>
            <charset val="204"/>
          </rPr>
          <t>Stanislav:с един шегел в средата</t>
        </r>
      </text>
    </comment>
    <comment ref="C13" authorId="0" shapeId="0" xr:uid="{00000000-0006-0000-0400-00000E000000}">
      <text>
        <r>
          <rPr>
            <sz val="12"/>
            <color indexed="81"/>
            <rFont val="Tahoma"/>
            <family val="2"/>
          </rPr>
          <t>разстояние  между точките на предното и задното окачване ViRAY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<sst xmlns="http://schemas.openxmlformats.org/spreadsheetml/2006/main" count="553" uniqueCount="136">
  <si>
    <t>b</t>
  </si>
  <si>
    <t>k</t>
  </si>
  <si>
    <t>b/2</t>
  </si>
  <si>
    <t>sin b/2</t>
  </si>
  <si>
    <t>d</t>
  </si>
  <si>
    <t>2c</t>
  </si>
  <si>
    <t>e=a/2</t>
  </si>
  <si>
    <t>sin(e)</t>
  </si>
  <si>
    <t>c=sin(b/2)*d</t>
  </si>
  <si>
    <t>f=sin(e)*2c</t>
  </si>
  <si>
    <t>g center of  mass -x</t>
  </si>
  <si>
    <t>h=g+f</t>
  </si>
  <si>
    <t>center of mass X</t>
  </si>
  <si>
    <t>a</t>
  </si>
  <si>
    <t>L</t>
  </si>
  <si>
    <t>G</t>
  </si>
  <si>
    <t>kg</t>
  </si>
  <si>
    <t xml:space="preserve">G </t>
  </si>
  <si>
    <t>Fa=((L-a)/L)*G</t>
  </si>
  <si>
    <t>Fb=(a/L)*G</t>
  </si>
  <si>
    <t>front</t>
  </si>
  <si>
    <t>rear</t>
  </si>
  <si>
    <t>Weight total:</t>
  </si>
  <si>
    <t>L(2motors)=</t>
  </si>
  <si>
    <t>2 motors, kg</t>
  </si>
  <si>
    <t>front motor</t>
  </si>
  <si>
    <t>rear motor</t>
  </si>
  <si>
    <t>a - общ ъгъл</t>
  </si>
  <si>
    <t>sin t</t>
  </si>
  <si>
    <t>m= sin t *n(const)</t>
  </si>
  <si>
    <t>sin r</t>
  </si>
  <si>
    <t>p= sin r *q(const)</t>
  </si>
  <si>
    <t xml:space="preserve">g - тегло на боксожете под тази </t>
  </si>
  <si>
    <t>L=m+n</t>
  </si>
  <si>
    <t>z- център на тежест на боксовете след него спрямо първата колона</t>
  </si>
  <si>
    <t>J=x-p</t>
  </si>
  <si>
    <t>A=z-J</t>
  </si>
  <si>
    <t>Fa=((L-A)/L)*G</t>
  </si>
  <si>
    <t>Fb=(A/L)*G</t>
  </si>
  <si>
    <t>синьо</t>
  </si>
  <si>
    <t>L=m+p</t>
  </si>
  <si>
    <t xml:space="preserve">x= (SUM Gi*xi)/G
</t>
  </si>
  <si>
    <t>Asc8=z-J</t>
  </si>
  <si>
    <t>Asc8+la12 =x-J</t>
  </si>
  <si>
    <t>k - safety factor</t>
  </si>
  <si>
    <t>G,kg</t>
  </si>
  <si>
    <t>L,mm</t>
  </si>
  <si>
    <t>a,mm</t>
  </si>
  <si>
    <t>center  om mass от R напред</t>
  </si>
  <si>
    <t>center  om mass от А назад</t>
  </si>
  <si>
    <t>kg.</t>
  </si>
  <si>
    <t>t= 54.501+a</t>
  </si>
  <si>
    <t>r= 58.73-a</t>
  </si>
  <si>
    <t>A SCV F=z-J</t>
  </si>
  <si>
    <t>b=k+a</t>
  </si>
  <si>
    <t>destroying force VR VR</t>
  </si>
  <si>
    <t>destroying force   SC VF, kg</t>
  </si>
  <si>
    <t>destroying force, kg ViRAY</t>
  </si>
  <si>
    <t>ОБЩ ЪГЪЛ</t>
  </si>
  <si>
    <t>destroying force FR VR</t>
  </si>
  <si>
    <t>n</t>
  </si>
  <si>
    <t>kn</t>
  </si>
  <si>
    <t>kn-a</t>
  </si>
  <si>
    <t>cos(kn-a)</t>
  </si>
  <si>
    <t>x=cos(kn-a)*n</t>
  </si>
  <si>
    <t>h=x</t>
  </si>
  <si>
    <t>пресмятане на отместването  на център на тежеста на следващата система(за да се сумират двете системи)</t>
  </si>
  <si>
    <t>ъгъл</t>
  </si>
  <si>
    <t>j=cosv*n</t>
  </si>
  <si>
    <t>q=z-j</t>
  </si>
  <si>
    <t>най-долната колона</t>
  </si>
  <si>
    <t>Lx</t>
  </si>
  <si>
    <t>Lo</t>
  </si>
  <si>
    <t>Ao</t>
  </si>
  <si>
    <t>a(2motors)=a1-47.5</t>
  </si>
  <si>
    <t>L(2motors) 
with exbar in front or at the back and ADS</t>
  </si>
  <si>
    <t>a(2motors)with 
exbar in front =a+425.5</t>
  </si>
  <si>
    <t>t= 66.25-a</t>
  </si>
  <si>
    <t>r= 50.018+a</t>
  </si>
  <si>
    <t>пресмятане на разстоянието между центъра на тежеста спрямо първия отвор за шегел на фрейма</t>
  </si>
  <si>
    <t>1 motor - 1 point</t>
  </si>
  <si>
    <t>x AiRAY</t>
  </si>
  <si>
    <t>САМО ЗА SCV F И AiRAY</t>
  </si>
  <si>
    <t>m= sin t *n(const304.3209)</t>
  </si>
  <si>
    <t>p= sin r *q(const279.0605)</t>
  </si>
  <si>
    <t>k- const</t>
  </si>
  <si>
    <t>f-ъгъл</t>
  </si>
  <si>
    <t>cos(f)</t>
  </si>
  <si>
    <t>изчисляване на центъра на тежеста на системата FR AR и АiRAY</t>
  </si>
  <si>
    <t>x= (SUM Gi*xi)/G</t>
  </si>
  <si>
    <t>не се отчитат , това са данни ит Airay</t>
  </si>
  <si>
    <t xml:space="preserve">g APS SUB- тегло на боксожете под тази </t>
  </si>
  <si>
    <t>1 motor- 2 points</t>
  </si>
  <si>
    <t>G ,APS SUB</t>
  </si>
  <si>
    <t>G , APS</t>
  </si>
  <si>
    <t>САМО ЗА APS SUB + APS</t>
  </si>
  <si>
    <t xml:space="preserve">g APS- тегло на боксожете под тази </t>
  </si>
  <si>
    <t>ТОВА СЕ СКРИВА</t>
  </si>
  <si>
    <t>G ,APS</t>
  </si>
  <si>
    <t>n APS</t>
  </si>
  <si>
    <t>z- център на тежест на боксовете след него спрямо първата колона от горния array(началото на ккординатната система)</t>
  </si>
  <si>
    <t>enter the angle of frame FRV-N-APS</t>
  </si>
  <si>
    <t>изчисляване на центъра на тежеста на FRV-N-APS</t>
  </si>
  <si>
    <t>x=cos(f)*n(const)
n=260.5560 за FRV-N- APS</t>
  </si>
  <si>
    <t>въвежда се теглото</t>
  </si>
  <si>
    <t>3.3- тегло на FRV-N-APS</t>
  </si>
  <si>
    <t>Total weight includes: N-APS, FRV-N-APS ( 3.3 kg), Main LS Cables (5 kg)</t>
  </si>
  <si>
    <t>a(2motors)=a1-43.1868</t>
  </si>
  <si>
    <r>
      <t xml:space="preserve">enter the number of 
</t>
    </r>
    <r>
      <rPr>
        <b/>
        <sz val="20"/>
        <rFont val="Arial"/>
        <family val="2"/>
        <charset val="204"/>
      </rPr>
      <t>N-SUB</t>
    </r>
    <r>
      <rPr>
        <b/>
        <sz val="16"/>
        <rFont val="Arial"/>
        <family val="2"/>
      </rPr>
      <t xml:space="preserve">
 cabinets from 1 up to 3</t>
    </r>
  </si>
  <si>
    <t>Total weight includes: N-SUB , FRV-N- APS ( 3.3 kg), Main LS Cables (5 kg)</t>
  </si>
  <si>
    <r>
      <t xml:space="preserve">enter the number of 
</t>
    </r>
    <r>
      <rPr>
        <b/>
        <sz val="20"/>
        <rFont val="Arial"/>
        <family val="2"/>
        <charset val="204"/>
      </rPr>
      <t>N-APS</t>
    </r>
    <r>
      <rPr>
        <b/>
        <sz val="16"/>
        <rFont val="Arial"/>
        <family val="2"/>
      </rPr>
      <t xml:space="preserve">
 cabinets from 1 up to 4</t>
    </r>
  </si>
  <si>
    <t>v, N-SUB</t>
  </si>
  <si>
    <t>n N-SUB</t>
  </si>
  <si>
    <t xml:space="preserve">g N-SUB- тегло на боксожете под тази </t>
  </si>
  <si>
    <t>G N-SUB - тегло на боксожете под тази +N-APS</t>
  </si>
  <si>
    <t>САМО ЗА N SUB + NAPS</t>
  </si>
  <si>
    <r>
      <t xml:space="preserve">enter the number of
 </t>
    </r>
    <r>
      <rPr>
        <b/>
        <sz val="20"/>
        <rFont val="Arial"/>
        <family val="2"/>
        <charset val="204"/>
      </rPr>
      <t>N-APS</t>
    </r>
    <r>
      <rPr>
        <b/>
        <sz val="18"/>
        <rFont val="Arial"/>
        <family val="2"/>
      </rPr>
      <t xml:space="preserve"> 
cabinets from 1 up to 6</t>
    </r>
  </si>
  <si>
    <r>
      <t xml:space="preserve">enter the number of 
</t>
    </r>
    <r>
      <rPr>
        <b/>
        <sz val="20"/>
        <rFont val="Arial"/>
        <family val="2"/>
      </rPr>
      <t>N-APS</t>
    </r>
    <r>
      <rPr>
        <b/>
        <sz val="16"/>
        <rFont val="Arial"/>
        <family val="2"/>
      </rPr>
      <t xml:space="preserve">
 cabinets from 1 up to 3</t>
    </r>
  </si>
  <si>
    <t>v, NAPS</t>
  </si>
  <si>
    <t xml:space="preserve">g NAPS- тегло на боксожете под тази </t>
  </si>
  <si>
    <t xml:space="preserve"> тегло на боксожете под тази + NSUB+NAPS</t>
  </si>
  <si>
    <t>v, NSUB</t>
  </si>
  <si>
    <t>n N SUB</t>
  </si>
  <si>
    <t>САМО ЗА NSUB +N APS</t>
  </si>
  <si>
    <t>G NSUB - тегло на боксожете под тази +NAPS</t>
  </si>
  <si>
    <t xml:space="preserve">g NSUB- тегло на боксожете под тази </t>
  </si>
  <si>
    <t>изчисляване на центъра на тежеста на системата</t>
  </si>
  <si>
    <t>x NAPS</t>
  </si>
  <si>
    <t>a(2motors)=a1-35.6005</t>
  </si>
  <si>
    <t>x=cos(f)*n(const)
n=185.8889 за FRH NAPS</t>
  </si>
  <si>
    <t>изчисляване на центъра на тежеста на FRH-N- APS</t>
  </si>
  <si>
    <t>Total weight includes: N-SUB, N-APS, FRV-N-APS ( 3.3 kg), Main LS Cables (5 kg)</t>
  </si>
  <si>
    <t>Total weight includes: N-APS, N-SUB, FRV-N-APS ( 3.3 kg), Main LS Cables (5 kg)</t>
  </si>
  <si>
    <t>Total weight includes: 3xN-APS, FRH-N-APS ( 1.0 kg), Main LS Cables (5 kg)</t>
  </si>
  <si>
    <t>3x N-APS</t>
  </si>
  <si>
    <t>enter the angle of frame FRH-N-APS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</si>
</sst>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 Narrow"/>
      <family val="2"/>
      <charset val="204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 Narrow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4"/>
      <name val="Arial Narrow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20"/>
      <name val="Arial Narrow"/>
      <family val="2"/>
    </font>
    <font>
      <b/>
      <sz val="12"/>
      <name val="Arial"/>
      <family val="2"/>
    </font>
    <font>
      <b/>
      <sz val="12"/>
      <color indexed="11"/>
      <name val="Arial"/>
      <family val="2"/>
    </font>
    <font>
      <b/>
      <sz val="12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9"/>
      <name val="Arial"/>
      <family val="2"/>
    </font>
    <font>
      <b/>
      <sz val="12"/>
      <color indexed="57"/>
      <name val="Arial Narrow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sz val="12"/>
      <color indexed="11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b/>
      <sz val="24"/>
      <name val="Arial Narrow"/>
      <family val="2"/>
    </font>
    <font>
      <sz val="24"/>
      <name val="Arial"/>
      <family val="2"/>
    </font>
    <font>
      <b/>
      <sz val="14"/>
      <color indexed="9"/>
      <name val="Arial Narrow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6"/>
      <name val="Arial Narrow"/>
      <family val="2"/>
    </font>
    <font>
      <b/>
      <sz val="12"/>
      <color indexed="16"/>
      <name val="Arial"/>
      <family val="2"/>
    </font>
    <font>
      <b/>
      <sz val="10"/>
      <color indexed="48"/>
      <name val="Arial"/>
      <family val="2"/>
    </font>
    <font>
      <b/>
      <sz val="12"/>
      <color indexed="30"/>
      <name val="Arial"/>
      <family val="2"/>
    </font>
    <font>
      <sz val="10"/>
      <color indexed="10"/>
      <name val="Arial"/>
      <family val="2"/>
    </font>
    <font>
      <b/>
      <sz val="12"/>
      <color indexed="4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color indexed="10"/>
      <name val="Arial"/>
      <family val="2"/>
    </font>
    <font>
      <b/>
      <u/>
      <sz val="14"/>
      <color indexed="57"/>
      <name val="Arial"/>
      <family val="2"/>
    </font>
    <font>
      <b/>
      <u/>
      <sz val="14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b/>
      <sz val="16"/>
      <color indexed="12"/>
      <name val="Arial Narrow"/>
      <family val="2"/>
    </font>
    <font>
      <b/>
      <sz val="16"/>
      <color indexed="57"/>
      <name val="Arial"/>
      <family val="2"/>
    </font>
    <font>
      <b/>
      <sz val="16"/>
      <color indexed="53"/>
      <name val="Arial"/>
      <family val="2"/>
    </font>
    <font>
      <b/>
      <sz val="16"/>
      <color indexed="53"/>
      <name val="Arial Narrow"/>
      <family val="2"/>
    </font>
    <font>
      <b/>
      <sz val="16"/>
      <color indexed="11"/>
      <name val="Arial"/>
      <family val="2"/>
    </font>
    <font>
      <b/>
      <sz val="12"/>
      <name val="Arial Black"/>
      <family val="2"/>
    </font>
    <font>
      <b/>
      <sz val="14"/>
      <color indexed="12"/>
      <name val="Arial"/>
      <family val="2"/>
    </font>
    <font>
      <b/>
      <sz val="14"/>
      <color indexed="57"/>
      <name val="Arial"/>
      <family val="2"/>
    </font>
    <font>
      <b/>
      <sz val="14"/>
      <color indexed="10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4"/>
      <color indexed="10"/>
      <name val="Arial"/>
      <family val="2"/>
    </font>
    <font>
      <b/>
      <sz val="14"/>
      <color indexed="48"/>
      <name val="Arial"/>
      <family val="2"/>
    </font>
    <font>
      <b/>
      <sz val="14"/>
      <color indexed="16"/>
      <name val="Arial"/>
      <family val="2"/>
    </font>
    <font>
      <b/>
      <u/>
      <sz val="16"/>
      <name val="Arial"/>
      <family val="2"/>
    </font>
    <font>
      <b/>
      <sz val="16"/>
      <color indexed="81"/>
      <name val="Tahoma"/>
      <family val="2"/>
    </font>
    <font>
      <b/>
      <sz val="10"/>
      <color indexed="14"/>
      <name val="Arial"/>
      <family val="2"/>
    </font>
    <font>
      <b/>
      <sz val="12"/>
      <color indexed="81"/>
      <name val="Tahoma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2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8"/>
      <color theme="0" tint="-4.9989318521683403E-2"/>
      <name val="Arial"/>
      <family val="2"/>
    </font>
    <font>
      <sz val="18"/>
      <name val="Arial"/>
      <family val="2"/>
    </font>
    <font>
      <sz val="18"/>
      <color indexed="81"/>
      <name val="Tahoma"/>
      <family val="2"/>
      <charset val="204"/>
    </font>
    <font>
      <b/>
      <u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"/>
      <family val="2"/>
      <charset val="204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8"/>
      <name val="Arial"/>
      <family val="2"/>
    </font>
    <font>
      <sz val="12"/>
      <name val="Arial"/>
      <family val="2"/>
      <charset val="204"/>
    </font>
    <font>
      <b/>
      <sz val="18"/>
      <name val="Arial Narrow"/>
      <family val="2"/>
    </font>
    <font>
      <b/>
      <sz val="16"/>
      <color rgb="FFFF0000"/>
      <name val="Arial Narrow"/>
      <family val="2"/>
    </font>
    <font>
      <b/>
      <sz val="18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indexed="9"/>
      <name val="Arial Narrow"/>
      <family val="2"/>
    </font>
    <font>
      <b/>
      <sz val="18"/>
      <color rgb="FFFF0000"/>
      <name val="Arial Narrow"/>
      <family val="2"/>
    </font>
    <font>
      <b/>
      <sz val="18"/>
      <color indexed="9"/>
      <name val="Arial Narrow"/>
      <family val="2"/>
    </font>
    <font>
      <b/>
      <sz val="14"/>
      <color rgb="FFFF0000"/>
      <name val="Arial Narrow"/>
      <family val="2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</font>
    <font>
      <u/>
      <sz val="14"/>
      <name val="Arial"/>
      <family val="2"/>
    </font>
    <font>
      <b/>
      <u/>
      <sz val="16"/>
      <name val="Arial"/>
      <family val="2"/>
      <charset val="204"/>
    </font>
    <font>
      <b/>
      <u/>
      <sz val="18"/>
      <color indexed="10"/>
      <name val="Arial"/>
      <family val="2"/>
    </font>
    <font>
      <u/>
      <sz val="18"/>
      <name val="Arial"/>
      <family val="2"/>
    </font>
    <font>
      <sz val="10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20"/>
      <name val="Arial"/>
      <family val="2"/>
      <charset val="204"/>
    </font>
    <font>
      <sz val="12"/>
      <color theme="1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1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lightUp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1" fillId="0" borderId="0"/>
  </cellStyleXfs>
  <cellXfs count="753">
    <xf numFmtId="0" fontId="0" fillId="0" borderId="0" xfId="0"/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76" fillId="0" borderId="0" xfId="1" applyFont="1" applyFill="1" applyBorder="1" applyProtection="1"/>
    <xf numFmtId="2" fontId="58" fillId="0" borderId="0" xfId="1" applyNumberFormat="1" applyFont="1" applyFill="1" applyBorder="1" applyAlignment="1" applyProtection="1">
      <alignment horizontal="center" vertical="center"/>
    </xf>
    <xf numFmtId="0" fontId="39" fillId="0" borderId="0" xfId="2" applyFont="1" applyFill="1" applyBorder="1" applyAlignment="1" applyProtection="1">
      <alignment horizontal="center" vertical="center"/>
    </xf>
    <xf numFmtId="2" fontId="39" fillId="0" borderId="0" xfId="1" applyNumberFormat="1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/>
      <protection locked="0"/>
    </xf>
    <xf numFmtId="0" fontId="4" fillId="15" borderId="5" xfId="0" applyFont="1" applyFill="1" applyBorder="1" applyAlignment="1" applyProtection="1">
      <alignment horizontal="center"/>
      <protection locked="0"/>
    </xf>
    <xf numFmtId="0" fontId="4" fillId="15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/>
    <xf numFmtId="0" fontId="72" fillId="19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Protection="1"/>
    <xf numFmtId="0" fontId="43" fillId="0" borderId="8" xfId="0" applyFont="1" applyFill="1" applyBorder="1" applyProtection="1"/>
    <xf numFmtId="0" fontId="74" fillId="19" borderId="8" xfId="0" applyFont="1" applyFill="1" applyBorder="1" applyAlignment="1" applyProtection="1">
      <alignment horizontal="center"/>
    </xf>
    <xf numFmtId="0" fontId="72" fillId="19" borderId="8" xfId="0" applyFont="1" applyFill="1" applyBorder="1" applyAlignment="1" applyProtection="1">
      <alignment horizontal="center"/>
    </xf>
    <xf numFmtId="0" fontId="42" fillId="0" borderId="0" xfId="0" applyFont="1" applyFill="1" applyBorder="1" applyAlignment="1" applyProtection="1">
      <alignment wrapText="1"/>
    </xf>
    <xf numFmtId="0" fontId="42" fillId="0" borderId="0" xfId="0" applyFont="1" applyFill="1" applyBorder="1" applyAlignment="1" applyProtection="1">
      <alignment horizontal="center"/>
    </xf>
    <xf numFmtId="0" fontId="0" fillId="0" borderId="0" xfId="0" applyFill="1" applyProtection="1"/>
    <xf numFmtId="0" fontId="41" fillId="6" borderId="8" xfId="0" applyFont="1" applyFill="1" applyBorder="1" applyAlignment="1" applyProtection="1">
      <alignment horizontal="center"/>
    </xf>
    <xf numFmtId="0" fontId="44" fillId="6" borderId="8" xfId="0" applyFont="1" applyFill="1" applyBorder="1" applyAlignment="1" applyProtection="1">
      <alignment horizontal="center"/>
    </xf>
    <xf numFmtId="0" fontId="26" fillId="6" borderId="8" xfId="0" applyFont="1" applyFill="1" applyBorder="1" applyAlignment="1" applyProtection="1">
      <alignment horizontal="center"/>
    </xf>
    <xf numFmtId="0" fontId="26" fillId="0" borderId="8" xfId="0" applyFont="1" applyBorder="1" applyAlignment="1" applyProtection="1">
      <alignment horizontal="center"/>
    </xf>
    <xf numFmtId="0" fontId="41" fillId="0" borderId="8" xfId="0" applyFont="1" applyBorder="1" applyAlignment="1" applyProtection="1">
      <alignment horizontal="center"/>
    </xf>
    <xf numFmtId="0" fontId="71" fillId="0" borderId="0" xfId="0" applyFont="1" applyFill="1" applyBorder="1" applyProtection="1"/>
    <xf numFmtId="0" fontId="44" fillId="0" borderId="0" xfId="0" applyFont="1" applyFill="1" applyBorder="1" applyAlignment="1" applyProtection="1">
      <alignment wrapText="1"/>
    </xf>
    <xf numFmtId="0" fontId="44" fillId="0" borderId="0" xfId="0" applyFont="1" applyFill="1" applyBorder="1" applyAlignment="1" applyProtection="1">
      <alignment horizontal="center"/>
    </xf>
    <xf numFmtId="0" fontId="71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6" fillId="0" borderId="0" xfId="0" applyFont="1" applyFill="1" applyBorder="1" applyProtection="1"/>
    <xf numFmtId="0" fontId="39" fillId="0" borderId="0" xfId="1" applyFont="1" applyFill="1" applyBorder="1" applyAlignment="1" applyProtection="1">
      <alignment wrapText="1"/>
    </xf>
    <xf numFmtId="0" fontId="26" fillId="0" borderId="0" xfId="1" applyFont="1" applyFill="1" applyBorder="1" applyProtection="1"/>
    <xf numFmtId="0" fontId="28" fillId="0" borderId="0" xfId="0" applyNumberFormat="1" applyFont="1" applyFill="1" applyBorder="1" applyAlignment="1" applyProtection="1">
      <alignment horizontal="center"/>
    </xf>
    <xf numFmtId="0" fontId="28" fillId="0" borderId="0" xfId="1" applyNumberFormat="1" applyFont="1" applyFill="1" applyBorder="1" applyAlignment="1" applyProtection="1">
      <alignment horizontal="center" vertical="center"/>
    </xf>
    <xf numFmtId="2" fontId="39" fillId="0" borderId="0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vertical="center"/>
    </xf>
    <xf numFmtId="2" fontId="39" fillId="0" borderId="0" xfId="0" applyNumberFormat="1" applyFont="1" applyFill="1" applyBorder="1" applyAlignment="1" applyProtection="1">
      <alignment vertical="center"/>
    </xf>
    <xf numFmtId="2" fontId="39" fillId="0" borderId="0" xfId="0" applyNumberFormat="1" applyFont="1" applyFill="1" applyBorder="1" applyProtection="1"/>
    <xf numFmtId="0" fontId="39" fillId="0" borderId="0" xfId="0" applyFont="1" applyFill="1" applyBorder="1" applyProtection="1"/>
    <xf numFmtId="0" fontId="40" fillId="0" borderId="0" xfId="0" applyFont="1" applyProtection="1"/>
    <xf numFmtId="0" fontId="40" fillId="0" borderId="0" xfId="0" applyFont="1" applyFill="1" applyProtection="1"/>
    <xf numFmtId="0" fontId="32" fillId="0" borderId="0" xfId="0" applyFont="1" applyBorder="1" applyAlignment="1" applyProtection="1">
      <alignment horizontal="right"/>
    </xf>
    <xf numFmtId="0" fontId="32" fillId="0" borderId="0" xfId="0" applyFont="1" applyBorder="1" applyProtection="1"/>
    <xf numFmtId="0" fontId="50" fillId="0" borderId="0" xfId="0" applyFont="1" applyBorder="1" applyProtection="1"/>
    <xf numFmtId="0" fontId="50" fillId="0" borderId="0" xfId="0" applyFont="1" applyProtection="1"/>
    <xf numFmtId="0" fontId="28" fillId="0" borderId="0" xfId="0" applyNumberFormat="1" applyFont="1" applyFill="1" applyBorder="1" applyAlignment="1" applyProtection="1">
      <alignment vertical="center"/>
    </xf>
    <xf numFmtId="0" fontId="16" fillId="3" borderId="0" xfId="0" applyNumberFormat="1" applyFont="1" applyFill="1" applyBorder="1" applyAlignment="1" applyProtection="1">
      <alignment horizontal="center"/>
    </xf>
    <xf numFmtId="0" fontId="86" fillId="0" borderId="0" xfId="0" applyFont="1" applyProtection="1"/>
    <xf numFmtId="0" fontId="0" fillId="0" borderId="1" xfId="0" applyBorder="1" applyProtection="1"/>
    <xf numFmtId="0" fontId="0" fillId="0" borderId="0" xfId="0" applyAlignment="1" applyProtection="1">
      <alignment vertical="center"/>
    </xf>
    <xf numFmtId="0" fontId="0" fillId="0" borderId="0" xfId="0" applyFill="1" applyBorder="1" applyProtection="1"/>
    <xf numFmtId="0" fontId="32" fillId="0" borderId="0" xfId="0" applyFont="1" applyFill="1" applyBorder="1" applyProtection="1"/>
    <xf numFmtId="0" fontId="51" fillId="0" borderId="0" xfId="0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right"/>
    </xf>
    <xf numFmtId="0" fontId="0" fillId="0" borderId="2" xfId="0" applyBorder="1" applyProtection="1"/>
    <xf numFmtId="1" fontId="52" fillId="0" borderId="0" xfId="0" applyNumberFormat="1" applyFont="1" applyBorder="1" applyAlignment="1" applyProtection="1">
      <alignment horizontal="right"/>
    </xf>
    <xf numFmtId="0" fontId="51" fillId="0" borderId="0" xfId="0" applyFont="1" applyBorder="1" applyAlignment="1" applyProtection="1">
      <alignment wrapText="1"/>
    </xf>
    <xf numFmtId="0" fontId="5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0" fillId="0" borderId="0" xfId="0" applyFont="1" applyBorder="1" applyAlignment="1" applyProtection="1">
      <alignment horizontal="center"/>
    </xf>
    <xf numFmtId="0" fontId="32" fillId="12" borderId="18" xfId="0" applyFont="1" applyFill="1" applyBorder="1" applyProtection="1"/>
    <xf numFmtId="0" fontId="51" fillId="0" borderId="0" xfId="0" applyFont="1" applyBorder="1" applyProtection="1"/>
    <xf numFmtId="1" fontId="52" fillId="0" borderId="0" xfId="0" applyNumberFormat="1" applyFont="1" applyBorder="1" applyAlignment="1" applyProtection="1"/>
    <xf numFmtId="0" fontId="50" fillId="12" borderId="14" xfId="0" applyFont="1" applyFill="1" applyBorder="1" applyProtection="1"/>
    <xf numFmtId="0" fontId="13" fillId="0" borderId="0" xfId="0" applyNumberFormat="1" applyFont="1" applyFill="1" applyBorder="1" applyAlignment="1" applyProtection="1">
      <alignment horizontal="center"/>
    </xf>
    <xf numFmtId="0" fontId="32" fillId="12" borderId="7" xfId="0" applyFont="1" applyFill="1" applyBorder="1" applyProtection="1"/>
    <xf numFmtId="0" fontId="0" fillId="12" borderId="14" xfId="0" applyFill="1" applyBorder="1" applyProtection="1"/>
    <xf numFmtId="0" fontId="32" fillId="12" borderId="6" xfId="0" applyFont="1" applyFill="1" applyBorder="1" applyProtection="1"/>
    <xf numFmtId="0" fontId="0" fillId="12" borderId="2" xfId="0" applyFill="1" applyBorder="1" applyProtection="1"/>
    <xf numFmtId="0" fontId="32" fillId="12" borderId="3" xfId="0" applyFont="1" applyFill="1" applyBorder="1" applyProtection="1"/>
    <xf numFmtId="0" fontId="3" fillId="0" borderId="0" xfId="0" applyFont="1" applyProtection="1"/>
    <xf numFmtId="2" fontId="0" fillId="0" borderId="0" xfId="0" applyNumberFormat="1" applyProtection="1"/>
    <xf numFmtId="0" fontId="0" fillId="0" borderId="14" xfId="0" applyBorder="1" applyProtection="1"/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Border="1" applyProtection="1"/>
    <xf numFmtId="0" fontId="50" fillId="0" borderId="0" xfId="0" applyFont="1" applyBorder="1" applyAlignment="1" applyProtection="1">
      <alignment wrapText="1"/>
    </xf>
    <xf numFmtId="0" fontId="53" fillId="0" borderId="8" xfId="0" applyFont="1" applyFill="1" applyBorder="1" applyProtection="1"/>
    <xf numFmtId="0" fontId="53" fillId="0" borderId="0" xfId="0" applyFont="1" applyFill="1" applyBorder="1" applyProtection="1"/>
    <xf numFmtId="0" fontId="75" fillId="21" borderId="7" xfId="0" applyFont="1" applyFill="1" applyBorder="1" applyAlignment="1" applyProtection="1">
      <alignment horizontal="center"/>
    </xf>
    <xf numFmtId="0" fontId="75" fillId="21" borderId="14" xfId="0" applyFont="1" applyFill="1" applyBorder="1" applyAlignment="1" applyProtection="1">
      <alignment horizontal="center"/>
    </xf>
    <xf numFmtId="0" fontId="75" fillId="21" borderId="18" xfId="0" applyFont="1" applyFill="1" applyBorder="1" applyAlignment="1" applyProtection="1">
      <alignment horizontal="center"/>
    </xf>
    <xf numFmtId="0" fontId="75" fillId="0" borderId="0" xfId="0" applyFont="1" applyFill="1" applyBorder="1" applyAlignment="1" applyProtection="1">
      <alignment horizontal="center"/>
    </xf>
    <xf numFmtId="0" fontId="54" fillId="0" borderId="0" xfId="0" applyFont="1" applyBorder="1" applyProtection="1"/>
    <xf numFmtId="1" fontId="55" fillId="0" borderId="0" xfId="0" applyNumberFormat="1" applyFont="1" applyBorder="1" applyAlignment="1" applyProtection="1"/>
    <xf numFmtId="0" fontId="54" fillId="0" borderId="0" xfId="0" applyFont="1" applyBorder="1" applyAlignment="1" applyProtection="1">
      <alignment horizontal="center"/>
    </xf>
    <xf numFmtId="1" fontId="55" fillId="0" borderId="0" xfId="0" applyNumberFormat="1" applyFont="1" applyBorder="1" applyAlignment="1" applyProtection="1">
      <alignment horizontal="right"/>
    </xf>
    <xf numFmtId="1" fontId="55" fillId="0" borderId="0" xfId="0" applyNumberFormat="1" applyFont="1" applyFill="1" applyBorder="1" applyAlignment="1" applyProtection="1"/>
    <xf numFmtId="0" fontId="82" fillId="0" borderId="0" xfId="0" applyFont="1" applyProtection="1"/>
    <xf numFmtId="0" fontId="51" fillId="12" borderId="14" xfId="0" applyFont="1" applyFill="1" applyBorder="1" applyAlignment="1" applyProtection="1">
      <alignment horizontal="center"/>
    </xf>
    <xf numFmtId="0" fontId="26" fillId="0" borderId="0" xfId="0" applyFont="1" applyFill="1" applyAlignment="1" applyProtection="1">
      <alignment horizontal="center"/>
    </xf>
    <xf numFmtId="0" fontId="54" fillId="12" borderId="14" xfId="0" applyFont="1" applyFill="1" applyBorder="1" applyProtection="1"/>
    <xf numFmtId="0" fontId="54" fillId="12" borderId="2" xfId="0" applyFont="1" applyFill="1" applyBorder="1" applyProtection="1"/>
    <xf numFmtId="0" fontId="41" fillId="0" borderId="0" xfId="0" applyFont="1" applyFill="1" applyProtection="1"/>
    <xf numFmtId="2" fontId="15" fillId="0" borderId="0" xfId="0" applyNumberFormat="1" applyFont="1" applyFill="1" applyBorder="1" applyProtection="1"/>
    <xf numFmtId="0" fontId="32" fillId="0" borderId="0" xfId="0" applyFont="1" applyBorder="1" applyAlignment="1" applyProtection="1">
      <alignment wrapText="1"/>
    </xf>
    <xf numFmtId="0" fontId="56" fillId="0" borderId="8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center"/>
    </xf>
    <xf numFmtId="0" fontId="32" fillId="0" borderId="7" xfId="0" applyFont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9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3" fillId="0" borderId="0" xfId="0" applyFont="1" applyBorder="1" applyProtection="1"/>
    <xf numFmtId="0" fontId="18" fillId="0" borderId="0" xfId="0" applyFont="1" applyFill="1" applyBorder="1" applyProtection="1"/>
    <xf numFmtId="0" fontId="41" fillId="12" borderId="8" xfId="0" applyFont="1" applyFill="1" applyBorder="1" applyProtection="1"/>
    <xf numFmtId="0" fontId="41" fillId="0" borderId="0" xfId="0" applyFont="1" applyFill="1" applyBorder="1" applyProtection="1"/>
    <xf numFmtId="0" fontId="26" fillId="0" borderId="0" xfId="0" applyFont="1" applyProtection="1"/>
    <xf numFmtId="49" fontId="85" fillId="23" borderId="2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wrapText="1"/>
    </xf>
    <xf numFmtId="0" fontId="33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0" fontId="1" fillId="0" borderId="0" xfId="0" applyFont="1" applyProtection="1"/>
    <xf numFmtId="0" fontId="26" fillId="0" borderId="0" xfId="0" applyFont="1" applyAlignment="1" applyProtection="1">
      <alignment horizontal="right"/>
    </xf>
    <xf numFmtId="49" fontId="5" fillId="19" borderId="0" xfId="0" applyNumberFormat="1" applyFont="1" applyFill="1" applyBorder="1" applyAlignment="1" applyProtection="1">
      <alignment horizontal="center" wrapText="1"/>
    </xf>
    <xf numFmtId="0" fontId="21" fillId="0" borderId="0" xfId="0" applyFont="1" applyFill="1" applyBorder="1" applyProtection="1"/>
    <xf numFmtId="0" fontId="57" fillId="0" borderId="0" xfId="0" applyNumberFormat="1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center"/>
    </xf>
    <xf numFmtId="0" fontId="4" fillId="12" borderId="5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4" borderId="0" xfId="0" applyFont="1" applyFill="1" applyBorder="1" applyAlignment="1" applyProtection="1"/>
    <xf numFmtId="0" fontId="4" fillId="0" borderId="0" xfId="0" applyFont="1" applyBorder="1" applyAlignment="1" applyProtection="1">
      <alignment horizontal="center"/>
    </xf>
    <xf numFmtId="0" fontId="4" fillId="4" borderId="2" xfId="0" applyFont="1" applyFill="1" applyBorder="1" applyAlignment="1" applyProtection="1"/>
    <xf numFmtId="0" fontId="0" fillId="0" borderId="10" xfId="0" applyBorder="1" applyProtection="1"/>
    <xf numFmtId="2" fontId="5" fillId="0" borderId="10" xfId="0" applyNumberFormat="1" applyFont="1" applyFill="1" applyBorder="1" applyAlignment="1" applyProtection="1"/>
    <xf numFmtId="2" fontId="5" fillId="0" borderId="0" xfId="0" applyNumberFormat="1" applyFont="1" applyFill="1" applyBorder="1" applyAlignment="1" applyProtection="1"/>
    <xf numFmtId="0" fontId="0" fillId="12" borderId="34" xfId="0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80" fillId="11" borderId="17" xfId="0" applyFont="1" applyFill="1" applyBorder="1" applyProtection="1"/>
    <xf numFmtId="0" fontId="8" fillId="0" borderId="0" xfId="0" applyFont="1" applyBorder="1" applyProtection="1"/>
    <xf numFmtId="0" fontId="5" fillId="11" borderId="0" xfId="0" applyFont="1" applyFill="1" applyBorder="1" applyProtection="1"/>
    <xf numFmtId="0" fontId="8" fillId="0" borderId="4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center" wrapText="1"/>
    </xf>
    <xf numFmtId="0" fontId="0" fillId="0" borderId="10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0" fillId="0" borderId="0" xfId="0" applyFont="1" applyProtection="1"/>
    <xf numFmtId="0" fontId="3" fillId="0" borderId="0" xfId="0" applyFont="1" applyAlignment="1" applyProtection="1">
      <alignment horizontal="center"/>
    </xf>
    <xf numFmtId="2" fontId="5" fillId="0" borderId="9" xfId="0" applyNumberFormat="1" applyFont="1" applyFill="1" applyBorder="1" applyAlignment="1" applyProtection="1"/>
    <xf numFmtId="49" fontId="5" fillId="4" borderId="9" xfId="0" applyNumberFormat="1" applyFont="1" applyFill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center" wrapText="1"/>
    </xf>
    <xf numFmtId="0" fontId="79" fillId="0" borderId="20" xfId="0" applyFont="1" applyFill="1" applyBorder="1" applyProtection="1"/>
    <xf numFmtId="0" fontId="79" fillId="0" borderId="21" xfId="0" applyFont="1" applyFill="1" applyBorder="1" applyProtection="1"/>
    <xf numFmtId="0" fontId="3" fillId="0" borderId="0" xfId="0" applyFont="1" applyFill="1" applyBorder="1" applyProtection="1"/>
    <xf numFmtId="0" fontId="0" fillId="0" borderId="4" xfId="0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 wrapText="1"/>
    </xf>
    <xf numFmtId="0" fontId="0" fillId="7" borderId="0" xfId="0" applyFill="1" applyBorder="1" applyAlignment="1" applyProtection="1">
      <alignment horizontal="center" wrapText="1"/>
    </xf>
    <xf numFmtId="2" fontId="35" fillId="0" borderId="0" xfId="0" applyNumberFormat="1" applyFont="1" applyFill="1" applyAlignment="1" applyProtection="1">
      <alignment horizontal="center"/>
    </xf>
    <xf numFmtId="2" fontId="38" fillId="0" borderId="23" xfId="0" applyNumberFormat="1" applyFont="1" applyFill="1" applyBorder="1" applyAlignment="1" applyProtection="1">
      <alignment horizontal="center" vertical="center"/>
    </xf>
    <xf numFmtId="2" fontId="9" fillId="0" borderId="0" xfId="0" applyNumberFormat="1" applyFont="1" applyFill="1" applyBorder="1" applyProtection="1"/>
    <xf numFmtId="0" fontId="5" fillId="2" borderId="5" xfId="0" applyFont="1" applyFill="1" applyBorder="1" applyAlignment="1" applyProtection="1"/>
    <xf numFmtId="0" fontId="5" fillId="0" borderId="7" xfId="0" applyFont="1" applyFill="1" applyBorder="1" applyAlignment="1" applyProtection="1"/>
    <xf numFmtId="0" fontId="5" fillId="2" borderId="18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81" fillId="11" borderId="24" xfId="0" applyFont="1" applyFill="1" applyBorder="1" applyProtection="1"/>
    <xf numFmtId="0" fontId="81" fillId="11" borderId="25" xfId="0" applyFont="1" applyFill="1" applyBorder="1" applyProtection="1"/>
    <xf numFmtId="0" fontId="5" fillId="11" borderId="14" xfId="0" applyFont="1" applyFill="1" applyBorder="1" applyProtection="1"/>
    <xf numFmtId="0" fontId="0" fillId="0" borderId="18" xfId="0" applyBorder="1" applyProtection="1"/>
    <xf numFmtId="0" fontId="12" fillId="0" borderId="1" xfId="0" applyFont="1" applyBorder="1" applyAlignment="1" applyProtection="1">
      <alignment horizontal="center"/>
    </xf>
    <xf numFmtId="0" fontId="12" fillId="7" borderId="1" xfId="0" applyFont="1" applyFill="1" applyBorder="1" applyAlignment="1" applyProtection="1">
      <alignment horizontal="center"/>
    </xf>
    <xf numFmtId="2" fontId="36" fillId="2" borderId="5" xfId="0" applyNumberFormat="1" applyFont="1" applyFill="1" applyBorder="1" applyAlignment="1" applyProtection="1">
      <alignment horizontal="center"/>
    </xf>
    <xf numFmtId="2" fontId="36" fillId="2" borderId="7" xfId="0" applyNumberFormat="1" applyFont="1" applyFill="1" applyBorder="1" applyAlignment="1" applyProtection="1">
      <alignment horizontal="center"/>
    </xf>
    <xf numFmtId="2" fontId="36" fillId="7" borderId="5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Protection="1"/>
    <xf numFmtId="0" fontId="5" fillId="2" borderId="6" xfId="0" applyFont="1" applyFill="1" applyBorder="1" applyAlignment="1" applyProtection="1"/>
    <xf numFmtId="0" fontId="5" fillId="0" borderId="6" xfId="0" applyFont="1" applyFill="1" applyBorder="1" applyAlignment="1" applyProtection="1"/>
    <xf numFmtId="0" fontId="9" fillId="2" borderId="18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81" fillId="11" borderId="19" xfId="0" applyFont="1" applyFill="1" applyBorder="1" applyProtection="1"/>
    <xf numFmtId="0" fontId="0" fillId="0" borderId="3" xfId="0" applyBorder="1" applyProtection="1"/>
    <xf numFmtId="0" fontId="12" fillId="0" borderId="0" xfId="0" applyFont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center"/>
    </xf>
    <xf numFmtId="0" fontId="34" fillId="0" borderId="0" xfId="0" applyFont="1" applyBorder="1" applyAlignment="1" applyProtection="1">
      <alignment horizontal="center"/>
    </xf>
    <xf numFmtId="0" fontId="34" fillId="8" borderId="0" xfId="0" applyFont="1" applyFill="1" applyBorder="1" applyAlignment="1" applyProtection="1">
      <alignment horizontal="center"/>
    </xf>
    <xf numFmtId="2" fontId="36" fillId="24" borderId="5" xfId="0" applyNumberFormat="1" applyFont="1" applyFill="1" applyBorder="1" applyAlignment="1" applyProtection="1">
      <alignment horizontal="center"/>
    </xf>
    <xf numFmtId="0" fontId="7" fillId="0" borderId="0" xfId="0" applyFont="1" applyProtection="1"/>
    <xf numFmtId="0" fontId="0" fillId="0" borderId="4" xfId="0" applyBorder="1" applyAlignment="1" applyProtection="1">
      <alignment horizontal="center"/>
    </xf>
    <xf numFmtId="0" fontId="72" fillId="19" borderId="8" xfId="0" applyFont="1" applyFill="1" applyBorder="1" applyAlignment="1" applyProtection="1">
      <alignment horizontal="left"/>
    </xf>
    <xf numFmtId="0" fontId="57" fillId="0" borderId="8" xfId="0" applyNumberFormat="1" applyFont="1" applyFill="1" applyBorder="1" applyAlignment="1" applyProtection="1">
      <alignment horizontal="center"/>
    </xf>
    <xf numFmtId="0" fontId="17" fillId="19" borderId="8" xfId="0" applyFont="1" applyFill="1" applyBorder="1" applyProtection="1"/>
    <xf numFmtId="0" fontId="72" fillId="13" borderId="8" xfId="0" applyFont="1" applyFill="1" applyBorder="1" applyAlignment="1" applyProtection="1">
      <alignment horizontal="center"/>
    </xf>
    <xf numFmtId="0" fontId="8" fillId="13" borderId="8" xfId="0" applyFont="1" applyFill="1" applyBorder="1" applyProtection="1"/>
    <xf numFmtId="0" fontId="8" fillId="0" borderId="8" xfId="0" applyFont="1" applyBorder="1" applyProtection="1"/>
    <xf numFmtId="0" fontId="8" fillId="19" borderId="8" xfId="0" applyFont="1" applyFill="1" applyBorder="1" applyProtection="1"/>
    <xf numFmtId="0" fontId="57" fillId="0" borderId="8" xfId="0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center"/>
    </xf>
    <xf numFmtId="0" fontId="20" fillId="0" borderId="0" xfId="0" applyFont="1" applyBorder="1" applyProtection="1"/>
    <xf numFmtId="0" fontId="19" fillId="0" borderId="0" xfId="0" applyFont="1" applyFill="1" applyBorder="1" applyProtection="1"/>
    <xf numFmtId="0" fontId="10" fillId="0" borderId="0" xfId="0" applyFont="1" applyBorder="1" applyProtection="1"/>
    <xf numFmtId="0" fontId="25" fillId="0" borderId="0" xfId="0" applyFont="1" applyFill="1" applyBorder="1" applyProtection="1"/>
    <xf numFmtId="0" fontId="3" fillId="0" borderId="0" xfId="0" applyFont="1" applyBorder="1" applyAlignment="1" applyProtection="1">
      <alignment horizontal="center"/>
    </xf>
    <xf numFmtId="0" fontId="32" fillId="0" borderId="0" xfId="0" applyFont="1" applyFill="1" applyProtection="1"/>
    <xf numFmtId="0" fontId="32" fillId="20" borderId="8" xfId="0" applyFont="1" applyFill="1" applyBorder="1" applyProtection="1"/>
    <xf numFmtId="0" fontId="50" fillId="12" borderId="8" xfId="0" applyFont="1" applyFill="1" applyBorder="1" applyProtection="1"/>
    <xf numFmtId="0" fontId="26" fillId="0" borderId="8" xfId="0" applyFont="1" applyBorder="1" applyProtection="1"/>
    <xf numFmtId="0" fontId="50" fillId="0" borderId="0" xfId="0" applyFont="1" applyFill="1" applyBorder="1" applyProtection="1"/>
    <xf numFmtId="0" fontId="39" fillId="0" borderId="0" xfId="0" applyFont="1" applyBorder="1" applyAlignment="1" applyProtection="1">
      <alignment horizontal="right"/>
    </xf>
    <xf numFmtId="0" fontId="39" fillId="0" borderId="0" xfId="0" applyFont="1" applyBorder="1" applyProtection="1"/>
    <xf numFmtId="0" fontId="40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32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Protection="1"/>
    <xf numFmtId="0" fontId="0" fillId="0" borderId="11" xfId="0" applyFill="1" applyBorder="1" applyProtection="1"/>
    <xf numFmtId="0" fontId="11" fillId="0" borderId="0" xfId="0" applyFont="1" applyAlignment="1" applyProtection="1">
      <alignment horizontal="left"/>
    </xf>
    <xf numFmtId="49" fontId="32" fillId="0" borderId="0" xfId="0" applyNumberFormat="1" applyFont="1" applyFill="1" applyBorder="1" applyAlignment="1" applyProtection="1">
      <alignment horizontal="center" wrapText="1"/>
    </xf>
    <xf numFmtId="2" fontId="5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49" fontId="39" fillId="16" borderId="0" xfId="0" applyNumberFormat="1" applyFont="1" applyFill="1" applyBorder="1" applyAlignment="1" applyProtection="1">
      <alignment horizontal="center" wrapText="1"/>
    </xf>
    <xf numFmtId="0" fontId="31" fillId="0" borderId="0" xfId="0" applyFont="1" applyFill="1" applyBorder="1" applyProtection="1"/>
    <xf numFmtId="0" fontId="0" fillId="0" borderId="16" xfId="0" applyFill="1" applyBorder="1" applyProtection="1"/>
    <xf numFmtId="49" fontId="32" fillId="15" borderId="5" xfId="0" applyNumberFormat="1" applyFont="1" applyFill="1" applyBorder="1" applyAlignment="1" applyProtection="1">
      <alignment horizontal="center" wrapText="1"/>
    </xf>
    <xf numFmtId="49" fontId="3" fillId="4" borderId="0" xfId="0" applyNumberFormat="1" applyFont="1" applyFill="1" applyBorder="1" applyAlignment="1" applyProtection="1">
      <alignment horizontal="center" wrapText="1"/>
    </xf>
    <xf numFmtId="0" fontId="4" fillId="12" borderId="14" xfId="0" applyFont="1" applyFill="1" applyBorder="1" applyAlignment="1" applyProtection="1">
      <alignment horizontal="center"/>
    </xf>
    <xf numFmtId="49" fontId="5" fillId="12" borderId="5" xfId="0" applyNumberFormat="1" applyFont="1" applyFill="1" applyBorder="1" applyAlignment="1" applyProtection="1">
      <alignment horizontal="center" wrapText="1"/>
    </xf>
    <xf numFmtId="0" fontId="37" fillId="0" borderId="0" xfId="0" applyFont="1" applyProtection="1"/>
    <xf numFmtId="2" fontId="38" fillId="0" borderId="5" xfId="0" applyNumberFormat="1" applyFont="1" applyFill="1" applyBorder="1" applyAlignment="1" applyProtection="1">
      <alignment horizontal="center"/>
    </xf>
    <xf numFmtId="0" fontId="5" fillId="12" borderId="0" xfId="0" applyFont="1" applyFill="1" applyBorder="1" applyAlignment="1" applyProtection="1"/>
    <xf numFmtId="0" fontId="5" fillId="12" borderId="1" xfId="0" applyFont="1" applyFill="1" applyBorder="1" applyAlignment="1" applyProtection="1"/>
    <xf numFmtId="0" fontId="0" fillId="12" borderId="23" xfId="0" applyFill="1" applyBorder="1" applyProtection="1"/>
    <xf numFmtId="0" fontId="0" fillId="12" borderId="0" xfId="0" applyFill="1" applyBorder="1" applyProtection="1"/>
    <xf numFmtId="0" fontId="26" fillId="11" borderId="8" xfId="0" applyFont="1" applyFill="1" applyBorder="1" applyProtection="1"/>
    <xf numFmtId="0" fontId="8" fillId="0" borderId="8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0" fontId="8" fillId="0" borderId="0" xfId="0" applyFont="1" applyFill="1" applyBorder="1" applyProtection="1"/>
    <xf numFmtId="2" fontId="5" fillId="12" borderId="3" xfId="0" applyNumberFormat="1" applyFont="1" applyFill="1" applyBorder="1" applyAlignment="1" applyProtection="1"/>
    <xf numFmtId="2" fontId="5" fillId="12" borderId="7" xfId="0" applyNumberFormat="1" applyFont="1" applyFill="1" applyBorder="1" applyAlignment="1" applyProtection="1"/>
    <xf numFmtId="0" fontId="0" fillId="12" borderId="27" xfId="0" applyFill="1" applyBorder="1" applyProtection="1"/>
    <xf numFmtId="49" fontId="32" fillId="12" borderId="18" xfId="0" applyNumberFormat="1" applyFont="1" applyFill="1" applyBorder="1" applyAlignment="1" applyProtection="1">
      <alignment horizontal="center" wrapText="1"/>
    </xf>
    <xf numFmtId="0" fontId="8" fillId="7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wrapText="1"/>
    </xf>
    <xf numFmtId="0" fontId="5" fillId="8" borderId="0" xfId="0" applyFont="1" applyFill="1" applyProtection="1"/>
    <xf numFmtId="2" fontId="38" fillId="0" borderId="0" xfId="0" applyNumberFormat="1" applyFont="1" applyFill="1" applyAlignment="1" applyProtection="1">
      <alignment horizontal="center"/>
    </xf>
    <xf numFmtId="0" fontId="8" fillId="0" borderId="0" xfId="0" applyFont="1" applyProtection="1"/>
    <xf numFmtId="0" fontId="5" fillId="12" borderId="5" xfId="0" applyFont="1" applyFill="1" applyBorder="1" applyAlignment="1" applyProtection="1"/>
    <xf numFmtId="0" fontId="5" fillId="12" borderId="7" xfId="0" applyFont="1" applyFill="1" applyBorder="1" applyAlignment="1" applyProtection="1"/>
    <xf numFmtId="0" fontId="5" fillId="12" borderId="18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26" fillId="13" borderId="8" xfId="0" applyFont="1" applyFill="1" applyBorder="1" applyProtection="1"/>
    <xf numFmtId="0" fontId="5" fillId="0" borderId="5" xfId="0" applyFont="1" applyFill="1" applyBorder="1" applyAlignment="1" applyProtection="1">
      <alignment horizontal="center"/>
    </xf>
    <xf numFmtId="0" fontId="12" fillId="7" borderId="8" xfId="0" applyFont="1" applyFill="1" applyBorder="1" applyAlignment="1" applyProtection="1">
      <alignment horizontal="center"/>
    </xf>
    <xf numFmtId="0" fontId="34" fillId="0" borderId="8" xfId="0" applyFont="1" applyBorder="1" applyAlignment="1" applyProtection="1">
      <alignment horizontal="center"/>
    </xf>
    <xf numFmtId="2" fontId="5" fillId="7" borderId="5" xfId="0" applyNumberFormat="1" applyFont="1" applyFill="1" applyBorder="1" applyAlignment="1" applyProtection="1">
      <alignment horizontal="center"/>
    </xf>
    <xf numFmtId="0" fontId="5" fillId="12" borderId="6" xfId="0" applyFont="1" applyFill="1" applyBorder="1" applyAlignment="1" applyProtection="1"/>
    <xf numFmtId="0" fontId="5" fillId="0" borderId="6" xfId="0" applyFont="1" applyFill="1" applyBorder="1" applyAlignment="1" applyProtection="1">
      <alignment horizontal="center"/>
    </xf>
    <xf numFmtId="0" fontId="17" fillId="0" borderId="0" xfId="0" applyFont="1" applyFill="1" applyBorder="1" applyProtection="1"/>
    <xf numFmtId="0" fontId="59" fillId="0" borderId="8" xfId="0" applyFont="1" applyFill="1" applyBorder="1" applyProtection="1"/>
    <xf numFmtId="0" fontId="41" fillId="13" borderId="8" xfId="0" applyFont="1" applyFill="1" applyBorder="1" applyProtection="1"/>
    <xf numFmtId="0" fontId="41" fillId="18" borderId="8" xfId="0" applyFont="1" applyFill="1" applyBorder="1" applyProtection="1"/>
    <xf numFmtId="0" fontId="44" fillId="18" borderId="8" xfId="0" applyFont="1" applyFill="1" applyBorder="1" applyProtection="1"/>
    <xf numFmtId="0" fontId="27" fillId="0" borderId="0" xfId="0" applyFont="1" applyFill="1" applyBorder="1" applyAlignment="1" applyProtection="1">
      <alignment horizontal="center"/>
    </xf>
    <xf numFmtId="0" fontId="39" fillId="18" borderId="8" xfId="0" applyFont="1" applyFill="1" applyBorder="1" applyProtection="1"/>
    <xf numFmtId="0" fontId="12" fillId="0" borderId="0" xfId="0" applyFont="1" applyFill="1" applyBorder="1" applyAlignment="1" applyProtection="1">
      <alignment wrapText="1"/>
    </xf>
    <xf numFmtId="0" fontId="26" fillId="0" borderId="0" xfId="0" applyFont="1" applyFill="1" applyProtection="1"/>
    <xf numFmtId="0" fontId="26" fillId="0" borderId="0" xfId="0" applyFont="1" applyBorder="1" applyProtection="1"/>
    <xf numFmtId="0" fontId="58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23" fillId="0" borderId="0" xfId="0" applyFont="1" applyFill="1" applyProtection="1"/>
    <xf numFmtId="0" fontId="24" fillId="0" borderId="0" xfId="0" applyFont="1" applyFill="1" applyProtection="1"/>
    <xf numFmtId="0" fontId="41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wrapText="1"/>
    </xf>
    <xf numFmtId="0" fontId="41" fillId="0" borderId="0" xfId="0" applyFont="1" applyProtection="1"/>
    <xf numFmtId="49" fontId="41" fillId="0" borderId="0" xfId="0" applyNumberFormat="1" applyFont="1" applyFill="1" applyBorder="1" applyAlignment="1" applyProtection="1">
      <alignment horizontal="center" wrapText="1"/>
    </xf>
    <xf numFmtId="0" fontId="63" fillId="0" borderId="0" xfId="0" applyFont="1" applyProtection="1"/>
    <xf numFmtId="0" fontId="5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26" fillId="0" borderId="8" xfId="0" applyFont="1" applyBorder="1" applyAlignment="1" applyProtection="1">
      <alignment horizontal="center" wrapText="1"/>
    </xf>
    <xf numFmtId="0" fontId="26" fillId="0" borderId="8" xfId="0" applyFont="1" applyFill="1" applyBorder="1" applyProtection="1"/>
    <xf numFmtId="0" fontId="26" fillId="16" borderId="8" xfId="0" applyFont="1" applyFill="1" applyBorder="1" applyProtection="1"/>
    <xf numFmtId="0" fontId="26" fillId="0" borderId="0" xfId="0" applyFont="1" applyBorder="1" applyAlignment="1" applyProtection="1">
      <alignment horizontal="center" wrapText="1"/>
    </xf>
    <xf numFmtId="2" fontId="5" fillId="0" borderId="3" xfId="0" applyNumberFormat="1" applyFont="1" applyFill="1" applyBorder="1" applyAlignment="1" applyProtection="1"/>
    <xf numFmtId="2" fontId="5" fillId="0" borderId="7" xfId="0" applyNumberFormat="1" applyFont="1" applyFill="1" applyBorder="1" applyAlignment="1" applyProtection="1"/>
    <xf numFmtId="0" fontId="39" fillId="15" borderId="8" xfId="0" applyFont="1" applyFill="1" applyBorder="1" applyAlignment="1" applyProtection="1">
      <alignment horizontal="center" wrapText="1"/>
    </xf>
    <xf numFmtId="0" fontId="26" fillId="15" borderId="8" xfId="0" applyFont="1" applyFill="1" applyBorder="1" applyAlignment="1" applyProtection="1">
      <alignment horizontal="center" wrapText="1"/>
    </xf>
    <xf numFmtId="0" fontId="26" fillId="7" borderId="0" xfId="0" applyFont="1" applyFill="1" applyBorder="1" applyAlignment="1" applyProtection="1">
      <alignment horizontal="center" wrapText="1"/>
    </xf>
    <xf numFmtId="0" fontId="26" fillId="2" borderId="0" xfId="0" applyFont="1" applyFill="1" applyBorder="1" applyAlignment="1" applyProtection="1">
      <alignment horizontal="center" wrapText="1"/>
    </xf>
    <xf numFmtId="0" fontId="26" fillId="9" borderId="0" xfId="0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center" wrapText="1"/>
    </xf>
    <xf numFmtId="2" fontId="64" fillId="0" borderId="0" xfId="0" applyNumberFormat="1" applyFont="1" applyFill="1" applyAlignment="1" applyProtection="1">
      <alignment horizontal="center"/>
    </xf>
    <xf numFmtId="2" fontId="64" fillId="0" borderId="5" xfId="0" applyNumberFormat="1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16" borderId="7" xfId="0" applyFont="1" applyFill="1" applyBorder="1" applyAlignment="1" applyProtection="1">
      <alignment horizontal="center"/>
    </xf>
    <xf numFmtId="0" fontId="5" fillId="14" borderId="7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60" fillId="0" borderId="0" xfId="0" applyFont="1" applyBorder="1" applyAlignment="1" applyProtection="1">
      <alignment horizontal="center"/>
    </xf>
    <xf numFmtId="0" fontId="60" fillId="7" borderId="8" xfId="0" applyFont="1" applyFill="1" applyBorder="1" applyAlignment="1" applyProtection="1">
      <alignment horizontal="center"/>
    </xf>
    <xf numFmtId="0" fontId="65" fillId="0" borderId="8" xfId="0" applyFont="1" applyBorder="1" applyAlignment="1" applyProtection="1">
      <alignment horizontal="center"/>
    </xf>
    <xf numFmtId="2" fontId="41" fillId="2" borderId="5" xfId="0" applyNumberFormat="1" applyFont="1" applyFill="1" applyBorder="1" applyAlignment="1" applyProtection="1">
      <alignment horizontal="center"/>
    </xf>
    <xf numFmtId="2" fontId="41" fillId="7" borderId="15" xfId="0" applyNumberFormat="1" applyFont="1" applyFill="1" applyBorder="1" applyAlignment="1" applyProtection="1">
      <alignment horizontal="center"/>
    </xf>
    <xf numFmtId="0" fontId="60" fillId="7" borderId="0" xfId="0" applyFont="1" applyFill="1" applyBorder="1" applyAlignment="1" applyProtection="1">
      <alignment horizontal="center"/>
    </xf>
    <xf numFmtId="2" fontId="41" fillId="7" borderId="5" xfId="0" applyNumberFormat="1" applyFont="1" applyFill="1" applyBorder="1" applyAlignment="1" applyProtection="1">
      <alignment horizontal="center"/>
    </xf>
    <xf numFmtId="0" fontId="68" fillId="0" borderId="7" xfId="0" applyFont="1" applyBorder="1" applyProtection="1"/>
    <xf numFmtId="49" fontId="3" fillId="4" borderId="18" xfId="0" applyNumberFormat="1" applyFont="1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center"/>
    </xf>
    <xf numFmtId="0" fontId="26" fillId="0" borderId="1" xfId="0" applyFont="1" applyBorder="1" applyProtection="1"/>
    <xf numFmtId="0" fontId="26" fillId="12" borderId="8" xfId="0" applyFont="1" applyFill="1" applyBorder="1" applyProtection="1"/>
    <xf numFmtId="0" fontId="26" fillId="0" borderId="0" xfId="0" applyFont="1" applyBorder="1" applyAlignment="1" applyProtection="1">
      <alignment horizontal="right"/>
    </xf>
    <xf numFmtId="49" fontId="41" fillId="4" borderId="5" xfId="0" applyNumberFormat="1" applyFont="1" applyFill="1" applyBorder="1" applyAlignment="1" applyProtection="1">
      <alignment horizontal="center" wrapText="1"/>
    </xf>
    <xf numFmtId="49" fontId="41" fillId="4" borderId="15" xfId="0" applyNumberFormat="1" applyFont="1" applyFill="1" applyBorder="1" applyAlignment="1" applyProtection="1">
      <alignment horizontal="center" wrapText="1"/>
    </xf>
    <xf numFmtId="49" fontId="41" fillId="4" borderId="6" xfId="0" applyNumberFormat="1" applyFont="1" applyFill="1" applyBorder="1" applyAlignment="1" applyProtection="1">
      <alignment horizontal="center" wrapText="1"/>
    </xf>
    <xf numFmtId="0" fontId="41" fillId="0" borderId="0" xfId="0" applyFont="1" applyBorder="1" applyAlignment="1" applyProtection="1">
      <alignment horizontal="center"/>
    </xf>
    <xf numFmtId="0" fontId="41" fillId="11" borderId="17" xfId="0" applyFont="1" applyFill="1" applyBorder="1" applyProtection="1"/>
    <xf numFmtId="0" fontId="41" fillId="11" borderId="0" xfId="0" applyFont="1" applyFill="1" applyBorder="1" applyProtection="1"/>
    <xf numFmtId="0" fontId="26" fillId="0" borderId="22" xfId="0" applyFont="1" applyBorder="1" applyAlignment="1" applyProtection="1">
      <alignment horizontal="center" wrapText="1"/>
    </xf>
    <xf numFmtId="49" fontId="5" fillId="4" borderId="5" xfId="0" applyNumberFormat="1" applyFont="1" applyFill="1" applyBorder="1" applyAlignment="1" applyProtection="1">
      <alignment horizontal="center" wrapText="1"/>
    </xf>
    <xf numFmtId="0" fontId="26" fillId="0" borderId="4" xfId="0" applyFont="1" applyBorder="1" applyAlignment="1" applyProtection="1">
      <alignment horizontal="center" wrapText="1"/>
    </xf>
    <xf numFmtId="0" fontId="26" fillId="0" borderId="2" xfId="0" applyFont="1" applyBorder="1" applyProtection="1"/>
    <xf numFmtId="0" fontId="26" fillId="0" borderId="3" xfId="0" applyFont="1" applyBorder="1" applyProtection="1"/>
    <xf numFmtId="0" fontId="41" fillId="2" borderId="5" xfId="0" applyFont="1" applyFill="1" applyBorder="1" applyAlignment="1" applyProtection="1">
      <alignment horizontal="center"/>
    </xf>
    <xf numFmtId="0" fontId="41" fillId="2" borderId="0" xfId="0" applyFont="1" applyFill="1" applyBorder="1" applyAlignment="1" applyProtection="1">
      <alignment horizontal="center"/>
    </xf>
    <xf numFmtId="0" fontId="65" fillId="2" borderId="8" xfId="0" applyFont="1" applyFill="1" applyBorder="1" applyAlignment="1" applyProtection="1">
      <alignment horizontal="center"/>
    </xf>
    <xf numFmtId="0" fontId="26" fillId="14" borderId="0" xfId="0" applyFont="1" applyFill="1" applyBorder="1" applyAlignment="1" applyProtection="1">
      <alignment horizontal="center" wrapText="1"/>
    </xf>
    <xf numFmtId="0" fontId="26" fillId="14" borderId="8" xfId="0" applyFont="1" applyFill="1" applyBorder="1" applyProtection="1"/>
    <xf numFmtId="0" fontId="65" fillId="14" borderId="0" xfId="0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164" fontId="80" fillId="0" borderId="0" xfId="0" applyNumberFormat="1" applyFont="1" applyFill="1" applyBorder="1" applyAlignment="1" applyProtection="1">
      <alignment horizontal="center"/>
    </xf>
    <xf numFmtId="0" fontId="90" fillId="0" borderId="9" xfId="0" applyFont="1" applyBorder="1" applyProtection="1"/>
    <xf numFmtId="0" fontId="90" fillId="0" borderId="6" xfId="0" applyFont="1" applyBorder="1" applyProtection="1"/>
    <xf numFmtId="0" fontId="91" fillId="0" borderId="8" xfId="0" applyNumberFormat="1" applyFont="1" applyFill="1" applyBorder="1" applyAlignment="1" applyProtection="1"/>
    <xf numFmtId="0" fontId="91" fillId="0" borderId="0" xfId="0" applyNumberFormat="1" applyFont="1" applyFill="1" applyBorder="1" applyAlignment="1" applyProtection="1"/>
    <xf numFmtId="0" fontId="33" fillId="0" borderId="8" xfId="0" applyNumberFormat="1" applyFont="1" applyFill="1" applyBorder="1" applyAlignment="1" applyProtection="1"/>
    <xf numFmtId="0" fontId="88" fillId="0" borderId="35" xfId="0" applyNumberFormat="1" applyFont="1" applyFill="1" applyBorder="1" applyAlignment="1" applyProtection="1"/>
    <xf numFmtId="0" fontId="50" fillId="0" borderId="8" xfId="0" applyFont="1" applyFill="1" applyBorder="1" applyProtection="1"/>
    <xf numFmtId="0" fontId="16" fillId="0" borderId="8" xfId="0" applyNumberFormat="1" applyFont="1" applyFill="1" applyBorder="1" applyAlignment="1" applyProtection="1"/>
    <xf numFmtId="0" fontId="16" fillId="0" borderId="30" xfId="0" applyNumberFormat="1" applyFont="1" applyFill="1" applyBorder="1" applyAlignment="1" applyProtection="1">
      <alignment wrapText="1"/>
    </xf>
    <xf numFmtId="0" fontId="92" fillId="0" borderId="5" xfId="0" applyNumberFormat="1" applyFont="1" applyFill="1" applyBorder="1" applyAlignment="1" applyProtection="1">
      <alignment horizontal="left"/>
    </xf>
    <xf numFmtId="0" fontId="87" fillId="0" borderId="8" xfId="0" applyNumberFormat="1" applyFont="1" applyFill="1" applyBorder="1" applyAlignment="1" applyProtection="1"/>
    <xf numFmtId="0" fontId="93" fillId="0" borderId="8" xfId="0" applyNumberFormat="1" applyFont="1" applyFill="1" applyBorder="1" applyAlignment="1" applyProtection="1"/>
    <xf numFmtId="0" fontId="92" fillId="0" borderId="35" xfId="0" applyNumberFormat="1" applyFont="1" applyFill="1" applyBorder="1" applyAlignment="1" applyProtection="1"/>
    <xf numFmtId="0" fontId="76" fillId="0" borderId="8" xfId="0" applyFont="1" applyFill="1" applyBorder="1" applyProtection="1"/>
    <xf numFmtId="0" fontId="88" fillId="0" borderId="27" xfId="0" applyNumberFormat="1" applyFont="1" applyFill="1" applyBorder="1" applyAlignment="1" applyProtection="1"/>
    <xf numFmtId="0" fontId="33" fillId="0" borderId="19" xfId="0" applyNumberFormat="1" applyFont="1" applyFill="1" applyBorder="1" applyAlignment="1" applyProtection="1"/>
    <xf numFmtId="0" fontId="50" fillId="0" borderId="19" xfId="0" applyFont="1" applyFill="1" applyBorder="1" applyProtection="1"/>
    <xf numFmtId="0" fontId="74" fillId="25" borderId="8" xfId="0" applyFont="1" applyFill="1" applyBorder="1" applyAlignment="1" applyProtection="1">
      <alignment horizontal="center"/>
    </xf>
    <xf numFmtId="0" fontId="70" fillId="25" borderId="8" xfId="0" applyFont="1" applyFill="1" applyBorder="1" applyAlignment="1" applyProtection="1">
      <alignment horizontal="center"/>
    </xf>
    <xf numFmtId="0" fontId="78" fillId="25" borderId="8" xfId="0" applyFont="1" applyFill="1" applyBorder="1" applyAlignment="1" applyProtection="1">
      <alignment horizontal="center"/>
    </xf>
    <xf numFmtId="0" fontId="72" fillId="25" borderId="8" xfId="0" applyFont="1" applyFill="1" applyBorder="1" applyAlignment="1" applyProtection="1">
      <alignment horizontal="center"/>
    </xf>
    <xf numFmtId="0" fontId="44" fillId="14" borderId="8" xfId="0" applyFont="1" applyFill="1" applyBorder="1" applyAlignment="1" applyProtection="1">
      <alignment horizontal="center"/>
    </xf>
    <xf numFmtId="0" fontId="97" fillId="25" borderId="8" xfId="0" applyFont="1" applyFill="1" applyBorder="1" applyAlignment="1" applyProtection="1">
      <alignment horizontal="center"/>
    </xf>
    <xf numFmtId="0" fontId="26" fillId="14" borderId="8" xfId="0" applyFont="1" applyFill="1" applyBorder="1" applyAlignment="1" applyProtection="1">
      <alignment horizontal="center"/>
    </xf>
    <xf numFmtId="0" fontId="0" fillId="14" borderId="0" xfId="0" applyFill="1" applyAlignment="1" applyProtection="1">
      <alignment horizontal="center"/>
    </xf>
    <xf numFmtId="0" fontId="26" fillId="14" borderId="13" xfId="0" applyFont="1" applyFill="1" applyBorder="1" applyAlignment="1" applyProtection="1">
      <alignment horizontal="center"/>
    </xf>
    <xf numFmtId="0" fontId="0" fillId="25" borderId="13" xfId="0" applyFill="1" applyBorder="1" applyAlignment="1" applyProtection="1">
      <alignment horizontal="center" wrapText="1"/>
    </xf>
    <xf numFmtId="0" fontId="34" fillId="25" borderId="1" xfId="0" applyFont="1" applyFill="1" applyBorder="1" applyAlignment="1" applyProtection="1">
      <alignment horizontal="center"/>
    </xf>
    <xf numFmtId="0" fontId="34" fillId="25" borderId="0" xfId="0" applyFont="1" applyFill="1" applyBorder="1" applyAlignment="1" applyProtection="1">
      <alignment horizontal="center"/>
    </xf>
    <xf numFmtId="0" fontId="71" fillId="14" borderId="0" xfId="0" applyFont="1" applyFill="1" applyBorder="1" applyAlignment="1" applyProtection="1">
      <alignment horizontal="center" wrapText="1"/>
    </xf>
    <xf numFmtId="0" fontId="88" fillId="25" borderId="5" xfId="0" applyNumberFormat="1" applyFont="1" applyFill="1" applyBorder="1" applyAlignment="1" applyProtection="1">
      <alignment horizontal="left"/>
    </xf>
    <xf numFmtId="0" fontId="33" fillId="25" borderId="8" xfId="0" applyNumberFormat="1" applyFont="1" applyFill="1" applyBorder="1" applyAlignment="1" applyProtection="1">
      <alignment wrapText="1"/>
    </xf>
    <xf numFmtId="164" fontId="74" fillId="25" borderId="8" xfId="0" applyNumberFormat="1" applyFont="1" applyFill="1" applyBorder="1" applyAlignment="1" applyProtection="1">
      <alignment horizontal="center"/>
    </xf>
    <xf numFmtId="0" fontId="13" fillId="25" borderId="8" xfId="0" applyNumberFormat="1" applyFont="1" applyFill="1" applyBorder="1" applyAlignment="1" applyProtection="1"/>
    <xf numFmtId="0" fontId="5" fillId="14" borderId="18" xfId="0" applyFont="1" applyFill="1" applyBorder="1" applyAlignment="1" applyProtection="1">
      <alignment horizontal="center"/>
    </xf>
    <xf numFmtId="0" fontId="5" fillId="14" borderId="5" xfId="0" applyFont="1" applyFill="1" applyBorder="1" applyAlignment="1" applyProtection="1">
      <alignment horizontal="center"/>
    </xf>
    <xf numFmtId="0" fontId="9" fillId="14" borderId="18" xfId="0" applyFont="1" applyFill="1" applyBorder="1" applyAlignment="1" applyProtection="1">
      <alignment horizontal="center"/>
    </xf>
    <xf numFmtId="0" fontId="5" fillId="14" borderId="2" xfId="0" applyFont="1" applyFill="1" applyBorder="1" applyAlignment="1" applyProtection="1">
      <alignment horizontal="center"/>
    </xf>
    <xf numFmtId="0" fontId="16" fillId="0" borderId="32" xfId="0" applyNumberFormat="1" applyFont="1" applyFill="1" applyBorder="1" applyAlignment="1" applyProtection="1"/>
    <xf numFmtId="0" fontId="91" fillId="0" borderId="26" xfId="0" applyNumberFormat="1" applyFont="1" applyFill="1" applyBorder="1" applyAlignment="1" applyProtection="1"/>
    <xf numFmtId="0" fontId="98" fillId="25" borderId="8" xfId="0" applyFont="1" applyFill="1" applyBorder="1" applyAlignment="1" applyProtection="1">
      <alignment horizontal="center"/>
    </xf>
    <xf numFmtId="0" fontId="100" fillId="25" borderId="8" xfId="0" applyFont="1" applyFill="1" applyBorder="1" applyAlignment="1" applyProtection="1">
      <alignment horizontal="center"/>
    </xf>
    <xf numFmtId="0" fontId="85" fillId="25" borderId="8" xfId="0" applyFont="1" applyFill="1" applyBorder="1" applyAlignment="1" applyProtection="1">
      <alignment horizontal="center"/>
    </xf>
    <xf numFmtId="0" fontId="66" fillId="25" borderId="8" xfId="0" applyFont="1" applyFill="1" applyBorder="1" applyProtection="1"/>
    <xf numFmtId="0" fontId="66" fillId="14" borderId="8" xfId="0" applyFont="1" applyFill="1" applyBorder="1" applyProtection="1"/>
    <xf numFmtId="2" fontId="96" fillId="12" borderId="5" xfId="0" applyNumberFormat="1" applyFont="1" applyFill="1" applyBorder="1" applyAlignment="1" applyProtection="1">
      <alignment horizontal="center"/>
      <protection locked="0"/>
    </xf>
    <xf numFmtId="2" fontId="39" fillId="25" borderId="0" xfId="0" applyNumberFormat="1" applyFont="1" applyFill="1" applyBorder="1" applyAlignment="1" applyProtection="1">
      <alignment horizontal="center" wrapText="1"/>
    </xf>
    <xf numFmtId="0" fontId="39" fillId="25" borderId="0" xfId="0" applyNumberFormat="1" applyFont="1" applyFill="1" applyBorder="1" applyAlignment="1" applyProtection="1">
      <alignment horizontal="center" wrapText="1"/>
    </xf>
    <xf numFmtId="0" fontId="26" fillId="25" borderId="8" xfId="0" applyFont="1" applyFill="1" applyBorder="1" applyProtection="1"/>
    <xf numFmtId="0" fontId="13" fillId="25" borderId="33" xfId="0" applyNumberFormat="1" applyFont="1" applyFill="1" applyBorder="1" applyAlignment="1" applyProtection="1"/>
    <xf numFmtId="0" fontId="17" fillId="25" borderId="8" xfId="0" applyFont="1" applyFill="1" applyBorder="1" applyProtection="1"/>
    <xf numFmtId="0" fontId="56" fillId="14" borderId="8" xfId="0" applyFont="1" applyFill="1" applyBorder="1" applyAlignment="1" applyProtection="1">
      <alignment horizontal="center"/>
    </xf>
    <xf numFmtId="0" fontId="56" fillId="14" borderId="0" xfId="0" applyFont="1" applyFill="1" applyBorder="1" applyAlignment="1" applyProtection="1">
      <alignment horizontal="center"/>
    </xf>
    <xf numFmtId="0" fontId="80" fillId="0" borderId="0" xfId="0" applyFont="1" applyProtection="1"/>
    <xf numFmtId="0" fontId="80" fillId="14" borderId="0" xfId="0" applyFont="1" applyFill="1" applyProtection="1"/>
    <xf numFmtId="0" fontId="90" fillId="0" borderId="9" xfId="0" applyFont="1" applyFill="1" applyBorder="1" applyAlignment="1" applyProtection="1">
      <alignment horizontal="left"/>
    </xf>
    <xf numFmtId="0" fontId="90" fillId="0" borderId="1" xfId="0" applyFont="1" applyFill="1" applyBorder="1" applyProtection="1"/>
    <xf numFmtId="0" fontId="54" fillId="0" borderId="1" xfId="0" applyFont="1" applyFill="1" applyBorder="1" applyProtection="1"/>
    <xf numFmtId="0" fontId="54" fillId="0" borderId="1" xfId="0" applyFont="1" applyFill="1" applyBorder="1" applyAlignment="1" applyProtection="1">
      <alignment horizontal="right"/>
    </xf>
    <xf numFmtId="0" fontId="51" fillId="0" borderId="1" xfId="0" applyFont="1" applyFill="1" applyBorder="1" applyProtection="1"/>
    <xf numFmtId="0" fontId="0" fillId="0" borderId="1" xfId="0" applyFill="1" applyBorder="1" applyProtection="1"/>
    <xf numFmtId="0" fontId="51" fillId="0" borderId="1" xfId="0" applyFont="1" applyFill="1" applyBorder="1" applyAlignment="1" applyProtection="1"/>
    <xf numFmtId="0" fontId="90" fillId="0" borderId="22" xfId="0" applyFont="1" applyFill="1" applyBorder="1" applyAlignment="1" applyProtection="1">
      <alignment horizontal="right"/>
    </xf>
    <xf numFmtId="0" fontId="54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51" fillId="0" borderId="2" xfId="0" applyFont="1" applyFill="1" applyBorder="1" applyAlignment="1" applyProtection="1">
      <alignment horizontal="center"/>
    </xf>
    <xf numFmtId="0" fontId="0" fillId="0" borderId="2" xfId="0" applyFill="1" applyBorder="1" applyProtection="1"/>
    <xf numFmtId="0" fontId="51" fillId="0" borderId="2" xfId="0" applyFont="1" applyFill="1" applyBorder="1" applyAlignment="1" applyProtection="1"/>
    <xf numFmtId="0" fontId="32" fillId="0" borderId="0" xfId="0" applyFont="1" applyFill="1" applyBorder="1" applyAlignment="1" applyProtection="1">
      <alignment horizontal="left"/>
    </xf>
    <xf numFmtId="0" fontId="34" fillId="25" borderId="8" xfId="0" applyFont="1" applyFill="1" applyBorder="1" applyAlignment="1" applyProtection="1">
      <alignment horizontal="center"/>
    </xf>
    <xf numFmtId="0" fontId="8" fillId="25" borderId="0" xfId="0" applyFont="1" applyFill="1" applyBorder="1" applyAlignment="1" applyProtection="1">
      <alignment horizontal="center" wrapText="1"/>
    </xf>
    <xf numFmtId="0" fontId="85" fillId="25" borderId="8" xfId="0" applyFont="1" applyFill="1" applyBorder="1" applyAlignment="1" applyProtection="1">
      <alignment horizontal="left"/>
    </xf>
    <xf numFmtId="0" fontId="26" fillId="14" borderId="8" xfId="0" applyFont="1" applyFill="1" applyBorder="1" applyAlignment="1" applyProtection="1">
      <alignment horizontal="center" wrapText="1"/>
    </xf>
    <xf numFmtId="0" fontId="41" fillId="14" borderId="8" xfId="0" applyFont="1" applyFill="1" applyBorder="1" applyProtection="1"/>
    <xf numFmtId="0" fontId="0" fillId="14" borderId="0" xfId="0" applyFill="1" applyProtection="1"/>
    <xf numFmtId="0" fontId="41" fillId="14" borderId="8" xfId="0" applyFont="1" applyFill="1" applyBorder="1" applyAlignment="1" applyProtection="1">
      <alignment horizontal="right"/>
    </xf>
    <xf numFmtId="0" fontId="5" fillId="14" borderId="0" xfId="0" applyFont="1" applyFill="1" applyProtection="1"/>
    <xf numFmtId="0" fontId="13" fillId="14" borderId="8" xfId="0" applyNumberFormat="1" applyFont="1" applyFill="1" applyBorder="1" applyAlignment="1" applyProtection="1">
      <alignment horizontal="center"/>
    </xf>
    <xf numFmtId="0" fontId="41" fillId="14" borderId="8" xfId="0" applyFont="1" applyFill="1" applyBorder="1" applyAlignment="1" applyProtection="1">
      <alignment vertical="center"/>
    </xf>
    <xf numFmtId="0" fontId="41" fillId="14" borderId="28" xfId="0" applyFont="1" applyFill="1" applyBorder="1" applyAlignment="1" applyProtection="1">
      <alignment vertical="center"/>
    </xf>
    <xf numFmtId="0" fontId="26" fillId="14" borderId="29" xfId="0" applyFont="1" applyFill="1" applyBorder="1" applyAlignment="1" applyProtection="1">
      <alignment horizontal="center"/>
    </xf>
    <xf numFmtId="0" fontId="83" fillId="14" borderId="30" xfId="0" applyFont="1" applyFill="1" applyBorder="1" applyAlignment="1" applyProtection="1">
      <alignment horizontal="center"/>
    </xf>
    <xf numFmtId="2" fontId="84" fillId="14" borderId="31" xfId="0" applyNumberFormat="1" applyFont="1" applyFill="1" applyBorder="1" applyAlignment="1" applyProtection="1">
      <alignment horizontal="center"/>
    </xf>
    <xf numFmtId="0" fontId="42" fillId="14" borderId="8" xfId="0" applyFont="1" applyFill="1" applyBorder="1" applyAlignment="1" applyProtection="1">
      <alignment wrapText="1"/>
    </xf>
    <xf numFmtId="0" fontId="42" fillId="14" borderId="8" xfId="0" applyFont="1" applyFill="1" applyBorder="1" applyAlignment="1" applyProtection="1">
      <alignment horizontal="center"/>
    </xf>
    <xf numFmtId="0" fontId="74" fillId="14" borderId="8" xfId="0" applyFont="1" applyFill="1" applyBorder="1" applyAlignment="1" applyProtection="1">
      <alignment horizontal="center"/>
    </xf>
    <xf numFmtId="0" fontId="99" fillId="14" borderId="8" xfId="0" applyFont="1" applyFill="1" applyBorder="1" applyAlignment="1" applyProtection="1">
      <alignment horizontal="center"/>
    </xf>
    <xf numFmtId="0" fontId="85" fillId="14" borderId="8" xfId="0" applyFont="1" applyFill="1" applyBorder="1" applyAlignment="1" applyProtection="1">
      <alignment horizontal="center"/>
    </xf>
    <xf numFmtId="0" fontId="5" fillId="17" borderId="7" xfId="0" applyFont="1" applyFill="1" applyBorder="1" applyAlignment="1" applyProtection="1">
      <alignment horizontal="center"/>
    </xf>
    <xf numFmtId="0" fontId="101" fillId="0" borderId="0" xfId="0" applyFont="1" applyBorder="1" applyAlignment="1" applyProtection="1">
      <alignment horizontal="center" wrapText="1"/>
    </xf>
    <xf numFmtId="0" fontId="102" fillId="11" borderId="0" xfId="0" applyFont="1" applyFill="1" applyBorder="1" applyAlignment="1" applyProtection="1">
      <alignment horizontal="center" wrapText="1"/>
    </xf>
    <xf numFmtId="0" fontId="102" fillId="7" borderId="0" xfId="0" applyFont="1" applyFill="1" applyBorder="1" applyProtection="1"/>
    <xf numFmtId="0" fontId="103" fillId="11" borderId="0" xfId="0" applyFont="1" applyFill="1" applyBorder="1" applyAlignment="1" applyProtection="1">
      <alignment horizontal="center" wrapText="1"/>
    </xf>
    <xf numFmtId="0" fontId="95" fillId="11" borderId="8" xfId="0" applyFont="1" applyFill="1" applyBorder="1" applyAlignment="1" applyProtection="1">
      <alignment horizontal="center" wrapText="1"/>
    </xf>
    <xf numFmtId="0" fontId="102" fillId="2" borderId="0" xfId="0" applyFont="1" applyFill="1" applyBorder="1" applyAlignment="1" applyProtection="1">
      <alignment horizontal="center" wrapText="1"/>
    </xf>
    <xf numFmtId="0" fontId="102" fillId="13" borderId="0" xfId="0" applyFont="1" applyFill="1" applyBorder="1" applyAlignment="1" applyProtection="1">
      <alignment horizontal="center" wrapText="1"/>
    </xf>
    <xf numFmtId="0" fontId="104" fillId="11" borderId="8" xfId="0" applyFont="1" applyFill="1" applyBorder="1" applyAlignment="1" applyProtection="1">
      <alignment horizontal="center"/>
    </xf>
    <xf numFmtId="0" fontId="102" fillId="7" borderId="8" xfId="0" applyFont="1" applyFill="1" applyBorder="1" applyProtection="1"/>
    <xf numFmtId="0" fontId="102" fillId="2" borderId="8" xfId="0" applyFont="1" applyFill="1" applyBorder="1" applyProtection="1"/>
    <xf numFmtId="0" fontId="86" fillId="14" borderId="0" xfId="0" applyFont="1" applyFill="1" applyBorder="1" applyAlignment="1" applyProtection="1">
      <alignment horizontal="center" wrapText="1"/>
    </xf>
    <xf numFmtId="0" fontId="26" fillId="17" borderId="0" xfId="0" applyFont="1" applyFill="1" applyBorder="1" applyProtection="1"/>
    <xf numFmtId="0" fontId="65" fillId="9" borderId="29" xfId="0" applyFont="1" applyFill="1" applyBorder="1" applyAlignment="1" applyProtection="1">
      <alignment horizontal="center"/>
    </xf>
    <xf numFmtId="0" fontId="65" fillId="9" borderId="12" xfId="0" applyFont="1" applyFill="1" applyBorder="1" applyAlignment="1" applyProtection="1">
      <alignment horizontal="center"/>
    </xf>
    <xf numFmtId="0" fontId="8" fillId="25" borderId="8" xfId="0" applyFont="1" applyFill="1" applyBorder="1" applyAlignment="1" applyProtection="1">
      <alignment horizontal="center" wrapText="1"/>
    </xf>
    <xf numFmtId="0" fontId="41" fillId="14" borderId="0" xfId="0" applyFont="1" applyFill="1" applyProtection="1"/>
    <xf numFmtId="0" fontId="65" fillId="14" borderId="8" xfId="0" applyFont="1" applyFill="1" applyBorder="1" applyAlignment="1" applyProtection="1">
      <alignment horizontal="center"/>
    </xf>
    <xf numFmtId="0" fontId="72" fillId="14" borderId="0" xfId="0" applyFont="1" applyFill="1" applyBorder="1" applyAlignment="1" applyProtection="1">
      <alignment horizontal="center" wrapText="1"/>
    </xf>
    <xf numFmtId="0" fontId="72" fillId="14" borderId="0" xfId="0" applyFont="1" applyFill="1" applyBorder="1" applyProtection="1"/>
    <xf numFmtId="0" fontId="80" fillId="14" borderId="8" xfId="0" applyFont="1" applyFill="1" applyBorder="1" applyAlignment="1" applyProtection="1">
      <alignment horizontal="center" wrapText="1"/>
    </xf>
    <xf numFmtId="0" fontId="70" fillId="14" borderId="8" xfId="0" applyFont="1" applyFill="1" applyBorder="1" applyAlignment="1" applyProtection="1">
      <alignment horizontal="center"/>
    </xf>
    <xf numFmtId="0" fontId="72" fillId="14" borderId="8" xfId="0" applyFont="1" applyFill="1" applyBorder="1" applyProtection="1"/>
    <xf numFmtId="0" fontId="86" fillId="14" borderId="8" xfId="0" applyFont="1" applyFill="1" applyBorder="1" applyAlignment="1" applyProtection="1">
      <alignment horizontal="center" wrapText="1"/>
    </xf>
    <xf numFmtId="0" fontId="80" fillId="14" borderId="0" xfId="0" applyFont="1" applyFill="1" applyBorder="1" applyAlignment="1" applyProtection="1">
      <alignment horizontal="center"/>
    </xf>
    <xf numFmtId="0" fontId="80" fillId="14" borderId="13" xfId="0" applyFont="1" applyFill="1" applyBorder="1" applyAlignment="1" applyProtection="1">
      <alignment horizontal="center" wrapText="1"/>
    </xf>
    <xf numFmtId="0" fontId="71" fillId="14" borderId="0" xfId="0" applyFont="1" applyFill="1" applyBorder="1" applyProtection="1"/>
    <xf numFmtId="0" fontId="86" fillId="14" borderId="13" xfId="0" applyFont="1" applyFill="1" applyBorder="1" applyAlignment="1" applyProtection="1">
      <alignment horizontal="center" wrapText="1"/>
    </xf>
    <xf numFmtId="0" fontId="80" fillId="14" borderId="1" xfId="0" applyFont="1" applyFill="1" applyBorder="1" applyAlignment="1" applyProtection="1">
      <alignment horizontal="center"/>
    </xf>
    <xf numFmtId="0" fontId="86" fillId="14" borderId="1" xfId="0" applyFont="1" applyFill="1" applyBorder="1" applyProtection="1"/>
    <xf numFmtId="0" fontId="86" fillId="14" borderId="0" xfId="0" applyFont="1" applyFill="1" applyBorder="1" applyProtection="1"/>
    <xf numFmtId="0" fontId="79" fillId="14" borderId="0" xfId="0" applyFont="1" applyFill="1" applyProtection="1"/>
    <xf numFmtId="49" fontId="5" fillId="14" borderId="35" xfId="0" applyNumberFormat="1" applyFont="1" applyFill="1" applyBorder="1" applyAlignment="1" applyProtection="1">
      <alignment horizontal="center" wrapText="1"/>
    </xf>
    <xf numFmtId="0" fontId="26" fillId="22" borderId="20" xfId="0" applyFont="1" applyFill="1" applyBorder="1" applyProtection="1"/>
    <xf numFmtId="0" fontId="26" fillId="22" borderId="21" xfId="0" applyFont="1" applyFill="1" applyBorder="1" applyProtection="1"/>
    <xf numFmtId="0" fontId="81" fillId="22" borderId="24" xfId="0" applyFont="1" applyFill="1" applyBorder="1" applyProtection="1"/>
    <xf numFmtId="0" fontId="81" fillId="22" borderId="25" xfId="0" applyFont="1" applyFill="1" applyBorder="1" applyProtection="1"/>
    <xf numFmtId="0" fontId="41" fillId="22" borderId="0" xfId="0" applyFont="1" applyFill="1" applyBorder="1" applyProtection="1"/>
    <xf numFmtId="0" fontId="5" fillId="22" borderId="14" xfId="0" applyFont="1" applyFill="1" applyBorder="1" applyProtection="1"/>
    <xf numFmtId="49" fontId="41" fillId="11" borderId="18" xfId="0" applyNumberFormat="1" applyFont="1" applyFill="1" applyBorder="1" applyAlignment="1" applyProtection="1">
      <alignment horizontal="center" wrapText="1"/>
    </xf>
    <xf numFmtId="49" fontId="41" fillId="11" borderId="5" xfId="0" applyNumberFormat="1" applyFont="1" applyFill="1" applyBorder="1" applyAlignment="1" applyProtection="1">
      <alignment horizontal="center" wrapText="1"/>
    </xf>
    <xf numFmtId="0" fontId="87" fillId="25" borderId="8" xfId="0" applyNumberFormat="1" applyFont="1" applyFill="1" applyBorder="1" applyAlignment="1" applyProtection="1"/>
    <xf numFmtId="0" fontId="87" fillId="25" borderId="8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0" fontId="94" fillId="0" borderId="0" xfId="0" applyNumberFormat="1" applyFont="1" applyFill="1" applyBorder="1" applyAlignment="1" applyProtection="1"/>
    <xf numFmtId="0" fontId="89" fillId="0" borderId="0" xfId="0" applyFont="1" applyBorder="1" applyAlignment="1" applyProtection="1">
      <alignment horizontal="center"/>
    </xf>
    <xf numFmtId="0" fontId="54" fillId="0" borderId="0" xfId="0" applyFont="1" applyFill="1" applyBorder="1" applyAlignment="1" applyProtection="1">
      <alignment horizontal="center"/>
    </xf>
    <xf numFmtId="0" fontId="80" fillId="0" borderId="0" xfId="0" applyFont="1" applyFill="1" applyBorder="1" applyProtection="1"/>
    <xf numFmtId="0" fontId="82" fillId="0" borderId="0" xfId="0" applyFont="1" applyFill="1" applyBorder="1" applyProtection="1"/>
    <xf numFmtId="0" fontId="90" fillId="0" borderId="0" xfId="0" applyFont="1" applyFill="1" applyBorder="1" applyProtection="1"/>
    <xf numFmtId="0" fontId="85" fillId="0" borderId="7" xfId="0" applyFont="1" applyBorder="1" applyAlignment="1" applyProtection="1">
      <alignment horizontal="center"/>
    </xf>
    <xf numFmtId="0" fontId="85" fillId="0" borderId="14" xfId="0" applyFont="1" applyBorder="1" applyAlignment="1" applyProtection="1">
      <alignment horizontal="center"/>
    </xf>
    <xf numFmtId="0" fontId="85" fillId="0" borderId="18" xfId="0" applyFont="1" applyBorder="1" applyAlignment="1" applyProtection="1">
      <alignment horizontal="center"/>
    </xf>
    <xf numFmtId="0" fontId="90" fillId="0" borderId="5" xfId="0" applyFont="1" applyBorder="1" applyAlignment="1" applyProtection="1">
      <alignment vertical="center" wrapText="1"/>
    </xf>
    <xf numFmtId="0" fontId="90" fillId="26" borderId="5" xfId="0" applyFont="1" applyFill="1" applyBorder="1" applyAlignment="1" applyProtection="1">
      <alignment horizontal="center" wrapText="1"/>
    </xf>
    <xf numFmtId="0" fontId="5" fillId="0" borderId="0" xfId="1" applyFont="1" applyFill="1" applyProtection="1"/>
    <xf numFmtId="0" fontId="72" fillId="19" borderId="0" xfId="1" applyFont="1" applyFill="1" applyAlignment="1" applyProtection="1">
      <alignment horizontal="center"/>
    </xf>
    <xf numFmtId="0" fontId="1" fillId="0" borderId="0" xfId="1" applyFill="1" applyProtection="1"/>
    <xf numFmtId="0" fontId="26" fillId="0" borderId="0" xfId="1" applyFont="1" applyProtection="1"/>
    <xf numFmtId="0" fontId="1" fillId="0" borderId="0" xfId="1" applyProtection="1"/>
    <xf numFmtId="0" fontId="59" fillId="0" borderId="8" xfId="1" applyFont="1" applyFill="1" applyBorder="1" applyProtection="1"/>
    <xf numFmtId="0" fontId="98" fillId="25" borderId="8" xfId="1" applyFont="1" applyFill="1" applyBorder="1" applyAlignment="1" applyProtection="1">
      <alignment horizontal="center"/>
    </xf>
    <xf numFmtId="0" fontId="43" fillId="0" borderId="8" xfId="1" applyFont="1" applyFill="1" applyBorder="1" applyProtection="1"/>
    <xf numFmtId="0" fontId="100" fillId="25" borderId="8" xfId="1" applyFont="1" applyFill="1" applyBorder="1" applyAlignment="1" applyProtection="1">
      <alignment horizontal="center"/>
    </xf>
    <xf numFmtId="0" fontId="85" fillId="25" borderId="8" xfId="1" applyFont="1" applyFill="1" applyBorder="1" applyAlignment="1" applyProtection="1">
      <alignment horizontal="center"/>
    </xf>
    <xf numFmtId="0" fontId="42" fillId="14" borderId="8" xfId="1" applyFont="1" applyFill="1" applyBorder="1" applyAlignment="1" applyProtection="1">
      <alignment wrapText="1"/>
    </xf>
    <xf numFmtId="0" fontId="42" fillId="14" borderId="8" xfId="1" applyFont="1" applyFill="1" applyBorder="1" applyAlignment="1" applyProtection="1">
      <alignment horizontal="center"/>
    </xf>
    <xf numFmtId="0" fontId="74" fillId="14" borderId="8" xfId="1" applyFont="1" applyFill="1" applyBorder="1" applyAlignment="1" applyProtection="1">
      <alignment horizontal="center"/>
    </xf>
    <xf numFmtId="0" fontId="39" fillId="0" borderId="0" xfId="1" applyFont="1" applyFill="1" applyProtection="1"/>
    <xf numFmtId="0" fontId="39" fillId="13" borderId="8" xfId="1" applyFont="1" applyFill="1" applyBorder="1" applyProtection="1"/>
    <xf numFmtId="0" fontId="66" fillId="13" borderId="8" xfId="1" applyFont="1" applyFill="1" applyBorder="1" applyProtection="1"/>
    <xf numFmtId="0" fontId="32" fillId="13" borderId="8" xfId="1" applyFont="1" applyFill="1" applyBorder="1" applyProtection="1"/>
    <xf numFmtId="0" fontId="85" fillId="25" borderId="8" xfId="1" applyFont="1" applyFill="1" applyBorder="1" applyAlignment="1" applyProtection="1">
      <alignment horizontal="left"/>
    </xf>
    <xf numFmtId="0" fontId="39" fillId="18" borderId="8" xfId="1" applyFont="1" applyFill="1" applyBorder="1" applyProtection="1"/>
    <xf numFmtId="0" fontId="44" fillId="18" borderId="8" xfId="1" applyFont="1" applyFill="1" applyBorder="1" applyProtection="1"/>
    <xf numFmtId="0" fontId="27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wrapText="1"/>
    </xf>
    <xf numFmtId="0" fontId="26" fillId="14" borderId="8" xfId="1" applyFont="1" applyFill="1" applyBorder="1" applyAlignment="1" applyProtection="1">
      <alignment horizontal="center" wrapText="1"/>
    </xf>
    <xf numFmtId="0" fontId="39" fillId="14" borderId="8" xfId="1" applyFont="1" applyFill="1" applyBorder="1" applyProtection="1"/>
    <xf numFmtId="0" fontId="1" fillId="14" borderId="0" xfId="1" applyFill="1" applyProtection="1"/>
    <xf numFmtId="0" fontId="26" fillId="14" borderId="8" xfId="1" applyFont="1" applyFill="1" applyBorder="1" applyAlignment="1" applyProtection="1">
      <alignment horizontal="center"/>
    </xf>
    <xf numFmtId="0" fontId="39" fillId="14" borderId="8" xfId="1" applyFont="1" applyFill="1" applyBorder="1" applyAlignment="1" applyProtection="1">
      <alignment horizontal="right"/>
    </xf>
    <xf numFmtId="0" fontId="5" fillId="14" borderId="0" xfId="1" applyFont="1" applyFill="1" applyProtection="1"/>
    <xf numFmtId="0" fontId="26" fillId="0" borderId="0" xfId="1" applyFont="1" applyFill="1" applyProtection="1"/>
    <xf numFmtId="0" fontId="13" fillId="0" borderId="0" xfId="1" applyNumberFormat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>
      <alignment horizontal="left"/>
    </xf>
    <xf numFmtId="0" fontId="50" fillId="0" borderId="0" xfId="1" applyFont="1" applyProtection="1"/>
    <xf numFmtId="0" fontId="26" fillId="0" borderId="0" xfId="1" applyFont="1" applyBorder="1" applyProtection="1"/>
    <xf numFmtId="0" fontId="58" fillId="0" borderId="0" xfId="1" applyFont="1" applyFill="1" applyBorder="1" applyAlignment="1" applyProtection="1">
      <alignment horizontal="center" vertical="center" wrapText="1"/>
    </xf>
    <xf numFmtId="0" fontId="51" fillId="0" borderId="0" xfId="1" applyFont="1" applyBorder="1" applyProtection="1"/>
    <xf numFmtId="0" fontId="12" fillId="0" borderId="0" xfId="1" applyFont="1" applyFill="1" applyBorder="1" applyAlignment="1" applyProtection="1">
      <alignment vertical="center" wrapText="1"/>
    </xf>
    <xf numFmtId="0" fontId="1" fillId="0" borderId="0" xfId="1" applyFill="1" applyBorder="1" applyAlignment="1" applyProtection="1">
      <alignment vertical="center"/>
    </xf>
    <xf numFmtId="1" fontId="52" fillId="0" borderId="0" xfId="1" applyNumberFormat="1" applyFont="1" applyBorder="1" applyAlignment="1" applyProtection="1"/>
    <xf numFmtId="0" fontId="1" fillId="0" borderId="0" xfId="1" applyFill="1" applyBorder="1" applyProtection="1"/>
    <xf numFmtId="0" fontId="23" fillId="0" borderId="0" xfId="1" applyFont="1" applyFill="1" applyProtection="1"/>
    <xf numFmtId="0" fontId="24" fillId="0" borderId="0" xfId="1" applyFont="1" applyFill="1" applyProtection="1"/>
    <xf numFmtId="0" fontId="90" fillId="26" borderId="5" xfId="1" applyFont="1" applyFill="1" applyBorder="1" applyAlignment="1" applyProtection="1">
      <alignment horizontal="center" wrapText="1"/>
    </xf>
    <xf numFmtId="0" fontId="33" fillId="0" borderId="0" xfId="1" applyNumberFormat="1" applyFont="1" applyFill="1" applyBorder="1" applyAlignment="1" applyProtection="1">
      <alignment horizontal="center" wrapText="1"/>
    </xf>
    <xf numFmtId="0" fontId="18" fillId="0" borderId="0" xfId="1" applyFont="1" applyFill="1" applyBorder="1" applyProtection="1"/>
    <xf numFmtId="0" fontId="1" fillId="0" borderId="0" xfId="1" applyBorder="1" applyProtection="1"/>
    <xf numFmtId="0" fontId="39" fillId="0" borderId="0" xfId="1" applyFont="1" applyFill="1" applyBorder="1" applyAlignment="1" applyProtection="1">
      <alignment horizontal="center" vertical="center" wrapText="1"/>
    </xf>
    <xf numFmtId="49" fontId="5" fillId="19" borderId="0" xfId="1" applyNumberFormat="1" applyFont="1" applyFill="1" applyBorder="1" applyAlignment="1" applyProtection="1">
      <alignment horizontal="center" wrapText="1"/>
    </xf>
    <xf numFmtId="0" fontId="4" fillId="5" borderId="5" xfId="1" applyFont="1" applyFill="1" applyBorder="1" applyAlignment="1" applyProtection="1">
      <alignment horizontal="center" vertical="center"/>
      <protection locked="0"/>
    </xf>
    <xf numFmtId="0" fontId="87" fillId="0" borderId="8" xfId="1" applyNumberFormat="1" applyFont="1" applyFill="1" applyBorder="1" applyAlignment="1" applyProtection="1"/>
    <xf numFmtId="0" fontId="93" fillId="0" borderId="8" xfId="1" applyNumberFormat="1" applyFont="1" applyFill="1" applyBorder="1" applyAlignment="1" applyProtection="1"/>
    <xf numFmtId="0" fontId="3" fillId="0" borderId="0" xfId="1" applyFont="1" applyBorder="1" applyAlignment="1" applyProtection="1">
      <alignment horizontal="right"/>
    </xf>
    <xf numFmtId="0" fontId="3" fillId="0" borderId="0" xfId="1" applyFont="1" applyBorder="1" applyProtection="1"/>
    <xf numFmtId="0" fontId="13" fillId="25" borderId="8" xfId="1" applyNumberFormat="1" applyFont="1" applyFill="1" applyBorder="1" applyAlignment="1" applyProtection="1"/>
    <xf numFmtId="0" fontId="92" fillId="0" borderId="35" xfId="1" applyNumberFormat="1" applyFont="1" applyFill="1" applyBorder="1" applyAlignment="1" applyProtection="1"/>
    <xf numFmtId="0" fontId="20" fillId="0" borderId="0" xfId="1" applyFont="1" applyBorder="1" applyAlignment="1" applyProtection="1">
      <alignment horizontal="center"/>
    </xf>
    <xf numFmtId="0" fontId="1" fillId="0" borderId="0" xfId="1" applyFill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center" wrapText="1"/>
    </xf>
    <xf numFmtId="0" fontId="39" fillId="0" borderId="0" xfId="1" applyFont="1" applyProtection="1"/>
    <xf numFmtId="0" fontId="87" fillId="25" borderId="8" xfId="1" applyNumberFormat="1" applyFont="1" applyFill="1" applyBorder="1" applyAlignment="1" applyProtection="1"/>
    <xf numFmtId="0" fontId="76" fillId="0" borderId="8" xfId="1" applyFont="1" applyFill="1" applyBorder="1" applyProtection="1"/>
    <xf numFmtId="0" fontId="92" fillId="0" borderId="5" xfId="1" applyNumberFormat="1" applyFont="1" applyFill="1" applyBorder="1" applyAlignment="1" applyProtection="1">
      <alignment horizontal="left"/>
    </xf>
    <xf numFmtId="0" fontId="20" fillId="0" borderId="0" xfId="1" applyFont="1" applyBorder="1" applyProtection="1"/>
    <xf numFmtId="49" fontId="3" fillId="4" borderId="18" xfId="1" applyNumberFormat="1" applyFont="1" applyFill="1" applyBorder="1" applyAlignment="1" applyProtection="1">
      <alignment horizontal="center" wrapText="1"/>
    </xf>
    <xf numFmtId="0" fontId="101" fillId="0" borderId="10" xfId="1" applyFont="1" applyFill="1" applyBorder="1" applyAlignment="1" applyProtection="1">
      <alignment horizontal="center"/>
    </xf>
    <xf numFmtId="0" fontId="1" fillId="0" borderId="0" xfId="1" applyFill="1" applyBorder="1" applyAlignment="1" applyProtection="1">
      <alignment horizontal="center"/>
    </xf>
    <xf numFmtId="0" fontId="26" fillId="0" borderId="1" xfId="1" applyFont="1" applyBorder="1" applyProtection="1"/>
    <xf numFmtId="0" fontId="26" fillId="12" borderId="8" xfId="1" applyFont="1" applyFill="1" applyBorder="1" applyProtection="1"/>
    <xf numFmtId="0" fontId="26" fillId="0" borderId="0" xfId="1" applyFont="1" applyBorder="1" applyAlignment="1" applyProtection="1">
      <alignment horizontal="right"/>
    </xf>
    <xf numFmtId="0" fontId="4" fillId="15" borderId="5" xfId="1" applyFont="1" applyFill="1" applyBorder="1" applyAlignment="1" applyProtection="1">
      <alignment horizontal="center" vertical="center"/>
      <protection locked="0"/>
    </xf>
    <xf numFmtId="0" fontId="4" fillId="2" borderId="14" xfId="1" applyFont="1" applyFill="1" applyBorder="1" applyAlignment="1" applyProtection="1">
      <alignment horizontal="center"/>
    </xf>
    <xf numFmtId="49" fontId="32" fillId="0" borderId="0" xfId="1" applyNumberFormat="1" applyFont="1" applyFill="1" applyBorder="1" applyAlignment="1" applyProtection="1">
      <alignment horizontal="center" wrapText="1"/>
    </xf>
    <xf numFmtId="49" fontId="39" fillId="11" borderId="18" xfId="1" applyNumberFormat="1" applyFont="1" applyFill="1" applyBorder="1" applyAlignment="1" applyProtection="1">
      <alignment horizontal="center" wrapText="1"/>
    </xf>
    <xf numFmtId="49" fontId="39" fillId="11" borderId="5" xfId="1" applyNumberFormat="1" applyFont="1" applyFill="1" applyBorder="1" applyAlignment="1" applyProtection="1">
      <alignment horizontal="center" wrapText="1"/>
    </xf>
    <xf numFmtId="49" fontId="39" fillId="4" borderId="5" xfId="1" applyNumberFormat="1" applyFont="1" applyFill="1" applyBorder="1" applyAlignment="1" applyProtection="1">
      <alignment horizontal="center" wrapText="1"/>
    </xf>
    <xf numFmtId="49" fontId="39" fillId="4" borderId="15" xfId="1" applyNumberFormat="1" applyFont="1" applyFill="1" applyBorder="1" applyAlignment="1" applyProtection="1">
      <alignment horizontal="center" wrapText="1"/>
    </xf>
    <xf numFmtId="49" fontId="39" fillId="4" borderId="6" xfId="1" applyNumberFormat="1" applyFont="1" applyFill="1" applyBorder="1" applyAlignment="1" applyProtection="1">
      <alignment horizontal="center" wrapText="1"/>
    </xf>
    <xf numFmtId="0" fontId="39" fillId="0" borderId="0" xfId="1" applyFont="1" applyBorder="1" applyAlignment="1" applyProtection="1">
      <alignment horizontal="center"/>
    </xf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1" fillId="12" borderId="23" xfId="1" applyFill="1" applyBorder="1" applyProtection="1"/>
    <xf numFmtId="0" fontId="39" fillId="11" borderId="17" xfId="1" applyFont="1" applyFill="1" applyBorder="1" applyProtection="1"/>
    <xf numFmtId="0" fontId="39" fillId="11" borderId="0" xfId="1" applyFont="1" applyFill="1" applyBorder="1" applyProtection="1"/>
    <xf numFmtId="0" fontId="26" fillId="0" borderId="22" xfId="1" applyFont="1" applyBorder="1" applyAlignment="1" applyProtection="1">
      <alignment horizontal="center" wrapText="1"/>
    </xf>
    <xf numFmtId="0" fontId="26" fillId="0" borderId="0" xfId="1" applyFont="1" applyBorder="1" applyAlignment="1" applyProtection="1">
      <alignment horizontal="center" wrapText="1"/>
    </xf>
    <xf numFmtId="0" fontId="86" fillId="14" borderId="0" xfId="1" applyFont="1" applyFill="1" applyBorder="1" applyAlignment="1" applyProtection="1">
      <alignment horizontal="center" wrapText="1"/>
    </xf>
    <xf numFmtId="0" fontId="63" fillId="0" borderId="0" xfId="1" applyFont="1" applyProtection="1"/>
    <xf numFmtId="2" fontId="5" fillId="0" borderId="3" xfId="1" applyNumberFormat="1" applyFont="1" applyFill="1" applyBorder="1" applyAlignment="1" applyProtection="1"/>
    <xf numFmtId="2" fontId="5" fillId="0" borderId="7" xfId="1" applyNumberFormat="1" applyFont="1" applyFill="1" applyBorder="1" applyAlignment="1" applyProtection="1"/>
    <xf numFmtId="49" fontId="5" fillId="14" borderId="35" xfId="1" applyNumberFormat="1" applyFont="1" applyFill="1" applyBorder="1" applyAlignment="1" applyProtection="1">
      <alignment horizontal="center" wrapText="1"/>
    </xf>
    <xf numFmtId="49" fontId="5" fillId="4" borderId="5" xfId="1" applyNumberFormat="1" applyFont="1" applyFill="1" applyBorder="1" applyAlignment="1" applyProtection="1">
      <alignment horizontal="center" wrapText="1"/>
    </xf>
    <xf numFmtId="49" fontId="5" fillId="0" borderId="0" xfId="1" applyNumberFormat="1" applyFont="1" applyFill="1" applyBorder="1" applyAlignment="1" applyProtection="1">
      <alignment horizontal="center" wrapText="1"/>
    </xf>
    <xf numFmtId="0" fontId="26" fillId="22" borderId="20" xfId="1" applyFont="1" applyFill="1" applyBorder="1" applyProtection="1"/>
    <xf numFmtId="0" fontId="26" fillId="22" borderId="21" xfId="1" applyFont="1" applyFill="1" applyBorder="1" applyProtection="1"/>
    <xf numFmtId="0" fontId="39" fillId="22" borderId="0" xfId="1" applyFont="1" applyFill="1" applyBorder="1" applyProtection="1"/>
    <xf numFmtId="0" fontId="26" fillId="0" borderId="4" xfId="1" applyFont="1" applyBorder="1" applyAlignment="1" applyProtection="1">
      <alignment horizontal="center" wrapText="1"/>
    </xf>
    <xf numFmtId="0" fontId="26" fillId="11" borderId="8" xfId="1" applyFont="1" applyFill="1" applyBorder="1" applyProtection="1"/>
    <xf numFmtId="0" fontId="26" fillId="0" borderId="8" xfId="1" applyFont="1" applyFill="1" applyBorder="1" applyProtection="1"/>
    <xf numFmtId="0" fontId="26" fillId="16" borderId="8" xfId="1" applyFont="1" applyFill="1" applyBorder="1" applyProtection="1"/>
    <xf numFmtId="0" fontId="39" fillId="15" borderId="8" xfId="1" applyFont="1" applyFill="1" applyBorder="1" applyAlignment="1" applyProtection="1">
      <alignment horizontal="center" wrapText="1"/>
    </xf>
    <xf numFmtId="0" fontId="26" fillId="7" borderId="0" xfId="1" applyFont="1" applyFill="1" applyBorder="1" applyAlignment="1" applyProtection="1">
      <alignment horizontal="center" wrapText="1"/>
    </xf>
    <xf numFmtId="0" fontId="80" fillId="14" borderId="8" xfId="1" applyFont="1" applyFill="1" applyBorder="1" applyAlignment="1" applyProtection="1">
      <alignment horizontal="center" wrapText="1"/>
    </xf>
    <xf numFmtId="0" fontId="72" fillId="14" borderId="0" xfId="1" applyFont="1" applyFill="1" applyBorder="1" applyProtection="1"/>
    <xf numFmtId="0" fontId="86" fillId="14" borderId="8" xfId="1" applyFont="1" applyFill="1" applyBorder="1" applyAlignment="1" applyProtection="1">
      <alignment horizontal="center" wrapText="1"/>
    </xf>
    <xf numFmtId="0" fontId="72" fillId="14" borderId="0" xfId="1" applyFont="1" applyFill="1" applyBorder="1" applyAlignment="1" applyProtection="1">
      <alignment horizontal="center" wrapText="1"/>
    </xf>
    <xf numFmtId="0" fontId="26" fillId="9" borderId="0" xfId="1" applyFont="1" applyFill="1" applyBorder="1" applyAlignment="1" applyProtection="1">
      <alignment horizontal="center" wrapText="1"/>
    </xf>
    <xf numFmtId="0" fontId="8" fillId="25" borderId="8" xfId="1" applyFont="1" applyFill="1" applyBorder="1" applyAlignment="1" applyProtection="1">
      <alignment horizontal="center" wrapText="1"/>
    </xf>
    <xf numFmtId="0" fontId="26" fillId="14" borderId="0" xfId="1" applyFont="1" applyFill="1" applyBorder="1" applyAlignment="1" applyProtection="1">
      <alignment horizontal="center" wrapText="1"/>
    </xf>
    <xf numFmtId="0" fontId="39" fillId="14" borderId="0" xfId="1" applyFont="1" applyFill="1" applyProtection="1"/>
    <xf numFmtId="2" fontId="64" fillId="14" borderId="0" xfId="1" applyNumberFormat="1" applyFont="1" applyFill="1" applyAlignment="1" applyProtection="1">
      <alignment horizontal="center"/>
    </xf>
    <xf numFmtId="2" fontId="64" fillId="14" borderId="5" xfId="1" applyNumberFormat="1" applyFont="1" applyFill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5" fillId="2" borderId="5" xfId="1" applyFont="1" applyFill="1" applyBorder="1" applyAlignment="1" applyProtection="1"/>
    <xf numFmtId="0" fontId="5" fillId="0" borderId="7" xfId="1" applyFont="1" applyFill="1" applyBorder="1" applyAlignment="1" applyProtection="1"/>
    <xf numFmtId="0" fontId="106" fillId="16" borderId="5" xfId="1" applyFont="1" applyFill="1" applyBorder="1" applyAlignment="1" applyProtection="1">
      <alignment horizontal="center"/>
      <protection locked="0"/>
    </xf>
    <xf numFmtId="0" fontId="5" fillId="2" borderId="18" xfId="1" applyFont="1" applyFill="1" applyBorder="1" applyAlignment="1" applyProtection="1">
      <alignment horizontal="center"/>
    </xf>
    <xf numFmtId="0" fontId="5" fillId="2" borderId="5" xfId="1" applyFont="1" applyFill="1" applyBorder="1" applyAlignment="1" applyProtection="1">
      <alignment horizontal="center"/>
    </xf>
    <xf numFmtId="0" fontId="81" fillId="22" borderId="24" xfId="1" applyFont="1" applyFill="1" applyBorder="1" applyProtection="1"/>
    <xf numFmtId="0" fontId="81" fillId="22" borderId="25" xfId="1" applyFont="1" applyFill="1" applyBorder="1" applyProtection="1"/>
    <xf numFmtId="0" fontId="26" fillId="0" borderId="2" xfId="1" applyFont="1" applyBorder="1" applyProtection="1"/>
    <xf numFmtId="0" fontId="5" fillId="22" borderId="14" xfId="1" applyFont="1" applyFill="1" applyBorder="1" applyProtection="1"/>
    <xf numFmtId="0" fontId="26" fillId="0" borderId="3" xfId="1" applyFont="1" applyBorder="1" applyProtection="1"/>
    <xf numFmtId="0" fontId="60" fillId="0" borderId="0" xfId="1" applyFont="1" applyBorder="1" applyAlignment="1" applyProtection="1">
      <alignment horizontal="center"/>
    </xf>
    <xf numFmtId="0" fontId="39" fillId="2" borderId="5" xfId="1" applyFont="1" applyFill="1" applyBorder="1" applyAlignment="1" applyProtection="1">
      <alignment horizontal="center"/>
    </xf>
    <xf numFmtId="0" fontId="5" fillId="2" borderId="8" xfId="1" applyFont="1" applyFill="1" applyBorder="1" applyAlignment="1" applyProtection="1">
      <alignment horizontal="center"/>
    </xf>
    <xf numFmtId="0" fontId="60" fillId="7" borderId="0" xfId="1" applyFont="1" applyFill="1" applyBorder="1" applyAlignment="1" applyProtection="1">
      <alignment horizontal="center"/>
    </xf>
    <xf numFmtId="0" fontId="5" fillId="13" borderId="0" xfId="1" applyFont="1" applyFill="1" applyBorder="1" applyAlignment="1" applyProtection="1">
      <alignment horizontal="center"/>
    </xf>
    <xf numFmtId="0" fontId="80" fillId="14" borderId="0" xfId="1" applyFont="1" applyFill="1" applyBorder="1" applyAlignment="1" applyProtection="1">
      <alignment horizontal="center"/>
    </xf>
    <xf numFmtId="0" fontId="72" fillId="14" borderId="8" xfId="1" applyFont="1" applyFill="1" applyBorder="1" applyProtection="1"/>
    <xf numFmtId="0" fontId="65" fillId="9" borderId="8" xfId="1" applyFont="1" applyFill="1" applyBorder="1" applyAlignment="1" applyProtection="1">
      <alignment horizontal="center"/>
    </xf>
    <xf numFmtId="0" fontId="65" fillId="9" borderId="12" xfId="1" applyFont="1" applyFill="1" applyBorder="1" applyAlignment="1" applyProtection="1">
      <alignment horizontal="center"/>
    </xf>
    <xf numFmtId="0" fontId="65" fillId="14" borderId="8" xfId="1" applyFont="1" applyFill="1" applyBorder="1" applyAlignment="1" applyProtection="1">
      <alignment horizontal="center"/>
    </xf>
    <xf numFmtId="0" fontId="65" fillId="14" borderId="0" xfId="1" applyFont="1" applyFill="1" applyBorder="1" applyAlignment="1" applyProtection="1">
      <alignment horizontal="center"/>
    </xf>
    <xf numFmtId="2" fontId="39" fillId="14" borderId="5" xfId="1" applyNumberFormat="1" applyFont="1" applyFill="1" applyBorder="1" applyAlignment="1" applyProtection="1">
      <alignment horizontal="center"/>
    </xf>
    <xf numFmtId="0" fontId="5" fillId="2" borderId="6" xfId="1" applyFont="1" applyFill="1" applyBorder="1" applyAlignment="1" applyProtection="1"/>
    <xf numFmtId="0" fontId="5" fillId="0" borderId="6" xfId="1" applyFont="1" applyFill="1" applyBorder="1" applyAlignment="1" applyProtection="1"/>
    <xf numFmtId="0" fontId="8" fillId="2" borderId="5" xfId="1" applyFont="1" applyFill="1" applyBorder="1" applyAlignment="1" applyProtection="1">
      <alignment horizontal="center"/>
      <protection locked="0"/>
    </xf>
    <xf numFmtId="0" fontId="9" fillId="2" borderId="18" xfId="1" applyFont="1" applyFill="1" applyBorder="1" applyAlignment="1" applyProtection="1">
      <alignment horizontal="center"/>
    </xf>
    <xf numFmtId="0" fontId="5" fillId="17" borderId="7" xfId="1" applyFont="1" applyFill="1" applyBorder="1" applyAlignment="1" applyProtection="1">
      <alignment horizontal="center"/>
    </xf>
    <xf numFmtId="0" fontId="5" fillId="2" borderId="7" xfId="1" applyFont="1" applyFill="1" applyBorder="1" applyAlignment="1" applyProtection="1">
      <alignment horizontal="center"/>
    </xf>
    <xf numFmtId="0" fontId="5" fillId="16" borderId="7" xfId="1" applyFont="1" applyFill="1" applyBorder="1" applyAlignment="1" applyProtection="1">
      <alignment horizontal="center"/>
    </xf>
    <xf numFmtId="0" fontId="5" fillId="14" borderId="7" xfId="1" applyFont="1" applyFill="1" applyBorder="1" applyAlignment="1" applyProtection="1">
      <alignment horizontal="center"/>
    </xf>
    <xf numFmtId="0" fontId="68" fillId="0" borderId="7" xfId="1" applyFont="1" applyBorder="1" applyProtection="1"/>
    <xf numFmtId="0" fontId="5" fillId="13" borderId="18" xfId="1" applyFont="1" applyFill="1" applyBorder="1" applyAlignment="1" applyProtection="1">
      <alignment horizontal="center"/>
    </xf>
    <xf numFmtId="0" fontId="87" fillId="25" borderId="0" xfId="1" applyNumberFormat="1" applyFont="1" applyFill="1" applyBorder="1" applyAlignment="1" applyProtection="1"/>
    <xf numFmtId="0" fontId="87" fillId="0" borderId="0" xfId="1" applyNumberFormat="1" applyFont="1" applyFill="1" applyBorder="1" applyAlignment="1" applyProtection="1"/>
    <xf numFmtId="0" fontId="87" fillId="25" borderId="0" xfId="1" applyNumberFormat="1" applyFont="1" applyFill="1" applyBorder="1" applyAlignment="1" applyProtection="1">
      <alignment horizontal="center"/>
    </xf>
    <xf numFmtId="0" fontId="92" fillId="0" borderId="0" xfId="1" applyNumberFormat="1" applyFont="1" applyFill="1" applyBorder="1" applyAlignment="1" applyProtection="1">
      <alignment horizontal="left"/>
    </xf>
    <xf numFmtId="49" fontId="32" fillId="15" borderId="5" xfId="1" applyNumberFormat="1" applyFont="1" applyFill="1" applyBorder="1" applyAlignment="1" applyProtection="1">
      <alignment horizontal="center" wrapText="1"/>
    </xf>
    <xf numFmtId="49" fontId="39" fillId="16" borderId="0" xfId="1" applyNumberFormat="1" applyFont="1" applyFill="1" applyBorder="1" applyAlignment="1" applyProtection="1">
      <alignment horizontal="center" wrapText="1"/>
    </xf>
    <xf numFmtId="49" fontId="39" fillId="0" borderId="0" xfId="1" applyNumberFormat="1" applyFont="1" applyFill="1" applyBorder="1" applyAlignment="1" applyProtection="1">
      <alignment horizontal="center" wrapText="1"/>
    </xf>
    <xf numFmtId="0" fontId="26" fillId="13" borderId="8" xfId="1" applyFont="1" applyFill="1" applyBorder="1" applyProtection="1"/>
    <xf numFmtId="0" fontId="26" fillId="0" borderId="8" xfId="1" applyFont="1" applyBorder="1" applyProtection="1"/>
    <xf numFmtId="0" fontId="26" fillId="0" borderId="8" xfId="1" applyFont="1" applyBorder="1" applyAlignment="1" applyProtection="1">
      <alignment horizontal="center" wrapText="1"/>
    </xf>
    <xf numFmtId="0" fontId="63" fillId="14" borderId="0" xfId="1" applyFont="1" applyFill="1" applyProtection="1"/>
    <xf numFmtId="49" fontId="5" fillId="12" borderId="5" xfId="1" applyNumberFormat="1" applyFont="1" applyFill="1" applyBorder="1" applyAlignment="1" applyProtection="1">
      <alignment horizontal="center" wrapText="1"/>
    </xf>
    <xf numFmtId="0" fontId="26" fillId="15" borderId="8" xfId="1" applyFont="1" applyFill="1" applyBorder="1" applyAlignment="1" applyProtection="1">
      <alignment horizontal="center" wrapText="1"/>
    </xf>
    <xf numFmtId="0" fontId="26" fillId="17" borderId="0" xfId="1" applyFont="1" applyFill="1" applyBorder="1" applyAlignment="1" applyProtection="1">
      <alignment horizontal="center" wrapText="1"/>
    </xf>
    <xf numFmtId="0" fontId="5" fillId="2" borderId="14" xfId="1" applyFont="1" applyFill="1" applyBorder="1" applyAlignment="1" applyProtection="1">
      <alignment horizontal="center"/>
    </xf>
    <xf numFmtId="2" fontId="39" fillId="25" borderId="0" xfId="1" applyNumberFormat="1" applyFont="1" applyFill="1" applyBorder="1" applyAlignment="1" applyProtection="1">
      <alignment horizontal="center" wrapText="1"/>
    </xf>
    <xf numFmtId="0" fontId="39" fillId="25" borderId="0" xfId="1" applyNumberFormat="1" applyFont="1" applyFill="1" applyBorder="1" applyAlignment="1" applyProtection="1">
      <alignment horizontal="center" wrapText="1"/>
    </xf>
    <xf numFmtId="0" fontId="26" fillId="25" borderId="8" xfId="1" applyFont="1" applyFill="1" applyBorder="1" applyProtection="1"/>
    <xf numFmtId="0" fontId="60" fillId="7" borderId="8" xfId="1" applyFont="1" applyFill="1" applyBorder="1" applyAlignment="1" applyProtection="1">
      <alignment horizontal="center"/>
    </xf>
    <xf numFmtId="0" fontId="70" fillId="14" borderId="8" xfId="1" applyFont="1" applyFill="1" applyBorder="1" applyAlignment="1" applyProtection="1">
      <alignment horizontal="center"/>
    </xf>
    <xf numFmtId="0" fontId="65" fillId="9" borderId="29" xfId="1" applyFont="1" applyFill="1" applyBorder="1" applyAlignment="1" applyProtection="1">
      <alignment horizontal="center"/>
    </xf>
    <xf numFmtId="2" fontId="39" fillId="14" borderId="15" xfId="1" applyNumberFormat="1" applyFont="1" applyFill="1" applyBorder="1" applyAlignment="1" applyProtection="1">
      <alignment horizontal="center"/>
    </xf>
    <xf numFmtId="0" fontId="26" fillId="22" borderId="8" xfId="1" applyFont="1" applyFill="1" applyBorder="1" applyProtection="1"/>
    <xf numFmtId="0" fontId="5" fillId="0" borderId="0" xfId="1" applyFont="1" applyFill="1" applyBorder="1" applyProtection="1"/>
    <xf numFmtId="0" fontId="6" fillId="0" borderId="0" xfId="1" applyNumberFormat="1" applyFont="1" applyFill="1" applyBorder="1" applyProtection="1"/>
    <xf numFmtId="0" fontId="26" fillId="17" borderId="0" xfId="1" applyFont="1" applyFill="1" applyBorder="1" applyProtection="1"/>
    <xf numFmtId="0" fontId="37" fillId="0" borderId="0" xfId="1" applyFont="1" applyProtection="1"/>
    <xf numFmtId="0" fontId="26" fillId="2" borderId="0" xfId="1" applyFont="1" applyFill="1" applyBorder="1" applyAlignment="1" applyProtection="1">
      <alignment horizontal="center" wrapText="1"/>
    </xf>
    <xf numFmtId="0" fontId="26" fillId="0" borderId="0" xfId="1" applyFont="1" applyFill="1" applyBorder="1" applyAlignment="1" applyProtection="1">
      <alignment horizontal="center" wrapText="1"/>
    </xf>
    <xf numFmtId="0" fontId="39" fillId="2" borderId="0" xfId="1" applyFont="1" applyFill="1" applyBorder="1" applyAlignment="1" applyProtection="1">
      <alignment horizontal="center"/>
    </xf>
    <xf numFmtId="0" fontId="65" fillId="2" borderId="8" xfId="1" applyFont="1" applyFill="1" applyBorder="1" applyAlignment="1" applyProtection="1">
      <alignment horizontal="center"/>
    </xf>
    <xf numFmtId="0" fontId="65" fillId="0" borderId="8" xfId="1" applyFont="1" applyBorder="1" applyAlignment="1" applyProtection="1">
      <alignment horizontal="center"/>
    </xf>
    <xf numFmtId="0" fontId="0" fillId="13" borderId="13" xfId="0" applyFill="1" applyBorder="1" applyAlignment="1" applyProtection="1">
      <alignment horizontal="center" wrapText="1"/>
    </xf>
    <xf numFmtId="0" fontId="72" fillId="0" borderId="0" xfId="0" applyFont="1" applyBorder="1" applyAlignment="1" applyProtection="1">
      <alignment horizontal="center" wrapText="1"/>
    </xf>
    <xf numFmtId="0" fontId="54" fillId="14" borderId="14" xfId="0" applyFont="1" applyFill="1" applyBorder="1" applyProtection="1"/>
    <xf numFmtId="0" fontId="54" fillId="14" borderId="2" xfId="0" applyFont="1" applyFill="1" applyBorder="1" applyProtection="1"/>
    <xf numFmtId="0" fontId="90" fillId="14" borderId="2" xfId="0" applyFont="1" applyFill="1" applyBorder="1" applyProtection="1"/>
    <xf numFmtId="0" fontId="56" fillId="0" borderId="29" xfId="0" applyFont="1" applyFill="1" applyBorder="1" applyAlignment="1" applyProtection="1">
      <alignment horizontal="center"/>
    </xf>
    <xf numFmtId="0" fontId="85" fillId="0" borderId="0" xfId="0" applyFont="1" applyBorder="1" applyAlignment="1" applyProtection="1">
      <alignment horizontal="center"/>
    </xf>
    <xf numFmtId="0" fontId="90" fillId="14" borderId="14" xfId="0" applyFont="1" applyFill="1" applyBorder="1" applyProtection="1"/>
    <xf numFmtId="0" fontId="51" fillId="12" borderId="1" xfId="0" applyFont="1" applyFill="1" applyBorder="1" applyAlignment="1" applyProtection="1">
      <alignment horizontal="center"/>
    </xf>
    <xf numFmtId="0" fontId="51" fillId="12" borderId="0" xfId="0" applyFont="1" applyFill="1" applyBorder="1" applyAlignment="1" applyProtection="1">
      <alignment horizontal="center"/>
    </xf>
    <xf numFmtId="0" fontId="51" fillId="14" borderId="0" xfId="0" applyFont="1" applyFill="1" applyBorder="1" applyAlignment="1" applyProtection="1">
      <alignment horizontal="center"/>
    </xf>
    <xf numFmtId="0" fontId="51" fillId="14" borderId="14" xfId="0" applyFont="1" applyFill="1" applyBorder="1" applyAlignment="1" applyProtection="1">
      <alignment horizontal="center"/>
    </xf>
    <xf numFmtId="0" fontId="80" fillId="0" borderId="0" xfId="0" applyFont="1" applyBorder="1" applyProtection="1"/>
    <xf numFmtId="2" fontId="39" fillId="13" borderId="0" xfId="0" applyNumberFormat="1" applyFont="1" applyFill="1" applyBorder="1" applyAlignment="1" applyProtection="1">
      <alignment horizontal="center" wrapText="1"/>
    </xf>
    <xf numFmtId="0" fontId="39" fillId="13" borderId="0" xfId="0" applyNumberFormat="1" applyFont="1" applyFill="1" applyBorder="1" applyAlignment="1" applyProtection="1">
      <alignment horizontal="center" wrapText="1"/>
    </xf>
    <xf numFmtId="0" fontId="5" fillId="0" borderId="8" xfId="0" applyFont="1" applyFill="1" applyBorder="1" applyProtection="1"/>
    <xf numFmtId="0" fontId="8" fillId="13" borderId="8" xfId="0" applyFont="1" applyFill="1" applyBorder="1" applyAlignment="1" applyProtection="1">
      <alignment horizontal="center" wrapText="1"/>
    </xf>
    <xf numFmtId="0" fontId="5" fillId="27" borderId="0" xfId="0" applyFont="1" applyFill="1" applyBorder="1" applyAlignment="1" applyProtection="1">
      <alignment horizontal="center"/>
    </xf>
    <xf numFmtId="0" fontId="5" fillId="27" borderId="18" xfId="0" applyFont="1" applyFill="1" applyBorder="1" applyAlignment="1" applyProtection="1">
      <alignment horizontal="center"/>
    </xf>
    <xf numFmtId="0" fontId="57" fillId="0" borderId="0" xfId="0" applyNumberFormat="1" applyFont="1" applyFill="1" applyBorder="1" applyAlignment="1" applyProtection="1">
      <alignment horizontal="center"/>
    </xf>
    <xf numFmtId="0" fontId="72" fillId="0" borderId="0" xfId="0" applyFont="1" applyFill="1" applyBorder="1" applyAlignment="1" applyProtection="1">
      <alignment horizontal="center"/>
    </xf>
    <xf numFmtId="0" fontId="109" fillId="13" borderId="8" xfId="0" applyFont="1" applyFill="1" applyBorder="1" applyProtection="1"/>
    <xf numFmtId="0" fontId="85" fillId="13" borderId="8" xfId="0" applyFont="1" applyFill="1" applyBorder="1" applyProtection="1"/>
    <xf numFmtId="0" fontId="85" fillId="0" borderId="0" xfId="0" applyFont="1" applyFill="1" applyProtection="1"/>
    <xf numFmtId="0" fontId="109" fillId="18" borderId="8" xfId="0" applyFont="1" applyFill="1" applyBorder="1" applyProtection="1"/>
    <xf numFmtId="0" fontId="71" fillId="0" borderId="0" xfId="0" applyFont="1" applyFill="1" applyProtection="1"/>
    <xf numFmtId="0" fontId="80" fillId="0" borderId="0" xfId="0" applyFont="1" applyAlignment="1" applyProtection="1">
      <alignment horizontal="center"/>
    </xf>
    <xf numFmtId="0" fontId="80" fillId="14" borderId="0" xfId="0" applyFont="1" applyFill="1" applyAlignment="1" applyProtection="1">
      <alignment horizontal="center"/>
    </xf>
    <xf numFmtId="0" fontId="80" fillId="0" borderId="0" xfId="0" applyFont="1" applyFill="1" applyBorder="1" applyAlignment="1" applyProtection="1">
      <alignment horizontal="center"/>
    </xf>
    <xf numFmtId="0" fontId="32" fillId="0" borderId="0" xfId="0" applyFont="1" applyFill="1" applyBorder="1" applyAlignment="1" applyProtection="1">
      <alignment horizontal="center"/>
    </xf>
    <xf numFmtId="1" fontId="55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" fontId="55" fillId="0" borderId="0" xfId="0" applyNumberFormat="1" applyFont="1" applyBorder="1" applyAlignment="1" applyProtection="1">
      <alignment horizontal="center"/>
    </xf>
    <xf numFmtId="0" fontId="32" fillId="12" borderId="6" xfId="0" applyFont="1" applyFill="1" applyBorder="1" applyAlignment="1" applyProtection="1">
      <alignment horizontal="center"/>
    </xf>
    <xf numFmtId="0" fontId="32" fillId="12" borderId="3" xfId="0" applyFont="1" applyFill="1" applyBorder="1" applyAlignment="1" applyProtection="1">
      <alignment horizontal="center"/>
    </xf>
    <xf numFmtId="0" fontId="54" fillId="12" borderId="14" xfId="0" applyFont="1" applyFill="1" applyBorder="1" applyAlignment="1" applyProtection="1">
      <alignment horizontal="center"/>
    </xf>
    <xf numFmtId="0" fontId="54" fillId="12" borderId="2" xfId="0" applyFont="1" applyFill="1" applyBorder="1" applyAlignment="1" applyProtection="1">
      <alignment horizontal="center"/>
    </xf>
    <xf numFmtId="0" fontId="32" fillId="12" borderId="7" xfId="0" applyFont="1" applyFill="1" applyBorder="1" applyAlignment="1" applyProtection="1">
      <alignment horizontal="center"/>
    </xf>
    <xf numFmtId="0" fontId="0" fillId="12" borderId="14" xfId="0" applyFill="1" applyBorder="1" applyAlignment="1" applyProtection="1">
      <alignment horizontal="center"/>
    </xf>
    <xf numFmtId="0" fontId="32" fillId="12" borderId="18" xfId="0" applyFont="1" applyFill="1" applyBorder="1" applyAlignment="1" applyProtection="1">
      <alignment horizontal="center"/>
    </xf>
    <xf numFmtId="0" fontId="0" fillId="12" borderId="2" xfId="0" applyFill="1" applyBorder="1" applyAlignment="1" applyProtection="1">
      <alignment horizontal="center"/>
    </xf>
    <xf numFmtId="0" fontId="54" fillId="0" borderId="0" xfId="0" applyFont="1" applyFill="1" applyBorder="1" applyProtection="1"/>
    <xf numFmtId="0" fontId="32" fillId="12" borderId="2" xfId="0" applyFont="1" applyFill="1" applyBorder="1" applyAlignment="1" applyProtection="1">
      <alignment horizontal="center"/>
    </xf>
    <xf numFmtId="0" fontId="32" fillId="12" borderId="14" xfId="0" applyFont="1" applyFill="1" applyBorder="1" applyAlignment="1" applyProtection="1">
      <alignment horizontal="center"/>
    </xf>
    <xf numFmtId="0" fontId="56" fillId="0" borderId="12" xfId="0" applyFont="1" applyFill="1" applyBorder="1" applyAlignment="1" applyProtection="1">
      <alignment horizontal="center"/>
    </xf>
    <xf numFmtId="0" fontId="51" fillId="0" borderId="0" xfId="0" applyFont="1" applyFill="1" applyBorder="1" applyAlignment="1" applyProtection="1"/>
    <xf numFmtId="0" fontId="39" fillId="18" borderId="0" xfId="0" applyFont="1" applyFill="1" applyBorder="1" applyProtection="1"/>
    <xf numFmtId="0" fontId="44" fillId="18" borderId="0" xfId="0" applyFont="1" applyFill="1" applyBorder="1" applyProtection="1"/>
    <xf numFmtId="0" fontId="90" fillId="0" borderId="0" xfId="0" applyFont="1" applyFill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/>
    </xf>
    <xf numFmtId="1" fontId="32" fillId="0" borderId="0" xfId="0" applyNumberFormat="1" applyFont="1" applyBorder="1" applyAlignment="1" applyProtection="1"/>
    <xf numFmtId="1" fontId="92" fillId="0" borderId="2" xfId="0" applyNumberFormat="1" applyFont="1" applyFill="1" applyBorder="1" applyAlignment="1" applyProtection="1">
      <alignment horizontal="right"/>
    </xf>
    <xf numFmtId="1" fontId="92" fillId="0" borderId="3" xfId="0" applyNumberFormat="1" applyFont="1" applyFill="1" applyBorder="1" applyAlignment="1" applyProtection="1">
      <alignment horizontal="right"/>
    </xf>
    <xf numFmtId="1" fontId="92" fillId="0" borderId="6" xfId="0" applyNumberFormat="1" applyFont="1" applyFill="1" applyBorder="1" applyAlignment="1" applyProtection="1">
      <alignment horizontal="left"/>
    </xf>
    <xf numFmtId="1" fontId="92" fillId="0" borderId="2" xfId="0" applyNumberFormat="1" applyFont="1" applyFill="1" applyBorder="1" applyAlignment="1" applyProtection="1">
      <alignment horizontal="left"/>
    </xf>
    <xf numFmtId="0" fontId="51" fillId="10" borderId="1" xfId="0" applyFont="1" applyFill="1" applyBorder="1" applyAlignment="1" applyProtection="1">
      <alignment horizontal="center"/>
    </xf>
    <xf numFmtId="0" fontId="51" fillId="10" borderId="2" xfId="0" applyFont="1" applyFill="1" applyBorder="1" applyAlignment="1" applyProtection="1">
      <alignment horizontal="center"/>
    </xf>
    <xf numFmtId="1" fontId="22" fillId="0" borderId="0" xfId="0" applyNumberFormat="1" applyFont="1" applyBorder="1" applyAlignment="1" applyProtection="1">
      <alignment horizontal="right"/>
    </xf>
    <xf numFmtId="1" fontId="32" fillId="0" borderId="0" xfId="0" applyNumberFormat="1" applyFont="1" applyBorder="1" applyAlignment="1" applyProtection="1">
      <alignment horizontal="center"/>
    </xf>
    <xf numFmtId="49" fontId="85" fillId="15" borderId="30" xfId="0" applyNumberFormat="1" applyFont="1" applyFill="1" applyBorder="1" applyAlignment="1" applyProtection="1">
      <alignment horizontal="center" vertical="center" wrapText="1"/>
    </xf>
    <xf numFmtId="49" fontId="85" fillId="15" borderId="31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/>
    </xf>
    <xf numFmtId="0" fontId="87" fillId="6" borderId="23" xfId="0" applyNumberFormat="1" applyFont="1" applyFill="1" applyBorder="1" applyAlignment="1" applyProtection="1">
      <alignment horizontal="center" vertical="center" wrapText="1"/>
    </xf>
    <xf numFmtId="0" fontId="87" fillId="6" borderId="15" xfId="0" applyNumberFormat="1" applyFont="1" applyFill="1" applyBorder="1" applyAlignment="1" applyProtection="1">
      <alignment horizontal="center" vertical="center" wrapText="1"/>
    </xf>
    <xf numFmtId="49" fontId="85" fillId="23" borderId="23" xfId="0" applyNumberFormat="1" applyFont="1" applyFill="1" applyBorder="1" applyAlignment="1" applyProtection="1">
      <alignment horizontal="center" vertical="center" wrapText="1"/>
    </xf>
    <xf numFmtId="49" fontId="85" fillId="23" borderId="27" xfId="0" applyNumberFormat="1" applyFont="1" applyFill="1" applyBorder="1" applyAlignment="1" applyProtection="1">
      <alignment horizontal="center" vertical="center" wrapText="1"/>
    </xf>
    <xf numFmtId="49" fontId="85" fillId="23" borderId="15" xfId="0" applyNumberFormat="1" applyFont="1" applyFill="1" applyBorder="1" applyAlignment="1" applyProtection="1">
      <alignment horizontal="center" vertical="center" wrapText="1"/>
    </xf>
    <xf numFmtId="2" fontId="38" fillId="0" borderId="9" xfId="0" applyNumberFormat="1" applyFont="1" applyFill="1" applyBorder="1" applyAlignment="1" applyProtection="1">
      <alignment horizontal="center"/>
    </xf>
    <xf numFmtId="2" fontId="38" fillId="0" borderId="22" xfId="0" applyNumberFormat="1" applyFont="1" applyFill="1" applyBorder="1" applyAlignment="1" applyProtection="1">
      <alignment horizontal="center"/>
    </xf>
    <xf numFmtId="1" fontId="92" fillId="0" borderId="2" xfId="0" applyNumberFormat="1" applyFont="1" applyBorder="1" applyAlignment="1" applyProtection="1">
      <alignment horizontal="right"/>
    </xf>
    <xf numFmtId="1" fontId="92" fillId="0" borderId="3" xfId="0" applyNumberFormat="1" applyFont="1" applyBorder="1" applyAlignment="1" applyProtection="1">
      <alignment horizontal="right"/>
    </xf>
    <xf numFmtId="1" fontId="92" fillId="0" borderId="6" xfId="0" applyNumberFormat="1" applyFont="1" applyBorder="1" applyAlignment="1" applyProtection="1">
      <alignment horizontal="left"/>
    </xf>
    <xf numFmtId="1" fontId="92" fillId="0" borderId="2" xfId="0" applyNumberFormat="1" applyFont="1" applyBorder="1" applyAlignment="1" applyProtection="1">
      <alignment horizontal="left"/>
    </xf>
    <xf numFmtId="49" fontId="32" fillId="5" borderId="23" xfId="0" applyNumberFormat="1" applyFont="1" applyFill="1" applyBorder="1" applyAlignment="1" applyProtection="1">
      <alignment horizontal="center" vertical="center" wrapText="1"/>
    </xf>
    <xf numFmtId="49" fontId="32" fillId="5" borderId="27" xfId="0" applyNumberFormat="1" applyFont="1" applyFill="1" applyBorder="1" applyAlignment="1" applyProtection="1">
      <alignment horizontal="center" vertical="center" wrapText="1"/>
    </xf>
    <xf numFmtId="49" fontId="32" fillId="5" borderId="15" xfId="0" applyNumberFormat="1" applyFont="1" applyFill="1" applyBorder="1" applyAlignment="1" applyProtection="1">
      <alignment horizontal="center" vertical="center" wrapText="1"/>
    </xf>
    <xf numFmtId="1" fontId="22" fillId="0" borderId="11" xfId="0" applyNumberFormat="1" applyFont="1" applyFill="1" applyBorder="1" applyAlignment="1" applyProtection="1">
      <alignment horizontal="right"/>
    </xf>
    <xf numFmtId="0" fontId="39" fillId="0" borderId="0" xfId="0" applyFont="1" applyBorder="1" applyAlignment="1" applyProtection="1">
      <alignment horizontal="right"/>
    </xf>
    <xf numFmtId="1" fontId="22" fillId="0" borderId="0" xfId="0" applyNumberFormat="1" applyFont="1" applyFill="1" applyBorder="1" applyAlignment="1" applyProtection="1">
      <alignment horizontal="left"/>
    </xf>
    <xf numFmtId="49" fontId="39" fillId="16" borderId="0" xfId="0" applyNumberFormat="1" applyFont="1" applyFill="1" applyBorder="1" applyAlignment="1" applyProtection="1">
      <alignment horizontal="center" wrapText="1"/>
    </xf>
    <xf numFmtId="2" fontId="64" fillId="0" borderId="7" xfId="0" applyNumberFormat="1" applyFont="1" applyFill="1" applyBorder="1" applyAlignment="1" applyProtection="1">
      <alignment horizontal="center"/>
    </xf>
    <xf numFmtId="2" fontId="64" fillId="0" borderId="18" xfId="0" applyNumberFormat="1" applyFont="1" applyFill="1" applyBorder="1" applyAlignment="1" applyProtection="1">
      <alignment horizontal="center"/>
    </xf>
    <xf numFmtId="0" fontId="33" fillId="6" borderId="23" xfId="0" applyNumberFormat="1" applyFont="1" applyFill="1" applyBorder="1" applyAlignment="1" applyProtection="1">
      <alignment horizontal="center" vertical="center" wrapText="1"/>
    </xf>
    <xf numFmtId="0" fontId="33" fillId="6" borderId="15" xfId="0" applyNumberFormat="1" applyFont="1" applyFill="1" applyBorder="1" applyAlignment="1" applyProtection="1">
      <alignment horizontal="center" vertical="center" wrapText="1"/>
    </xf>
    <xf numFmtId="1" fontId="32" fillId="0" borderId="0" xfId="1" applyNumberFormat="1" applyFont="1" applyBorder="1" applyAlignment="1" applyProtection="1">
      <alignment horizontal="center"/>
    </xf>
    <xf numFmtId="1" fontId="92" fillId="0" borderId="6" xfId="1" applyNumberFormat="1" applyFont="1" applyBorder="1" applyAlignment="1" applyProtection="1">
      <alignment horizontal="left"/>
    </xf>
    <xf numFmtId="1" fontId="92" fillId="0" borderId="2" xfId="1" applyNumberFormat="1" applyFont="1" applyBorder="1" applyAlignment="1" applyProtection="1">
      <alignment horizontal="left"/>
    </xf>
    <xf numFmtId="1" fontId="92" fillId="0" borderId="2" xfId="1" applyNumberFormat="1" applyFont="1" applyBorder="1" applyAlignment="1" applyProtection="1">
      <alignment horizontal="right"/>
    </xf>
    <xf numFmtId="1" fontId="92" fillId="0" borderId="3" xfId="1" applyNumberFormat="1" applyFont="1" applyBorder="1" applyAlignment="1" applyProtection="1">
      <alignment horizontal="right"/>
    </xf>
    <xf numFmtId="49" fontId="32" fillId="5" borderId="23" xfId="1" applyNumberFormat="1" applyFont="1" applyFill="1" applyBorder="1" applyAlignment="1" applyProtection="1">
      <alignment horizontal="center" vertical="center" wrapText="1"/>
    </xf>
    <xf numFmtId="49" fontId="32" fillId="5" borderId="27" xfId="1" applyNumberFormat="1" applyFont="1" applyFill="1" applyBorder="1" applyAlignment="1" applyProtection="1">
      <alignment horizontal="center" vertical="center" wrapText="1"/>
    </xf>
    <xf numFmtId="49" fontId="32" fillId="5" borderId="15" xfId="1" applyNumberFormat="1" applyFont="1" applyFill="1" applyBorder="1" applyAlignment="1" applyProtection="1">
      <alignment horizontal="center" vertical="center" wrapText="1"/>
    </xf>
    <xf numFmtId="0" fontId="33" fillId="6" borderId="23" xfId="1" applyNumberFormat="1" applyFont="1" applyFill="1" applyBorder="1" applyAlignment="1" applyProtection="1">
      <alignment horizontal="center" vertical="center" wrapText="1"/>
    </xf>
    <xf numFmtId="0" fontId="33" fillId="6" borderId="15" xfId="1" applyNumberFormat="1" applyFont="1" applyFill="1" applyBorder="1" applyAlignment="1" applyProtection="1">
      <alignment horizontal="center" vertical="center" wrapText="1"/>
    </xf>
    <xf numFmtId="1" fontId="22" fillId="0" borderId="0" xfId="1" applyNumberFormat="1" applyFont="1" applyBorder="1" applyAlignment="1" applyProtection="1">
      <alignment horizontal="right"/>
    </xf>
    <xf numFmtId="2" fontId="64" fillId="0" borderId="7" xfId="1" applyNumberFormat="1" applyFont="1" applyFill="1" applyBorder="1" applyAlignment="1" applyProtection="1">
      <alignment horizontal="center"/>
    </xf>
    <xf numFmtId="2" fontId="64" fillId="0" borderId="18" xfId="1" applyNumberFormat="1" applyFont="1" applyFill="1" applyBorder="1" applyAlignment="1" applyProtection="1">
      <alignment horizontal="center"/>
    </xf>
    <xf numFmtId="49" fontId="39" fillId="16" borderId="0" xfId="1" applyNumberFormat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right"/>
    </xf>
    <xf numFmtId="1" fontId="22" fillId="0" borderId="0" xfId="1" applyNumberFormat="1" applyFont="1" applyBorder="1" applyAlignment="1" applyProtection="1">
      <alignment horizontal="left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/>
    </xf>
    <xf numFmtId="1" fontId="88" fillId="0" borderId="6" xfId="0" applyNumberFormat="1" applyFont="1" applyFill="1" applyBorder="1" applyAlignment="1" applyProtection="1">
      <alignment horizontal="left"/>
    </xf>
    <xf numFmtId="1" fontId="88" fillId="0" borderId="2" xfId="0" applyNumberFormat="1" applyFont="1" applyFill="1" applyBorder="1" applyAlignment="1" applyProtection="1">
      <alignment horizontal="left"/>
    </xf>
    <xf numFmtId="1" fontId="88" fillId="0" borderId="2" xfId="0" applyNumberFormat="1" applyFont="1" applyFill="1" applyBorder="1" applyAlignment="1" applyProtection="1">
      <alignment horizontal="right"/>
    </xf>
    <xf numFmtId="1" fontId="88" fillId="0" borderId="3" xfId="0" applyNumberFormat="1" applyFont="1" applyFill="1" applyBorder="1" applyAlignment="1" applyProtection="1">
      <alignment horizontal="right"/>
    </xf>
    <xf numFmtId="2" fontId="38" fillId="0" borderId="7" xfId="0" applyNumberFormat="1" applyFont="1" applyFill="1" applyBorder="1" applyAlignment="1" applyProtection="1">
      <alignment horizontal="center" vertical="center"/>
    </xf>
    <xf numFmtId="2" fontId="38" fillId="0" borderId="18" xfId="0" applyNumberFormat="1" applyFont="1" applyFill="1" applyBorder="1" applyAlignment="1" applyProtection="1">
      <alignment horizontal="center" vertical="center"/>
    </xf>
  </cellXfs>
  <cellStyles count="3">
    <cellStyle name="Normal 2" xfId="2" xr:uid="{00000000-0005-0000-0000-000001000000}"/>
    <cellStyle name="Normal 3" xfId="1" xr:uid="{00000000-0005-0000-0000-000002000000}"/>
    <cellStyle name="Standard" xfId="0" builtinId="0"/>
  </cellStyles>
  <dxfs count="266">
    <dxf>
      <font>
        <color theme="0" tint="-0.499984740745262"/>
      </font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C0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b/>
        <i val="0"/>
        <color rgb="FFC00000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0" tint="-4.9989318521683403E-2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00000"/>
      </font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color theme="0" tint="-0.499984740745262"/>
      </font>
      <fill>
        <patternFill>
          <bgColor theme="0" tint="-0.3499862666707357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FF"/>
      <color rgb="FFFF3300"/>
      <color rgb="FF00FFFF"/>
      <color rgb="FF66CCFF"/>
      <color rgb="FF99CCFF"/>
      <color rgb="FFFFFFCC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27214</xdr:colOff>
      <xdr:row>59</xdr:row>
      <xdr:rowOff>204110</xdr:rowOff>
    </xdr:from>
    <xdr:to>
      <xdr:col>130</xdr:col>
      <xdr:colOff>40821</xdr:colOff>
      <xdr:row>60</xdr:row>
      <xdr:rowOff>583815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3075217"/>
          <a:ext cx="12994821" cy="624634"/>
        </a:xfrm>
        <a:prstGeom prst="rect">
          <a:avLst/>
        </a:prstGeom>
      </xdr:spPr>
    </xdr:pic>
    <xdr:clientData/>
  </xdr:twoCellAnchor>
  <xdr:twoCellAnchor editAs="oneCell">
    <xdr:from>
      <xdr:col>1</xdr:col>
      <xdr:colOff>40820</xdr:colOff>
      <xdr:row>22</xdr:row>
      <xdr:rowOff>353786</xdr:rowOff>
    </xdr:from>
    <xdr:to>
      <xdr:col>3</xdr:col>
      <xdr:colOff>2100888</xdr:colOff>
      <xdr:row>48</xdr:row>
      <xdr:rowOff>408215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7" y="775607"/>
          <a:ext cx="4713461" cy="2000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50</xdr:row>
      <xdr:rowOff>98655</xdr:rowOff>
    </xdr:from>
    <xdr:to>
      <xdr:col>73</xdr:col>
      <xdr:colOff>0</xdr:colOff>
      <xdr:row>55</xdr:row>
      <xdr:rowOff>176892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14" y="2806476"/>
          <a:ext cx="12981215" cy="554487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21</xdr:row>
      <xdr:rowOff>258535</xdr:rowOff>
    </xdr:from>
    <xdr:to>
      <xdr:col>3</xdr:col>
      <xdr:colOff>1850571</xdr:colOff>
      <xdr:row>47</xdr:row>
      <xdr:rowOff>86989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557892"/>
          <a:ext cx="4204607" cy="18967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27214</xdr:colOff>
      <xdr:row>59</xdr:row>
      <xdr:rowOff>190500</xdr:rowOff>
    </xdr:from>
    <xdr:to>
      <xdr:col>84</xdr:col>
      <xdr:colOff>0</xdr:colOff>
      <xdr:row>62</xdr:row>
      <xdr:rowOff>68160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1" y="3333750"/>
          <a:ext cx="13443858" cy="6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32</xdr:row>
      <xdr:rowOff>54430</xdr:rowOff>
    </xdr:from>
    <xdr:to>
      <xdr:col>3</xdr:col>
      <xdr:colOff>2381251</xdr:colOff>
      <xdr:row>58</xdr:row>
      <xdr:rowOff>317749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653144"/>
          <a:ext cx="5116286" cy="2576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0</xdr:colOff>
      <xdr:row>49</xdr:row>
      <xdr:rowOff>219884</xdr:rowOff>
    </xdr:from>
    <xdr:to>
      <xdr:col>77</xdr:col>
      <xdr:colOff>0</xdr:colOff>
      <xdr:row>76</xdr:row>
      <xdr:rowOff>285750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1393" y="3322313"/>
          <a:ext cx="14450786" cy="610151"/>
        </a:xfrm>
        <a:prstGeom prst="rect">
          <a:avLst/>
        </a:prstGeom>
      </xdr:spPr>
    </xdr:pic>
    <xdr:clientData/>
  </xdr:twoCellAnchor>
  <xdr:twoCellAnchor editAs="oneCell">
    <xdr:from>
      <xdr:col>1</xdr:col>
      <xdr:colOff>199158</xdr:colOff>
      <xdr:row>20</xdr:row>
      <xdr:rowOff>299357</xdr:rowOff>
    </xdr:from>
    <xdr:to>
      <xdr:col>3</xdr:col>
      <xdr:colOff>2939544</xdr:colOff>
      <xdr:row>49</xdr:row>
      <xdr:rowOff>176892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015" y="299357"/>
          <a:ext cx="6128565" cy="2979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0</xdr:colOff>
      <xdr:row>87</xdr:row>
      <xdr:rowOff>176893</xdr:rowOff>
    </xdr:from>
    <xdr:to>
      <xdr:col>69</xdr:col>
      <xdr:colOff>560293</xdr:colOff>
      <xdr:row>88</xdr:row>
      <xdr:rowOff>486718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2857" y="23649214"/>
          <a:ext cx="6694714" cy="571561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53</xdr:row>
      <xdr:rowOff>172091</xdr:rowOff>
    </xdr:from>
    <xdr:to>
      <xdr:col>3</xdr:col>
      <xdr:colOff>1311088</xdr:colOff>
      <xdr:row>88</xdr:row>
      <xdr:rowOff>670287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70" y="172091"/>
          <a:ext cx="3104830" cy="3120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U140"/>
  <sheetViews>
    <sheetView tabSelected="1" topLeftCell="A21" zoomScale="50" zoomScaleNormal="50" workbookViewId="0">
      <selection activeCell="BI147" sqref="BI147"/>
    </sheetView>
  </sheetViews>
  <sheetFormatPr baseColWidth="10" defaultColWidth="9.140625" defaultRowHeight="15.75" x14ac:dyDescent="0.25"/>
  <cols>
    <col min="1" max="1" width="6" style="14" customWidth="1"/>
    <col min="2" max="2" width="39.7109375" style="11" customWidth="1"/>
    <col min="3" max="3" width="34.42578125" style="11" hidden="1" customWidth="1"/>
    <col min="4" max="4" width="34.42578125" style="13" customWidth="1"/>
    <col min="5" max="5" width="15" style="13" hidden="1" customWidth="1"/>
    <col min="6" max="6" width="31.7109375" style="13" hidden="1" customWidth="1"/>
    <col min="7" max="7" width="8.85546875" style="13" hidden="1" customWidth="1"/>
    <col min="8" max="20" width="11.42578125" style="14" hidden="1" customWidth="1"/>
    <col min="21" max="21" width="15.85546875" style="14" hidden="1" customWidth="1"/>
    <col min="22" max="22" width="13.28515625" style="14" hidden="1" customWidth="1"/>
    <col min="23" max="23" width="42" style="14" hidden="1" customWidth="1"/>
    <col min="24" max="24" width="33.85546875" style="14" hidden="1" customWidth="1"/>
    <col min="25" max="25" width="12.42578125" style="14" hidden="1" customWidth="1"/>
    <col min="26" max="26" width="14.28515625" style="14" hidden="1" customWidth="1"/>
    <col min="27" max="27" width="15.5703125" style="14" hidden="1" customWidth="1"/>
    <col min="28" max="28" width="21.5703125" style="14" hidden="1" customWidth="1"/>
    <col min="29" max="29" width="14.28515625" style="14" hidden="1" customWidth="1"/>
    <col min="30" max="30" width="15.5703125" style="14" hidden="1" customWidth="1"/>
    <col min="31" max="31" width="18.85546875" style="14" hidden="1" customWidth="1"/>
    <col min="32" max="32" width="29.7109375" style="14" hidden="1" customWidth="1"/>
    <col min="33" max="33" width="15.5703125" style="14" hidden="1" customWidth="1"/>
    <col min="34" max="34" width="16.28515625" style="14" hidden="1" customWidth="1"/>
    <col min="35" max="35" width="15.5703125" style="14" hidden="1" customWidth="1"/>
    <col min="36" max="37" width="16.28515625" style="14" hidden="1" customWidth="1"/>
    <col min="38" max="38" width="10.28515625" style="14" hidden="1" customWidth="1"/>
    <col min="39" max="39" width="9" style="14" hidden="1" customWidth="1"/>
    <col min="40" max="40" width="9.5703125" style="14" hidden="1" customWidth="1"/>
    <col min="41" max="41" width="8.85546875" style="14" hidden="1" customWidth="1"/>
    <col min="42" max="42" width="17.7109375" style="14" hidden="1" customWidth="1"/>
    <col min="43" max="43" width="17.42578125" style="14" hidden="1" customWidth="1"/>
    <col min="44" max="44" width="11.85546875" style="14" hidden="1" customWidth="1"/>
    <col min="45" max="45" width="14.85546875" style="14" hidden="1" customWidth="1"/>
    <col min="46" max="46" width="4.42578125" style="14" hidden="1" customWidth="1"/>
    <col min="47" max="47" width="6.42578125" style="14" hidden="1" customWidth="1"/>
    <col min="48" max="48" width="46.28515625" style="14" hidden="1" customWidth="1"/>
    <col min="49" max="49" width="16.28515625" style="14" hidden="1" customWidth="1"/>
    <col min="50" max="51" width="15.5703125" style="14" hidden="1" customWidth="1"/>
    <col min="52" max="52" width="8.7109375" style="14" hidden="1" customWidth="1"/>
    <col min="53" max="53" width="38.85546875" style="14" hidden="1" customWidth="1"/>
    <col min="54" max="54" width="8.85546875" style="14" hidden="1" customWidth="1"/>
    <col min="55" max="55" width="14.5703125" style="14" hidden="1" customWidth="1"/>
    <col min="56" max="56" width="3" style="14" hidden="1" customWidth="1"/>
    <col min="57" max="57" width="27.85546875" style="14" customWidth="1"/>
    <col min="58" max="58" width="7.140625" style="14" hidden="1" customWidth="1"/>
    <col min="59" max="76" width="10.7109375" style="14" customWidth="1"/>
    <col min="77" max="81" width="12" style="14" hidden="1" customWidth="1"/>
    <col min="82" max="84" width="7.140625" style="14" hidden="1" customWidth="1"/>
    <col min="85" max="85" width="7.7109375" style="14" hidden="1" customWidth="1"/>
    <col min="86" max="86" width="16" style="14" hidden="1" customWidth="1"/>
    <col min="87" max="87" width="41" style="14" hidden="1" customWidth="1"/>
    <col min="88" max="88" width="18" style="14" hidden="1" customWidth="1"/>
    <col min="89" max="89" width="11.42578125" style="14" hidden="1" customWidth="1"/>
    <col min="90" max="96" width="0" style="14" hidden="1" customWidth="1"/>
    <col min="97" max="97" width="41" style="14" hidden="1" customWidth="1"/>
    <col min="98" max="98" width="0" style="14" hidden="1" customWidth="1"/>
    <col min="99" max="99" width="11.42578125" style="14" hidden="1" customWidth="1"/>
    <col min="100" max="130" width="0" style="14" hidden="1" customWidth="1"/>
    <col min="131" max="16384" width="9.140625" style="14"/>
  </cols>
  <sheetData>
    <row r="1" spans="2:7" ht="18" hidden="1" x14ac:dyDescent="0.25">
      <c r="D1" s="12" t="s">
        <v>71</v>
      </c>
      <c r="E1" s="12" t="s">
        <v>72</v>
      </c>
      <c r="F1" s="12" t="s">
        <v>73</v>
      </c>
    </row>
    <row r="2" spans="2:7" ht="20.25" hidden="1" x14ac:dyDescent="0.3">
      <c r="B2" s="15" t="s">
        <v>23</v>
      </c>
      <c r="C2" s="345">
        <v>510</v>
      </c>
      <c r="D2" s="343">
        <f>+COS(($B$64*-1)*3.14159265358979/180)*C2</f>
        <v>510</v>
      </c>
      <c r="E2" s="344">
        <f>+COS(($B$64*-1)*3.14159265358979/180)*30</f>
        <v>30</v>
      </c>
      <c r="F2" s="346">
        <f>+COS((($B$64*-1)+28.5565949)*3.14159265358979/180)*45.5553</f>
        <v>40.013286477395795</v>
      </c>
    </row>
    <row r="3" spans="2:7" ht="20.25" hidden="1" x14ac:dyDescent="0.3">
      <c r="B3" s="15" t="s">
        <v>107</v>
      </c>
      <c r="C3" s="348">
        <f>+C15-43.1868</f>
        <v>148.24604037864418</v>
      </c>
      <c r="D3" s="16">
        <f>+C15-F2</f>
        <v>151.41955390124838</v>
      </c>
    </row>
    <row r="4" spans="2:7" ht="54.75" hidden="1" x14ac:dyDescent="0.3">
      <c r="B4" s="409" t="s">
        <v>75</v>
      </c>
      <c r="C4" s="410"/>
      <c r="D4" s="411"/>
    </row>
    <row r="5" spans="2:7" ht="36.75" hidden="1" x14ac:dyDescent="0.3">
      <c r="B5" s="409" t="s">
        <v>76</v>
      </c>
      <c r="C5" s="410"/>
      <c r="D5" s="411"/>
    </row>
    <row r="6" spans="2:7" s="20" customFormat="1" ht="18" hidden="1" x14ac:dyDescent="0.25">
      <c r="B6" s="18"/>
      <c r="C6" s="19"/>
      <c r="D6" s="13"/>
      <c r="E6" s="13"/>
      <c r="F6" s="13"/>
      <c r="G6" s="13"/>
    </row>
    <row r="7" spans="2:7" ht="18" hidden="1" x14ac:dyDescent="0.25">
      <c r="B7" s="398"/>
      <c r="C7" s="349">
        <v>5800</v>
      </c>
      <c r="D7" s="349">
        <v>10000</v>
      </c>
      <c r="E7" s="350"/>
    </row>
    <row r="8" spans="2:7" ht="18.75" hidden="1" thickBot="1" x14ac:dyDescent="0.3">
      <c r="B8" s="398"/>
      <c r="C8" s="351">
        <v>8000</v>
      </c>
      <c r="D8" s="351">
        <v>8000</v>
      </c>
      <c r="E8" s="349">
        <v>8000</v>
      </c>
    </row>
    <row r="9" spans="2:7" ht="18" hidden="1" x14ac:dyDescent="0.25">
      <c r="B9" s="406"/>
      <c r="C9" s="407" t="s">
        <v>18</v>
      </c>
      <c r="D9" s="407" t="s">
        <v>19</v>
      </c>
      <c r="E9" s="350"/>
    </row>
    <row r="10" spans="2:7" ht="18.75" hidden="1" thickBot="1" x14ac:dyDescent="0.3">
      <c r="B10" s="406" t="s">
        <v>16</v>
      </c>
      <c r="C10" s="408" t="e">
        <f>+((C13-C15)/C13)*C12</f>
        <v>#DIV/0!</v>
      </c>
      <c r="D10" s="408" t="e">
        <f>+(C15/C13)*C12</f>
        <v>#DIV/0!</v>
      </c>
      <c r="E10" s="350"/>
    </row>
    <row r="11" spans="2:7" s="20" customFormat="1" ht="18" hidden="1" x14ac:dyDescent="0.25">
      <c r="B11" s="18"/>
      <c r="C11" s="19"/>
      <c r="D11" s="13"/>
      <c r="E11" s="13"/>
      <c r="F11" s="13"/>
      <c r="G11" s="13"/>
    </row>
    <row r="12" spans="2:7" ht="18" hidden="1" x14ac:dyDescent="0.25">
      <c r="B12" s="21" t="s">
        <v>45</v>
      </c>
      <c r="C12" s="22">
        <f>+(B68*12.2)+3.3+5</f>
        <v>20.5</v>
      </c>
    </row>
    <row r="13" spans="2:7" ht="18" hidden="1" x14ac:dyDescent="0.25">
      <c r="B13" s="23" t="s">
        <v>46</v>
      </c>
      <c r="C13" s="347"/>
    </row>
    <row r="14" spans="2:7" ht="18" hidden="1" x14ac:dyDescent="0.25">
      <c r="B14" s="24">
        <f>+B68</f>
        <v>1</v>
      </c>
      <c r="C14" s="25">
        <f>IF(B14&lt;=24,B14)</f>
        <v>1</v>
      </c>
    </row>
    <row r="15" spans="2:7" ht="18" hidden="1" x14ac:dyDescent="0.25">
      <c r="B15" s="23" t="s">
        <v>47</v>
      </c>
      <c r="C15" s="21">
        <f>+X66</f>
        <v>191.43284037864419</v>
      </c>
    </row>
    <row r="16" spans="2:7" ht="18" hidden="1" x14ac:dyDescent="0.25">
      <c r="B16" s="18"/>
      <c r="C16" s="19"/>
    </row>
    <row r="17" spans="2:88" ht="18" hidden="1" x14ac:dyDescent="0.25">
      <c r="B17" s="18"/>
      <c r="C17" s="19"/>
    </row>
    <row r="18" spans="2:88" ht="18" hidden="1" x14ac:dyDescent="0.25">
      <c r="B18" s="18"/>
      <c r="C18" s="19"/>
    </row>
    <row r="19" spans="2:88" ht="25.5" hidden="1" x14ac:dyDescent="0.35">
      <c r="AR19" s="324"/>
      <c r="AS19" s="324"/>
      <c r="AT19" s="49"/>
      <c r="AU19" s="49"/>
      <c r="AV19" s="49"/>
      <c r="AW19" s="49"/>
      <c r="CG19" s="55"/>
      <c r="CH19" s="47"/>
      <c r="CI19" s="47"/>
      <c r="CJ19" s="47"/>
    </row>
    <row r="20" spans="2:88" ht="25.5" hidden="1" x14ac:dyDescent="0.35">
      <c r="AT20" s="49"/>
      <c r="AU20" s="49"/>
      <c r="AV20" s="49"/>
      <c r="AW20" s="49"/>
      <c r="BB20" s="50"/>
      <c r="CG20" s="56"/>
      <c r="CH20" s="47"/>
      <c r="CI20" s="47"/>
      <c r="CJ20" s="47"/>
    </row>
    <row r="21" spans="2:88" ht="26.25" customHeight="1" thickBot="1" x14ac:dyDescent="0.35">
      <c r="BF21" s="42"/>
      <c r="BG21" s="46"/>
      <c r="BH21" s="44" t="s">
        <v>22</v>
      </c>
      <c r="BI21" s="702">
        <f>+C12</f>
        <v>20.5</v>
      </c>
      <c r="BJ21" s="702"/>
      <c r="BK21" s="45" t="s">
        <v>16</v>
      </c>
      <c r="BL21" s="45"/>
      <c r="BM21" s="394" t="s">
        <v>106</v>
      </c>
      <c r="BN21" s="46"/>
      <c r="BO21" s="46"/>
      <c r="BP21" s="46"/>
      <c r="BQ21" s="46"/>
      <c r="BR21" s="46"/>
      <c r="BS21" s="46"/>
      <c r="BT21" s="47"/>
      <c r="BU21" s="47"/>
      <c r="BV21" s="47"/>
      <c r="BW21" s="47"/>
      <c r="BX21" s="47"/>
      <c r="BY21" s="47"/>
      <c r="CG21" s="58"/>
      <c r="CH21" s="47"/>
      <c r="CI21" s="47"/>
      <c r="CJ21" s="47"/>
    </row>
    <row r="22" spans="2:88" ht="12.75" hidden="1" customHeight="1" thickBot="1" x14ac:dyDescent="0.4">
      <c r="BC22" s="52"/>
      <c r="BD22" s="4"/>
      <c r="BE22" s="59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1"/>
      <c r="BT22" s="62"/>
      <c r="BU22" s="62"/>
      <c r="BV22" s="62"/>
      <c r="BW22" s="62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47"/>
      <c r="CI22" s="47"/>
      <c r="CJ22" s="47"/>
    </row>
    <row r="23" spans="2:88" ht="39.75" customHeight="1" x14ac:dyDescent="0.3">
      <c r="BB23" s="50"/>
      <c r="BE23" s="326" t="s">
        <v>24</v>
      </c>
      <c r="BF23" s="699"/>
      <c r="BG23" s="381" t="s">
        <v>25</v>
      </c>
      <c r="BH23" s="382"/>
      <c r="BI23" s="383"/>
      <c r="BJ23" s="383"/>
      <c r="BK23" s="383"/>
      <c r="BL23" s="383"/>
      <c r="BM23" s="383"/>
      <c r="BN23" s="384"/>
      <c r="BO23" s="385"/>
      <c r="BP23" s="386"/>
      <c r="BQ23" s="386"/>
      <c r="BR23" s="387"/>
      <c r="BS23" s="387"/>
      <c r="BT23" s="387"/>
      <c r="BU23" s="387"/>
      <c r="BV23" s="51"/>
      <c r="BW23" s="382"/>
      <c r="BX23" s="388" t="s">
        <v>26</v>
      </c>
      <c r="BY23" s="46"/>
      <c r="BZ23" s="46"/>
      <c r="CA23" s="46"/>
      <c r="CB23" s="105"/>
      <c r="CD23" s="86"/>
      <c r="CE23" s="86"/>
      <c r="CF23" s="86"/>
      <c r="CG23" s="55"/>
      <c r="CH23" s="47"/>
      <c r="CI23" s="47"/>
      <c r="CJ23" s="47"/>
    </row>
    <row r="24" spans="2:88" ht="39.75" customHeight="1" thickBot="1" x14ac:dyDescent="0.4">
      <c r="BE24" s="327"/>
      <c r="BF24" s="700"/>
      <c r="BG24" s="697">
        <f>+((D2-D3)/D2)*C12</f>
        <v>14.413527735341978</v>
      </c>
      <c r="BH24" s="698"/>
      <c r="BI24" s="389"/>
      <c r="BJ24" s="389"/>
      <c r="BK24" s="389"/>
      <c r="BL24" s="389"/>
      <c r="BM24" s="389"/>
      <c r="BN24" s="390"/>
      <c r="BO24" s="391"/>
      <c r="BP24" s="392"/>
      <c r="BQ24" s="392"/>
      <c r="BR24" s="393"/>
      <c r="BS24" s="393"/>
      <c r="BT24" s="393"/>
      <c r="BU24" s="393"/>
      <c r="BV24" s="57"/>
      <c r="BW24" s="695">
        <f>+(D3/D2)*C12</f>
        <v>6.0864722646580232</v>
      </c>
      <c r="BX24" s="696"/>
      <c r="BY24" s="46"/>
      <c r="BZ24" s="46"/>
      <c r="CA24" s="46"/>
      <c r="CB24" s="105"/>
      <c r="CD24" s="86"/>
      <c r="CE24" s="86"/>
      <c r="CF24" s="86"/>
      <c r="CG24" s="55"/>
      <c r="CH24" s="47"/>
      <c r="CI24" s="47"/>
      <c r="CJ24" s="47"/>
    </row>
    <row r="25" spans="2:88" ht="20.25" hidden="1" x14ac:dyDescent="0.3">
      <c r="BE25" s="59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59"/>
      <c r="BQ25" s="60"/>
      <c r="BR25" s="60"/>
      <c r="BS25" s="61"/>
      <c r="BT25" s="62"/>
      <c r="BU25" s="62"/>
      <c r="BV25" s="62"/>
      <c r="BW25" s="62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47"/>
      <c r="CI25" s="47"/>
      <c r="CJ25" s="47"/>
    </row>
    <row r="26" spans="2:88" ht="25.5" hidden="1" customHeight="1" x14ac:dyDescent="0.25"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Q26" s="76"/>
      <c r="AR26" s="77"/>
      <c r="AS26" s="77"/>
      <c r="AT26" s="74"/>
      <c r="AU26" s="74"/>
      <c r="AV26" s="74"/>
      <c r="AW26" s="74"/>
      <c r="BF26" s="379"/>
      <c r="BG26" s="379">
        <v>1</v>
      </c>
      <c r="BH26" s="379">
        <v>2</v>
      </c>
      <c r="BI26" s="379">
        <v>3</v>
      </c>
      <c r="BJ26" s="379">
        <v>4</v>
      </c>
      <c r="BK26" s="379">
        <v>5</v>
      </c>
      <c r="BL26" s="379">
        <v>6</v>
      </c>
      <c r="BM26" s="380"/>
      <c r="BN26" s="380"/>
      <c r="BO26" s="379">
        <v>7</v>
      </c>
      <c r="BP26" s="379">
        <v>8</v>
      </c>
      <c r="BQ26" s="379">
        <v>9</v>
      </c>
      <c r="BR26" s="379">
        <v>10</v>
      </c>
      <c r="BS26" s="379">
        <v>11</v>
      </c>
      <c r="BT26" s="379">
        <v>12</v>
      </c>
      <c r="BU26" s="379">
        <v>13</v>
      </c>
      <c r="BV26" s="379">
        <v>14</v>
      </c>
      <c r="BW26" s="379">
        <v>15</v>
      </c>
      <c r="BX26" s="379">
        <v>16</v>
      </c>
      <c r="BY26" s="656"/>
      <c r="BZ26" s="656"/>
      <c r="CA26" s="656"/>
      <c r="CB26" s="656"/>
      <c r="CC26" s="379"/>
    </row>
    <row r="27" spans="2:88" ht="21" hidden="1" thickBot="1" x14ac:dyDescent="0.35"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Q27" s="76"/>
      <c r="AR27" s="77"/>
      <c r="AS27" s="77"/>
      <c r="AT27" s="74"/>
      <c r="AU27" s="74"/>
      <c r="AV27" s="74"/>
      <c r="AW27" s="74"/>
      <c r="BE27" s="85"/>
      <c r="BF27" s="90"/>
      <c r="BG27" s="87"/>
      <c r="BH27" s="87"/>
      <c r="BI27" s="87"/>
      <c r="BJ27" s="87"/>
      <c r="BK27" s="87"/>
      <c r="BL27" s="87"/>
      <c r="BM27" s="87"/>
      <c r="BN27" s="61"/>
      <c r="BO27" s="60"/>
      <c r="BR27" s="55"/>
      <c r="BU27" s="55"/>
      <c r="BV27" s="70" t="b">
        <f>IF(BW46=17,14)</f>
        <v>0</v>
      </c>
      <c r="BW27" s="55"/>
      <c r="BX27" s="72" t="b">
        <f>IF(BW46=17,16)</f>
        <v>0</v>
      </c>
      <c r="BY27" s="55"/>
      <c r="CB27" s="86"/>
      <c r="CD27" s="86"/>
      <c r="CE27" s="86"/>
      <c r="CF27" s="86"/>
      <c r="CG27" s="86"/>
      <c r="CH27" s="86"/>
      <c r="CI27" s="86"/>
      <c r="CJ27" s="86"/>
    </row>
    <row r="28" spans="2:88" ht="21" hidden="1" thickBot="1" x14ac:dyDescent="0.35"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Q28" s="76"/>
      <c r="AR28" s="77"/>
      <c r="AS28" s="77"/>
      <c r="AT28" s="74"/>
      <c r="AU28" s="74"/>
      <c r="AV28" s="74"/>
      <c r="AW28" s="74"/>
      <c r="BE28" s="85"/>
      <c r="BF28" s="90"/>
      <c r="BG28" s="87"/>
      <c r="BH28" s="87"/>
      <c r="BI28" s="87"/>
      <c r="BJ28" s="87"/>
      <c r="BK28" s="87"/>
      <c r="BL28" s="87"/>
      <c r="BM28" s="87"/>
      <c r="BN28" s="61"/>
      <c r="BP28" s="88"/>
      <c r="BQ28" s="88"/>
      <c r="BR28" s="55"/>
      <c r="BS28" s="55"/>
      <c r="BT28" s="68" t="b">
        <f>IF(BV46=16,12)</f>
        <v>0</v>
      </c>
      <c r="BV28" s="655"/>
      <c r="BX28" s="63" t="b">
        <f>IF(BV46=16,16)</f>
        <v>0</v>
      </c>
      <c r="BY28" s="55"/>
      <c r="BZ28" s="55"/>
      <c r="CA28" s="55"/>
      <c r="CB28" s="86"/>
      <c r="CD28" s="86"/>
      <c r="CE28" s="86"/>
      <c r="CF28" s="86"/>
      <c r="CG28" s="86"/>
      <c r="CH28" s="86"/>
      <c r="CI28" s="86"/>
      <c r="CJ28" s="86"/>
    </row>
    <row r="29" spans="2:88" ht="21" hidden="1" thickBot="1" x14ac:dyDescent="0.35"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Q29" s="76"/>
      <c r="AR29" s="77"/>
      <c r="AS29" s="77"/>
      <c r="AT29" s="74"/>
      <c r="AU29" s="74"/>
      <c r="AV29" s="74"/>
      <c r="AW29" s="74"/>
      <c r="BE29" s="85"/>
      <c r="BF29" s="90"/>
      <c r="BG29" s="87"/>
      <c r="BH29" s="87"/>
      <c r="BI29" s="87"/>
      <c r="BJ29" s="87"/>
      <c r="BK29" s="87"/>
      <c r="BL29" s="87"/>
      <c r="BN29" s="61"/>
      <c r="BO29" s="60"/>
      <c r="BP29" s="88"/>
      <c r="BQ29" s="88"/>
      <c r="BR29" s="68" t="b">
        <f>IF(BU46=15,10)</f>
        <v>0</v>
      </c>
      <c r="BT29" s="91"/>
      <c r="BU29" s="655"/>
      <c r="BV29" s="91"/>
      <c r="BX29" s="63" t="b">
        <f>IF(BU46=15,16)</f>
        <v>0</v>
      </c>
      <c r="BY29" s="55"/>
      <c r="BZ29" s="55"/>
      <c r="CA29" s="55"/>
      <c r="CB29" s="86"/>
      <c r="CD29" s="86"/>
      <c r="CE29" s="86"/>
      <c r="CF29" s="86"/>
      <c r="CG29" s="86"/>
      <c r="CH29" s="86"/>
      <c r="CI29" s="86"/>
      <c r="CJ29" s="86"/>
    </row>
    <row r="30" spans="2:88" ht="21" hidden="1" thickBot="1" x14ac:dyDescent="0.35"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Q30" s="76"/>
      <c r="AR30" s="77"/>
      <c r="AS30" s="77"/>
      <c r="AT30" s="74"/>
      <c r="AU30" s="74"/>
      <c r="AV30" s="74"/>
      <c r="AW30" s="74"/>
      <c r="BE30" s="85"/>
      <c r="BF30" s="90"/>
      <c r="BG30" s="87"/>
      <c r="BH30" s="87"/>
      <c r="BI30" s="87"/>
      <c r="BJ30" s="87"/>
      <c r="BL30" s="87"/>
      <c r="BM30" s="87"/>
      <c r="BN30" s="61"/>
      <c r="BP30" s="68" t="b">
        <f>IF(BT46=14,8)</f>
        <v>0</v>
      </c>
      <c r="BR30" s="652"/>
      <c r="BS30" s="653"/>
      <c r="BT30" s="654"/>
      <c r="BU30" s="653"/>
      <c r="BV30" s="653"/>
      <c r="BX30" s="72" t="b">
        <f>IF(BT46=14,16)</f>
        <v>0</v>
      </c>
      <c r="BY30" s="55"/>
      <c r="BZ30" s="55"/>
      <c r="CA30" s="55"/>
      <c r="CB30" s="86"/>
      <c r="CD30" s="86"/>
      <c r="CE30" s="86"/>
      <c r="CF30" s="86"/>
      <c r="CG30" s="86"/>
      <c r="CH30" s="86"/>
      <c r="CI30" s="86"/>
      <c r="CJ30" s="86"/>
    </row>
    <row r="31" spans="2:88" ht="21" hidden="1" thickBot="1" x14ac:dyDescent="0.35">
      <c r="D31" s="9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Q31" s="76"/>
      <c r="AR31" s="77"/>
      <c r="AS31" s="77"/>
      <c r="AT31" s="74"/>
      <c r="AU31" s="74"/>
      <c r="AV31" s="74"/>
      <c r="AW31" s="74"/>
      <c r="BE31" s="85"/>
      <c r="BF31" s="90"/>
      <c r="BG31" s="86"/>
      <c r="BH31" s="85"/>
      <c r="BJ31" s="85"/>
      <c r="BK31" s="85"/>
      <c r="BL31" s="85"/>
      <c r="BM31" s="85"/>
      <c r="BN31" s="85"/>
      <c r="BO31" s="68" t="b">
        <f>IF(BS46=13,7)</f>
        <v>0</v>
      </c>
      <c r="BP31" s="93"/>
      <c r="BQ31" s="93"/>
      <c r="BR31" s="69"/>
      <c r="BS31" s="646"/>
      <c r="BT31" s="69"/>
      <c r="BU31" s="69"/>
      <c r="BV31" s="66"/>
      <c r="BW31" s="63" t="b">
        <f>IF(BS46=13,15)</f>
        <v>0</v>
      </c>
      <c r="BY31" s="47"/>
      <c r="BZ31" s="47"/>
      <c r="CA31" s="47"/>
      <c r="CB31" s="47"/>
      <c r="CD31" s="47"/>
      <c r="CE31" s="47"/>
      <c r="CF31" s="47"/>
      <c r="CG31" s="47"/>
      <c r="CH31" s="47"/>
      <c r="CI31" s="47"/>
    </row>
    <row r="32" spans="2:88" ht="21" hidden="1" thickBot="1" x14ac:dyDescent="0.35">
      <c r="D32" s="9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Q32" s="76"/>
      <c r="AR32" s="77"/>
      <c r="AS32" s="77"/>
      <c r="AT32" s="74"/>
      <c r="AU32" s="74"/>
      <c r="AV32" s="74"/>
      <c r="AW32" s="74"/>
      <c r="BE32" s="85"/>
      <c r="BF32" s="90"/>
      <c r="BH32" s="85"/>
      <c r="BI32" s="85"/>
      <c r="BJ32" s="85"/>
      <c r="BK32" s="85"/>
      <c r="BL32" s="68" t="b">
        <f>IF(BR46=12,6)</f>
        <v>0</v>
      </c>
      <c r="BN32" s="93"/>
      <c r="BO32" s="93"/>
      <c r="BP32" s="69"/>
      <c r="BQ32" s="93"/>
      <c r="BR32" s="646"/>
      <c r="BS32" s="93"/>
      <c r="BT32" s="69"/>
      <c r="BU32" s="69"/>
      <c r="BV32" s="66"/>
      <c r="BX32" s="63" t="b">
        <f>IF(BR46=12,16)</f>
        <v>0</v>
      </c>
      <c r="BY32" s="47"/>
      <c r="BZ32" s="47"/>
      <c r="CA32" s="47"/>
      <c r="CB32" s="47"/>
      <c r="CD32" s="47"/>
      <c r="CE32" s="47"/>
      <c r="CF32" s="47"/>
      <c r="CG32" s="47"/>
      <c r="CH32" s="47"/>
      <c r="CI32" s="47"/>
    </row>
    <row r="33" spans="2:87" ht="21" hidden="1" thickBot="1" x14ac:dyDescent="0.35">
      <c r="D33" s="9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Q33" s="76"/>
      <c r="AR33" s="77"/>
      <c r="AS33" s="77"/>
      <c r="AT33" s="74"/>
      <c r="AU33" s="74"/>
      <c r="AV33" s="74"/>
      <c r="AW33" s="74"/>
      <c r="BE33" s="85"/>
      <c r="BF33" s="90"/>
      <c r="BH33" s="85"/>
      <c r="BI33" s="85"/>
      <c r="BJ33" s="68" t="b">
        <f>IF(BQ46=11,4)</f>
        <v>0</v>
      </c>
      <c r="BL33" s="93"/>
      <c r="BM33" s="93"/>
      <c r="BN33" s="69"/>
      <c r="BO33" s="93"/>
      <c r="BP33" s="69"/>
      <c r="BQ33" s="651"/>
      <c r="BR33" s="69"/>
      <c r="BS33" s="93"/>
      <c r="BT33" s="69"/>
      <c r="BU33" s="69"/>
      <c r="BV33" s="66"/>
      <c r="BX33" s="63" t="b">
        <f>IF(BQ46=11,16)</f>
        <v>0</v>
      </c>
      <c r="BY33" s="47"/>
      <c r="CB33" s="47"/>
      <c r="CC33" s="47"/>
      <c r="CD33" s="47"/>
      <c r="CE33" s="47"/>
      <c r="CF33" s="47"/>
      <c r="CG33" s="47"/>
      <c r="CH33" s="47"/>
      <c r="CI33" s="47"/>
    </row>
    <row r="34" spans="2:87" ht="21" hidden="1" thickBot="1" x14ac:dyDescent="0.35">
      <c r="D34" s="9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Q34" s="76"/>
      <c r="AR34" s="77"/>
      <c r="AS34" s="77"/>
      <c r="AT34" s="74"/>
      <c r="AU34" s="74"/>
      <c r="AV34" s="74"/>
      <c r="AW34" s="74"/>
      <c r="BE34" s="85"/>
      <c r="BF34" s="90"/>
      <c r="BH34" s="68" t="b">
        <f>IF(BP46=10,2)</f>
        <v>0</v>
      </c>
      <c r="BJ34" s="93"/>
      <c r="BK34" s="93"/>
      <c r="BL34" s="69"/>
      <c r="BM34" s="69"/>
      <c r="BN34" s="69"/>
      <c r="BO34" s="93"/>
      <c r="BP34" s="646"/>
      <c r="BQ34" s="93"/>
      <c r="BR34" s="69"/>
      <c r="BS34" s="93"/>
      <c r="BT34" s="69"/>
      <c r="BU34" s="69"/>
      <c r="BV34" s="66"/>
      <c r="BX34" s="63" t="b">
        <f>IF(BP46=10,16)</f>
        <v>0</v>
      </c>
      <c r="BZ34" s="47"/>
      <c r="CA34" s="47"/>
      <c r="CB34" s="47"/>
      <c r="CC34" s="47"/>
      <c r="CD34" s="47"/>
      <c r="CE34" s="47"/>
      <c r="CF34" s="47"/>
      <c r="CG34" s="47"/>
      <c r="CH34" s="47"/>
      <c r="CI34" s="47"/>
    </row>
    <row r="35" spans="2:87" ht="21" hidden="1" thickBot="1" x14ac:dyDescent="0.35">
      <c r="B35" s="95"/>
      <c r="C35" s="95"/>
      <c r="D35" s="9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Q35" s="76"/>
      <c r="AR35" s="77"/>
      <c r="AS35" s="77"/>
      <c r="AT35" s="74"/>
      <c r="AU35" s="74"/>
      <c r="AV35" s="74"/>
      <c r="AW35" s="74"/>
      <c r="BE35" s="85"/>
      <c r="BF35" s="90"/>
      <c r="BG35" s="68" t="b">
        <f>IF(BO46=9,1)</f>
        <v>0</v>
      </c>
      <c r="BH35" s="93"/>
      <c r="BI35" s="93"/>
      <c r="BJ35" s="69"/>
      <c r="BK35" s="93"/>
      <c r="BL35" s="93"/>
      <c r="BM35" s="93"/>
      <c r="BN35" s="93"/>
      <c r="BO35" s="646"/>
      <c r="BP35" s="93"/>
      <c r="BQ35" s="93"/>
      <c r="BR35" s="93"/>
      <c r="BS35" s="93"/>
      <c r="BT35" s="69"/>
      <c r="BU35" s="69"/>
      <c r="BV35" s="66"/>
      <c r="BW35" s="63" t="b">
        <f>IF(BO46=9,15)</f>
        <v>0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</row>
    <row r="36" spans="2:87" ht="21" hidden="1" thickBot="1" x14ac:dyDescent="0.35">
      <c r="B36" s="95"/>
      <c r="C36" s="95"/>
      <c r="D36" s="9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Q36" s="76"/>
      <c r="AR36" s="77"/>
      <c r="AS36" s="77"/>
      <c r="AT36" s="74"/>
      <c r="AU36" s="74"/>
      <c r="AV36" s="74"/>
      <c r="AW36" s="74"/>
      <c r="BE36" s="85"/>
      <c r="BF36" s="90"/>
      <c r="BG36" s="70" t="b">
        <f>IF(BN46=8,1)</f>
        <v>0</v>
      </c>
      <c r="BI36" s="94"/>
      <c r="BJ36" s="94"/>
      <c r="BK36" s="94"/>
      <c r="BL36" s="94"/>
      <c r="BM36" s="94"/>
      <c r="BN36" s="648"/>
      <c r="BO36" s="94"/>
      <c r="BP36" s="94"/>
      <c r="BQ36" s="94"/>
      <c r="BR36" s="94"/>
      <c r="BS36" s="94"/>
      <c r="BT36" s="71"/>
      <c r="BU36" s="72" t="b">
        <f>IF(BN46=8,13)</f>
        <v>0</v>
      </c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</row>
    <row r="37" spans="2:87" ht="21" hidden="1" thickBot="1" x14ac:dyDescent="0.35"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Q37" s="76"/>
      <c r="AR37" s="77"/>
      <c r="AS37" s="77"/>
      <c r="AT37" s="74"/>
      <c r="AU37" s="74"/>
      <c r="AV37" s="74"/>
      <c r="AW37" s="74"/>
      <c r="BE37" s="85"/>
      <c r="BF37" s="90"/>
      <c r="BG37" s="70" t="b">
        <f>IF(BM46=7,1)</f>
        <v>0</v>
      </c>
      <c r="BH37" s="94"/>
      <c r="BI37" s="94"/>
      <c r="BK37" s="94"/>
      <c r="BL37" s="94"/>
      <c r="BM37" s="647"/>
      <c r="BN37" s="94"/>
      <c r="BO37" s="94"/>
      <c r="BQ37" s="94"/>
      <c r="BR37" s="94"/>
      <c r="BS37" s="72" t="b">
        <f>IF(BM46=7,11)</f>
        <v>0</v>
      </c>
      <c r="BT37" s="86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</row>
    <row r="38" spans="2:87" ht="21" hidden="1" thickBot="1" x14ac:dyDescent="0.35"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Q38" s="76"/>
      <c r="AR38" s="77"/>
      <c r="AS38" s="77"/>
      <c r="AT38" s="74"/>
      <c r="AU38" s="74"/>
      <c r="AV38" s="74"/>
      <c r="AW38" s="74"/>
      <c r="BE38" s="85"/>
      <c r="BF38" s="90"/>
      <c r="BG38" s="70">
        <f>IF(BL46=6,1)</f>
        <v>1</v>
      </c>
      <c r="BI38" s="94"/>
      <c r="BJ38" s="94"/>
      <c r="BK38" s="94"/>
      <c r="BL38" s="647"/>
      <c r="BM38" s="94"/>
      <c r="BN38" s="94"/>
      <c r="BO38" s="94"/>
      <c r="BQ38" s="72">
        <f>IF(BL46=6,9)</f>
        <v>9</v>
      </c>
      <c r="BR38" s="85"/>
      <c r="BS38" s="85"/>
      <c r="BT38" s="86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</row>
    <row r="39" spans="2:87" ht="21" hidden="1" thickBot="1" x14ac:dyDescent="0.35"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Q39" s="76"/>
      <c r="AR39" s="77"/>
      <c r="AS39" s="77"/>
      <c r="AT39" s="74"/>
      <c r="AU39" s="74"/>
      <c r="AV39" s="74"/>
      <c r="AW39" s="74"/>
      <c r="BE39" s="85"/>
      <c r="BF39" s="90"/>
      <c r="BG39" s="68" t="b">
        <f>IF(BK46=5,1)</f>
        <v>0</v>
      </c>
      <c r="BH39" s="93"/>
      <c r="BI39" s="93"/>
      <c r="BJ39" s="69"/>
      <c r="BK39" s="646"/>
      <c r="BL39" s="69"/>
      <c r="BM39" s="93"/>
      <c r="BN39" s="93"/>
      <c r="BO39" s="63" t="b">
        <f>IF(BK46=5,7)</f>
        <v>0</v>
      </c>
      <c r="BP39" s="85"/>
      <c r="BQ39" s="85"/>
      <c r="BR39" s="85"/>
      <c r="BS39" s="85"/>
      <c r="BT39" s="86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</row>
    <row r="40" spans="2:87" ht="21" hidden="1" thickBot="1" x14ac:dyDescent="0.35">
      <c r="B40" s="95"/>
      <c r="C40" s="95"/>
      <c r="D40" s="92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Q40" s="76"/>
      <c r="AR40" s="77"/>
      <c r="AS40" s="77"/>
      <c r="AT40" s="74"/>
      <c r="AU40" s="74"/>
      <c r="AV40" s="74"/>
      <c r="AW40" s="74"/>
      <c r="BE40" s="85"/>
      <c r="BF40" s="90"/>
      <c r="BH40" s="68" t="b">
        <f>IF(BJ46=4,2)</f>
        <v>0</v>
      </c>
      <c r="BI40" s="69"/>
      <c r="BJ40" s="646"/>
      <c r="BK40" s="69"/>
      <c r="BL40" s="63" t="b">
        <f>IF(BJ46=4,6)</f>
        <v>0</v>
      </c>
      <c r="BN40" s="85"/>
      <c r="BO40" s="85"/>
      <c r="BP40" s="85"/>
      <c r="BQ40" s="85"/>
      <c r="BR40" s="85"/>
      <c r="BS40" s="85"/>
      <c r="BT40" s="86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</row>
    <row r="41" spans="2:87" ht="21" hidden="1" thickBot="1" x14ac:dyDescent="0.35">
      <c r="B41" s="95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Q41" s="76"/>
      <c r="AR41" s="77"/>
      <c r="AS41" s="77"/>
      <c r="AT41" s="74"/>
      <c r="AU41" s="74"/>
      <c r="AV41" s="74"/>
      <c r="AW41" s="74"/>
      <c r="BE41" s="85"/>
      <c r="BF41" s="90"/>
      <c r="BG41" s="70" t="b">
        <f>IF(BI46=3,1)</f>
        <v>0</v>
      </c>
      <c r="BH41" s="94"/>
      <c r="BI41" s="647"/>
      <c r="BJ41" s="94"/>
      <c r="BK41" s="72" t="b">
        <f>IF(BI46=3,5)</f>
        <v>0</v>
      </c>
      <c r="BL41" s="85"/>
      <c r="BM41" s="85"/>
      <c r="BN41" s="85"/>
      <c r="BO41" s="85"/>
      <c r="BP41" s="85"/>
      <c r="BQ41" s="85"/>
      <c r="BR41" s="85"/>
      <c r="BS41" s="85"/>
      <c r="BT41" s="86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</row>
    <row r="42" spans="2:87" ht="21" hidden="1" thickBot="1" x14ac:dyDescent="0.35"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Q42" s="76"/>
      <c r="AR42" s="77"/>
      <c r="AS42" s="77"/>
      <c r="AT42" s="74"/>
      <c r="AU42" s="74"/>
      <c r="AV42" s="74"/>
      <c r="AW42" s="74"/>
      <c r="BE42" s="85"/>
      <c r="BF42" s="90"/>
      <c r="BG42" s="70" t="b">
        <f>IF(BH46=2,1)</f>
        <v>0</v>
      </c>
      <c r="BH42" s="94"/>
      <c r="BI42" s="72" t="b">
        <f>IF(BH46=2,3)</f>
        <v>0</v>
      </c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6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</row>
    <row r="43" spans="2:87" ht="21" thickBot="1" x14ac:dyDescent="0.35"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Q43" s="76"/>
      <c r="AR43" s="77"/>
      <c r="AS43" s="77"/>
      <c r="AT43" s="74"/>
      <c r="AU43" s="74"/>
      <c r="AV43" s="74"/>
      <c r="AW43" s="74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6"/>
      <c r="BR43" s="64"/>
      <c r="BS43" s="64"/>
      <c r="BT43" s="64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</row>
    <row r="44" spans="2:87" ht="39.75" customHeight="1" thickBot="1" x14ac:dyDescent="0.4">
      <c r="G44" s="11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Q44" s="76"/>
      <c r="AS44" s="77"/>
      <c r="AT44" s="74"/>
      <c r="AU44" s="74"/>
      <c r="AV44" s="74"/>
      <c r="AW44" s="74"/>
      <c r="AX44" s="74"/>
      <c r="AZ44" s="74"/>
      <c r="BA44" s="74"/>
      <c r="BB44" s="74"/>
      <c r="BE44" s="467" t="s">
        <v>92</v>
      </c>
      <c r="BF44" s="47"/>
      <c r="BG44" s="81">
        <f t="shared" ref="BG44:BX44" si="0">SUM(BG27:BG43)</f>
        <v>1</v>
      </c>
      <c r="BH44" s="82">
        <f t="shared" si="0"/>
        <v>0</v>
      </c>
      <c r="BI44" s="82">
        <f t="shared" si="0"/>
        <v>0</v>
      </c>
      <c r="BJ44" s="82">
        <f t="shared" si="0"/>
        <v>0</v>
      </c>
      <c r="BK44" s="82">
        <f t="shared" si="0"/>
        <v>0</v>
      </c>
      <c r="BL44" s="82">
        <f t="shared" si="0"/>
        <v>0</v>
      </c>
      <c r="BM44" s="82">
        <f t="shared" si="0"/>
        <v>0</v>
      </c>
      <c r="BN44" s="82">
        <f t="shared" si="0"/>
        <v>0</v>
      </c>
      <c r="BO44" s="82">
        <f t="shared" si="0"/>
        <v>0</v>
      </c>
      <c r="BP44" s="82">
        <f t="shared" si="0"/>
        <v>0</v>
      </c>
      <c r="BQ44" s="82">
        <f t="shared" si="0"/>
        <v>9</v>
      </c>
      <c r="BR44" s="82">
        <f t="shared" si="0"/>
        <v>0</v>
      </c>
      <c r="BS44" s="82">
        <f t="shared" si="0"/>
        <v>0</v>
      </c>
      <c r="BT44" s="82">
        <f t="shared" si="0"/>
        <v>0</v>
      </c>
      <c r="BU44" s="82">
        <f t="shared" si="0"/>
        <v>0</v>
      </c>
      <c r="BV44" s="82">
        <f t="shared" si="0"/>
        <v>0</v>
      </c>
      <c r="BW44" s="82">
        <f t="shared" si="0"/>
        <v>0</v>
      </c>
      <c r="BX44" s="83">
        <f t="shared" si="0"/>
        <v>0</v>
      </c>
      <c r="BY44" s="84"/>
      <c r="BZ44" s="84"/>
      <c r="CA44" s="84"/>
      <c r="CB44" s="84"/>
      <c r="CC44" s="84"/>
      <c r="CD44" s="47"/>
      <c r="CE44" s="47"/>
      <c r="CF44" s="47"/>
      <c r="CG44" s="47"/>
      <c r="CH44" s="47"/>
      <c r="CI44" s="47"/>
    </row>
    <row r="45" spans="2:87" ht="33.75" hidden="1" customHeight="1" x14ac:dyDescent="0.3"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Q45" s="76"/>
      <c r="AR45" s="96"/>
      <c r="AS45" s="77"/>
      <c r="AT45" s="74"/>
      <c r="AU45" s="74"/>
      <c r="AV45" s="74"/>
      <c r="AW45" s="74"/>
      <c r="AX45" s="74"/>
      <c r="AY45" s="74"/>
      <c r="AZ45" s="74"/>
      <c r="BA45" s="74"/>
      <c r="BE45" s="97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</row>
    <row r="46" spans="2:87" ht="20.25" hidden="1" x14ac:dyDescent="0.3"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Q46" s="76"/>
      <c r="AR46" s="96"/>
      <c r="AS46" s="77"/>
      <c r="AT46" s="74"/>
      <c r="AU46" s="74"/>
      <c r="AV46" s="74"/>
      <c r="AW46" s="74"/>
      <c r="AX46" s="74"/>
      <c r="AY46" s="74"/>
      <c r="AZ46" s="74"/>
      <c r="BA46" s="74"/>
      <c r="BB46" s="74"/>
      <c r="BE46" s="45"/>
      <c r="BF46" s="47"/>
      <c r="BG46" s="98" t="b">
        <f>+AZ94</f>
        <v>0</v>
      </c>
      <c r="BH46" s="98" t="b">
        <f>+AZ95</f>
        <v>0</v>
      </c>
      <c r="BI46" s="98" t="b">
        <f>+AZ96</f>
        <v>0</v>
      </c>
      <c r="BJ46" s="98" t="b">
        <f>+AZ97</f>
        <v>0</v>
      </c>
      <c r="BK46" s="98" t="b">
        <f>+AZ98</f>
        <v>0</v>
      </c>
      <c r="BL46" s="98">
        <f>+AZ99</f>
        <v>6</v>
      </c>
      <c r="BM46" s="377" t="b">
        <f>+AZ100</f>
        <v>0</v>
      </c>
      <c r="BN46" s="377" t="b">
        <f>+AZ101</f>
        <v>0</v>
      </c>
      <c r="BO46" s="98" t="b">
        <f>+AZ102</f>
        <v>0</v>
      </c>
      <c r="BP46" s="98" t="b">
        <f>+AZ103</f>
        <v>0</v>
      </c>
      <c r="BQ46" s="98" t="b">
        <f>+AZ104</f>
        <v>0</v>
      </c>
      <c r="BR46" s="98" t="b">
        <f>+AZ105</f>
        <v>0</v>
      </c>
      <c r="BS46" s="98" t="b">
        <f>+AZ106</f>
        <v>0</v>
      </c>
      <c r="BT46" s="98" t="b">
        <f>+AZ107</f>
        <v>0</v>
      </c>
      <c r="BU46" s="98" t="b">
        <f>+AZ108</f>
        <v>0</v>
      </c>
      <c r="BV46" s="98" t="b">
        <f>+AZ109</f>
        <v>0</v>
      </c>
      <c r="BW46" s="98" t="b">
        <f>+AZ110</f>
        <v>0</v>
      </c>
      <c r="BX46" s="649" t="b">
        <f>+AZ111</f>
        <v>0</v>
      </c>
      <c r="BY46" s="99"/>
      <c r="BZ46" s="99"/>
      <c r="CA46" s="99"/>
      <c r="CB46" s="99"/>
      <c r="CC46" s="99"/>
      <c r="CD46" s="47"/>
      <c r="CE46" s="47"/>
      <c r="CF46" s="47"/>
      <c r="CG46" s="47"/>
      <c r="CH46" s="47"/>
      <c r="CI46" s="47"/>
    </row>
    <row r="47" spans="2:87" ht="20.25" hidden="1" x14ac:dyDescent="0.3"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Q47" s="76"/>
      <c r="AR47" s="96"/>
      <c r="AS47" s="77"/>
      <c r="AT47" s="74"/>
      <c r="AU47" s="74"/>
      <c r="AV47" s="74"/>
      <c r="AW47" s="74"/>
      <c r="AX47" s="74"/>
      <c r="AY47" s="74"/>
      <c r="AZ47" s="74"/>
      <c r="BA47" s="74"/>
      <c r="BB47" s="74"/>
      <c r="BE47" s="46"/>
      <c r="BF47" s="99"/>
      <c r="BG47" s="99" t="b">
        <f>+BG46</f>
        <v>0</v>
      </c>
      <c r="BH47" s="99" t="b">
        <f>+BH46</f>
        <v>0</v>
      </c>
      <c r="BI47" s="99" t="b">
        <f>+BI46</f>
        <v>0</v>
      </c>
      <c r="BJ47" s="99" t="b">
        <f>+BJ46</f>
        <v>0</v>
      </c>
      <c r="BK47" s="99" t="b">
        <f>+BK46</f>
        <v>0</v>
      </c>
      <c r="BL47" s="99">
        <f t="shared" ref="BL47:BN47" si="1">+BL46</f>
        <v>6</v>
      </c>
      <c r="BM47" s="378" t="b">
        <f t="shared" si="1"/>
        <v>0</v>
      </c>
      <c r="BN47" s="378" t="b">
        <f t="shared" si="1"/>
        <v>0</v>
      </c>
      <c r="BO47" s="99" t="b">
        <f>+BO46</f>
        <v>0</v>
      </c>
      <c r="BP47" s="99" t="b">
        <f>+BP46</f>
        <v>0</v>
      </c>
      <c r="BQ47" s="99" t="b">
        <f t="shared" ref="BQ47:BX47" si="2">+BQ46</f>
        <v>0</v>
      </c>
      <c r="BR47" s="99" t="b">
        <f t="shared" si="2"/>
        <v>0</v>
      </c>
      <c r="BS47" s="99" t="b">
        <f t="shared" si="2"/>
        <v>0</v>
      </c>
      <c r="BT47" s="99" t="b">
        <f t="shared" si="2"/>
        <v>0</v>
      </c>
      <c r="BU47" s="99" t="b">
        <f t="shared" si="2"/>
        <v>0</v>
      </c>
      <c r="BV47" s="99" t="b">
        <f t="shared" si="2"/>
        <v>0</v>
      </c>
      <c r="BW47" s="99" t="b">
        <f t="shared" si="2"/>
        <v>0</v>
      </c>
      <c r="BX47" s="99" t="b">
        <f t="shared" si="2"/>
        <v>0</v>
      </c>
      <c r="BY47" s="99"/>
      <c r="BZ47" s="99"/>
      <c r="CA47" s="99"/>
      <c r="CB47" s="99"/>
      <c r="CC47" s="99"/>
      <c r="CD47" s="47"/>
      <c r="CE47" s="47"/>
      <c r="CF47" s="47"/>
      <c r="CG47" s="47"/>
      <c r="CH47" s="47"/>
      <c r="CI47" s="47"/>
    </row>
    <row r="48" spans="2:87" ht="12.75" customHeight="1" thickBot="1" x14ac:dyDescent="0.35"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Q48" s="76"/>
      <c r="AR48" s="96"/>
      <c r="AS48" s="77"/>
      <c r="AT48" s="74"/>
      <c r="AU48" s="74"/>
      <c r="AV48" s="74"/>
      <c r="AW48" s="74"/>
      <c r="AX48" s="74"/>
      <c r="AY48" s="74"/>
      <c r="AZ48" s="74"/>
      <c r="BA48" s="74"/>
      <c r="BB48" s="74"/>
      <c r="BE48" s="46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47"/>
      <c r="CI48" s="47"/>
    </row>
    <row r="49" spans="2:87" ht="39.75" customHeight="1" thickBot="1" x14ac:dyDescent="0.4"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Q49" s="76"/>
      <c r="AS49" s="77"/>
      <c r="AT49" s="74"/>
      <c r="AU49" s="74"/>
      <c r="AV49" s="74"/>
      <c r="AW49" s="74"/>
      <c r="AX49" s="74"/>
      <c r="AY49" s="74"/>
      <c r="AZ49" s="74"/>
      <c r="BA49" s="74"/>
      <c r="BB49" s="74"/>
      <c r="BE49" s="100" t="s">
        <v>80</v>
      </c>
      <c r="BF49" s="14" t="str">
        <f>IF(BF47=11,"7","")</f>
        <v/>
      </c>
      <c r="BG49" s="464" t="str">
        <f>IF(BG47=1,"1","")</f>
        <v/>
      </c>
      <c r="BH49" s="465" t="str">
        <f>IF(BH47=2,"2","")</f>
        <v/>
      </c>
      <c r="BI49" s="465" t="str">
        <f>IF(BI47=3,"3","")</f>
        <v/>
      </c>
      <c r="BJ49" s="465" t="str">
        <f>IF(BJ47=4,"4","")</f>
        <v/>
      </c>
      <c r="BK49" s="465" t="str">
        <f>IF(BK47=5,"5","")</f>
        <v/>
      </c>
      <c r="BL49" s="465" t="str">
        <f>IF(BL47=6,"6","")</f>
        <v>6</v>
      </c>
      <c r="BM49" s="465" t="str">
        <f>IF(BM47=7,"X","")</f>
        <v/>
      </c>
      <c r="BN49" s="465" t="str">
        <f>IF(BN47=8,"X","")</f>
        <v/>
      </c>
      <c r="BO49" s="465" t="str">
        <f>IF(BO47=9,"7","")</f>
        <v/>
      </c>
      <c r="BP49" s="465" t="str">
        <f>IF(BP47=10,"8","")</f>
        <v/>
      </c>
      <c r="BQ49" s="465" t="str">
        <f>IF(BQ47=11,"9","")</f>
        <v/>
      </c>
      <c r="BR49" s="465" t="str">
        <f>IF(BR47=12,"10","")</f>
        <v/>
      </c>
      <c r="BS49" s="465" t="str">
        <f>IF(BS47=13,"11","")</f>
        <v/>
      </c>
      <c r="BT49" s="465" t="str">
        <f>IF(BT47=14,"12","")</f>
        <v/>
      </c>
      <c r="BU49" s="465" t="str">
        <f>IF(BU47=15,"13","")</f>
        <v/>
      </c>
      <c r="BV49" s="465" t="str">
        <f>IF(BV47=16,"14","")</f>
        <v/>
      </c>
      <c r="BW49" s="465" t="str">
        <f>IF(BW47=17,"15","")</f>
        <v/>
      </c>
      <c r="BX49" s="466" t="str">
        <f>IF(BX47=18,"16","")</f>
        <v/>
      </c>
      <c r="BY49" s="650"/>
      <c r="BZ49" s="650"/>
      <c r="CA49" s="650"/>
      <c r="CB49" s="650"/>
      <c r="CC49" s="650"/>
      <c r="CH49" s="47"/>
      <c r="CI49" s="47"/>
    </row>
    <row r="50" spans="2:87" ht="20.25" hidden="1" x14ac:dyDescent="0.3"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Q50" s="76"/>
      <c r="AS50" s="77"/>
      <c r="AT50" s="74"/>
      <c r="AU50" s="74"/>
      <c r="AV50" s="74"/>
      <c r="AW50" s="74"/>
      <c r="AX50" s="74"/>
      <c r="AY50" s="74"/>
      <c r="AZ50" s="74"/>
      <c r="BA50" s="74"/>
      <c r="CH50" s="47"/>
      <c r="CI50" s="47"/>
    </row>
    <row r="51" spans="2:87" ht="20.25" hidden="1" x14ac:dyDescent="0.3"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Q51" s="76"/>
      <c r="AR51" s="77"/>
      <c r="AS51" s="77"/>
      <c r="AT51" s="74"/>
      <c r="AU51" s="74"/>
      <c r="AV51" s="74"/>
      <c r="AW51" s="74"/>
      <c r="AX51" s="74"/>
      <c r="AY51" s="74"/>
      <c r="AZ51" s="74"/>
      <c r="BA51" s="74"/>
      <c r="BB51" s="74"/>
      <c r="CH51" s="47"/>
      <c r="CI51" s="47"/>
    </row>
    <row r="52" spans="2:87" ht="20.25" hidden="1" x14ac:dyDescent="0.3"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Q52" s="76"/>
      <c r="AR52" s="77"/>
      <c r="AS52" s="77"/>
      <c r="AT52" s="74"/>
      <c r="AU52" s="74"/>
      <c r="AV52" s="74"/>
      <c r="AW52" s="74"/>
      <c r="CH52" s="47"/>
      <c r="CI52" s="47"/>
    </row>
    <row r="53" spans="2:87" ht="20.25" hidden="1" x14ac:dyDescent="0.3"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Q53" s="76"/>
      <c r="AR53" s="77"/>
      <c r="AS53" s="77"/>
      <c r="AT53" s="74"/>
      <c r="AU53" s="74"/>
      <c r="AV53" s="74"/>
      <c r="AW53" s="74"/>
      <c r="CH53" s="47"/>
      <c r="CI53" s="47"/>
    </row>
    <row r="54" spans="2:87" ht="157.5" hidden="1" customHeight="1" x14ac:dyDescent="0.3"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Q54" s="76"/>
      <c r="AR54" s="77"/>
      <c r="AS54" s="77"/>
      <c r="AT54" s="74"/>
      <c r="AU54" s="74"/>
      <c r="AV54" s="74"/>
      <c r="AW54" s="74"/>
      <c r="BE54" s="78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47"/>
      <c r="CH54" s="47"/>
      <c r="CI54" s="47"/>
    </row>
    <row r="55" spans="2:87" ht="20.25" hidden="1" x14ac:dyDescent="0.3"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Q55" s="76"/>
      <c r="AR55" s="77"/>
      <c r="AS55" s="77"/>
      <c r="AT55" s="74"/>
      <c r="AU55" s="74"/>
      <c r="AV55" s="74"/>
      <c r="AW55" s="74"/>
      <c r="CH55" s="47"/>
      <c r="CI55" s="47"/>
    </row>
    <row r="56" spans="2:87" ht="33.75" hidden="1" customHeight="1" x14ac:dyDescent="0.3"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Q56" s="76"/>
      <c r="AR56" s="77"/>
      <c r="AS56" s="77"/>
      <c r="AT56" s="74"/>
      <c r="AU56" s="74"/>
      <c r="AV56" s="74"/>
      <c r="AW56" s="74"/>
      <c r="CH56" s="47"/>
      <c r="CI56" s="47"/>
    </row>
    <row r="57" spans="2:87" ht="25.5" hidden="1" x14ac:dyDescent="0.35"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2"/>
      <c r="AT57" s="74"/>
      <c r="AU57" s="74"/>
      <c r="AV57" s="74"/>
      <c r="AW57" s="74"/>
      <c r="AX57" s="74"/>
      <c r="AY57" s="74"/>
      <c r="AZ57" s="74"/>
      <c r="BA57" s="74"/>
      <c r="BB57" s="74"/>
    </row>
    <row r="58" spans="2:87" ht="30" hidden="1" x14ac:dyDescent="0.3">
      <c r="D58" s="103"/>
      <c r="E58" s="103"/>
      <c r="F58" s="103"/>
      <c r="G58" s="103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T58" s="74"/>
      <c r="AU58" s="74"/>
      <c r="AV58" s="74"/>
      <c r="AW58" s="74"/>
      <c r="AX58" s="74"/>
      <c r="AY58" s="74"/>
      <c r="AZ58" s="74"/>
      <c r="BA58" s="74"/>
      <c r="BB58" s="74"/>
      <c r="CH58" s="47"/>
      <c r="CI58" s="47"/>
    </row>
    <row r="59" spans="2:87" hidden="1" x14ac:dyDescent="0.25">
      <c r="D59" s="103"/>
      <c r="E59" s="103"/>
      <c r="F59" s="103"/>
      <c r="G59" s="103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5"/>
      <c r="AQ59" s="76"/>
      <c r="AR59" s="77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M59" s="107"/>
      <c r="BN59" s="107"/>
      <c r="BO59" s="105"/>
    </row>
    <row r="60" spans="2:87" ht="18.75" thickBot="1" x14ac:dyDescent="0.3">
      <c r="D60" s="103"/>
      <c r="E60" s="103"/>
      <c r="F60" s="103"/>
      <c r="G60" s="103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5"/>
      <c r="AQ60" s="76"/>
      <c r="AR60" s="77"/>
      <c r="AS60" s="77"/>
      <c r="AT60" s="74"/>
      <c r="AU60" s="74"/>
      <c r="AV60" s="74"/>
      <c r="AW60" s="74"/>
      <c r="AX60" s="74"/>
      <c r="AY60" s="74"/>
      <c r="BA60" s="108" t="s">
        <v>49</v>
      </c>
      <c r="BB60" s="74"/>
      <c r="BC60" s="109"/>
      <c r="BD60" s="74"/>
      <c r="BM60" s="107"/>
      <c r="BN60" s="107"/>
      <c r="BO60" s="105"/>
      <c r="BW60" s="110"/>
      <c r="CI60" s="108" t="s">
        <v>48</v>
      </c>
    </row>
    <row r="61" spans="2:87" ht="50.25" customHeight="1" x14ac:dyDescent="0.35">
      <c r="B61" s="708" t="s">
        <v>101</v>
      </c>
      <c r="C61" s="112"/>
      <c r="D61" s="706" t="str">
        <f>IF(BA61&gt;0," ","change the angle of frame")</f>
        <v xml:space="preserve"> </v>
      </c>
      <c r="E61" s="113"/>
      <c r="F61" s="113"/>
      <c r="G61" s="113"/>
      <c r="H61" s="114"/>
      <c r="I61" s="114"/>
      <c r="J61" s="114"/>
      <c r="K61" s="114"/>
      <c r="L61" s="114"/>
      <c r="M61" s="114"/>
      <c r="N61" s="114"/>
      <c r="O61" s="114"/>
      <c r="P61" s="114"/>
      <c r="T61" s="333" t="s">
        <v>102</v>
      </c>
      <c r="U61" s="328"/>
      <c r="V61" s="328"/>
      <c r="W61" s="328"/>
      <c r="X61" s="334" t="s">
        <v>126</v>
      </c>
      <c r="Y61" s="114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4"/>
      <c r="AQ61" s="115"/>
      <c r="AR61" s="115"/>
      <c r="AS61" s="116"/>
      <c r="AT61" s="74"/>
      <c r="AU61" s="74"/>
      <c r="AV61" s="74"/>
      <c r="AW61" s="74"/>
      <c r="AX61" s="74"/>
      <c r="AY61" s="74"/>
      <c r="AZ61" s="117"/>
      <c r="BA61" s="108">
        <f>-+AW94</f>
        <v>151.41955390124838</v>
      </c>
      <c r="BB61" s="74"/>
      <c r="BC61" s="109"/>
      <c r="BD61" s="74"/>
      <c r="BM61" s="107"/>
      <c r="BN61" s="107"/>
      <c r="BO61" s="105"/>
      <c r="BU61" s="117"/>
      <c r="BW61" s="110"/>
      <c r="CI61" s="108">
        <f>+-AW111</f>
        <v>-358.58044609875162</v>
      </c>
    </row>
    <row r="62" spans="2:87" ht="50.25" customHeight="1" thickBot="1" x14ac:dyDescent="0.35">
      <c r="B62" s="709"/>
      <c r="C62" s="31"/>
      <c r="D62" s="707"/>
      <c r="E62" s="113"/>
      <c r="F62" s="113"/>
      <c r="G62" s="113"/>
      <c r="H62" s="114"/>
      <c r="I62" s="114"/>
      <c r="J62" s="114"/>
      <c r="K62" s="114"/>
      <c r="L62" s="114"/>
      <c r="M62" s="114"/>
      <c r="N62" s="114"/>
      <c r="O62" s="114"/>
      <c r="P62" s="114"/>
      <c r="T62" s="359" t="s">
        <v>85</v>
      </c>
      <c r="U62" s="330" t="s">
        <v>86</v>
      </c>
      <c r="V62" s="330" t="s">
        <v>87</v>
      </c>
      <c r="W62" s="357" t="s">
        <v>103</v>
      </c>
      <c r="X62" s="331" t="s">
        <v>89</v>
      </c>
      <c r="Y62" s="114"/>
      <c r="Z62" s="114"/>
      <c r="AA62" s="114"/>
      <c r="AB62" s="114"/>
      <c r="AC62" s="114"/>
      <c r="AD62" s="114"/>
      <c r="AE62" s="114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4"/>
      <c r="AQ62" s="115"/>
      <c r="AR62" s="115"/>
      <c r="AS62" s="116"/>
      <c r="BB62" s="74"/>
      <c r="BC62" s="74"/>
      <c r="BD62" s="74"/>
      <c r="BM62" s="107"/>
      <c r="BN62" s="107"/>
      <c r="BO62" s="105"/>
    </row>
    <row r="63" spans="2:87" ht="50.25" customHeight="1" thickBot="1" x14ac:dyDescent="0.35">
      <c r="B63" s="710"/>
      <c r="C63" s="31"/>
      <c r="D63" s="706" t="str">
        <f>IF(CI61&lt;0," ","change the angle of frame")</f>
        <v xml:space="preserve"> </v>
      </c>
      <c r="E63" s="113"/>
      <c r="F63" s="113"/>
      <c r="G63" s="113"/>
      <c r="H63" s="114"/>
      <c r="I63" s="114"/>
      <c r="J63" s="114"/>
      <c r="K63" s="114"/>
      <c r="L63" s="114"/>
      <c r="M63" s="114"/>
      <c r="N63" s="114"/>
      <c r="O63" s="114"/>
      <c r="P63" s="114"/>
      <c r="T63" s="359"/>
      <c r="U63" s="330"/>
      <c r="V63" s="330"/>
      <c r="W63" s="357"/>
      <c r="X63" s="340"/>
      <c r="Y63" s="114"/>
      <c r="Z63" s="114"/>
      <c r="AA63" s="114"/>
      <c r="AB63" s="114"/>
      <c r="AC63" s="114"/>
      <c r="AD63" s="114"/>
      <c r="AE63" s="114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4"/>
      <c r="AQ63" s="115"/>
      <c r="AR63" s="115"/>
      <c r="AS63" s="116"/>
      <c r="BB63" s="74"/>
      <c r="BC63" s="74"/>
      <c r="BD63" s="74"/>
      <c r="BM63" s="107"/>
      <c r="BN63" s="107"/>
      <c r="BO63" s="105"/>
    </row>
    <row r="64" spans="2:87" ht="50.25" customHeight="1" thickBot="1" x14ac:dyDescent="0.45">
      <c r="B64" s="2">
        <v>0</v>
      </c>
      <c r="C64" s="31"/>
      <c r="D64" s="707"/>
      <c r="E64" s="113"/>
      <c r="F64" s="113"/>
      <c r="G64" s="113"/>
      <c r="H64" s="114"/>
      <c r="I64" s="114"/>
      <c r="J64" s="114"/>
      <c r="K64" s="114"/>
      <c r="L64" s="114"/>
      <c r="M64" s="114"/>
      <c r="N64" s="114"/>
      <c r="O64" s="114"/>
      <c r="P64" s="114"/>
      <c r="T64" s="359"/>
      <c r="U64" s="330"/>
      <c r="V64" s="330"/>
      <c r="W64" s="357"/>
      <c r="X64" s="340"/>
      <c r="Y64" s="114"/>
      <c r="Z64" s="114"/>
      <c r="AA64" s="114"/>
      <c r="AB64" s="114"/>
      <c r="AC64" s="114"/>
      <c r="AD64" s="114"/>
      <c r="AE64" s="114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4"/>
      <c r="AQ64" s="115"/>
      <c r="AR64" s="115"/>
      <c r="AS64" s="116"/>
      <c r="BB64" s="74"/>
      <c r="BC64" s="74"/>
      <c r="BD64" s="74"/>
      <c r="BM64" s="107"/>
      <c r="BN64" s="107"/>
      <c r="BO64" s="105"/>
    </row>
    <row r="65" spans="2:84" ht="28.5" customHeight="1" thickBot="1" x14ac:dyDescent="0.35">
      <c r="B65" s="14"/>
      <c r="C65" s="14"/>
      <c r="D65" s="14"/>
      <c r="E65" s="113"/>
      <c r="F65" s="113"/>
      <c r="G65" s="113"/>
      <c r="H65" s="114"/>
      <c r="I65" s="114"/>
      <c r="J65" s="114"/>
      <c r="K65" s="114"/>
      <c r="L65" s="114"/>
      <c r="M65" s="114"/>
      <c r="N65" s="114"/>
      <c r="O65" s="114"/>
      <c r="P65" s="114"/>
      <c r="T65" s="359"/>
      <c r="U65" s="330"/>
      <c r="V65" s="330"/>
      <c r="W65" s="357"/>
      <c r="X65" s="340"/>
      <c r="Y65" s="114"/>
      <c r="Z65" s="114"/>
      <c r="AA65" s="114"/>
      <c r="AB65" s="114"/>
      <c r="AC65" s="114"/>
      <c r="AD65" s="114"/>
      <c r="AE65" s="114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4"/>
      <c r="AQ65" s="115"/>
      <c r="AR65" s="115"/>
      <c r="AS65" s="116"/>
      <c r="BB65" s="74"/>
      <c r="BC65" s="74"/>
      <c r="BD65" s="74"/>
      <c r="BM65" s="107"/>
      <c r="BN65" s="107"/>
      <c r="BO65" s="105"/>
    </row>
    <row r="66" spans="2:84" ht="45.75" customHeight="1" thickBot="1" x14ac:dyDescent="0.45">
      <c r="B66" s="703" t="s">
        <v>116</v>
      </c>
      <c r="C66" s="118"/>
      <c r="D66" s="14"/>
      <c r="E66" s="113"/>
      <c r="F66" s="113"/>
      <c r="G66" s="113"/>
      <c r="H66" s="114"/>
      <c r="I66" s="114"/>
      <c r="J66" s="114"/>
      <c r="K66" s="114"/>
      <c r="L66" s="114"/>
      <c r="M66" s="114"/>
      <c r="N66" s="114"/>
      <c r="O66" s="114"/>
      <c r="P66" s="114"/>
      <c r="T66" s="359">
        <v>3.1490949000000001</v>
      </c>
      <c r="U66" s="330">
        <f>+$B$64-T66</f>
        <v>-3.1490949000000001</v>
      </c>
      <c r="V66" s="332">
        <f>COS(U66*3.14159265358979/180)</f>
        <v>0.99848996537257584</v>
      </c>
      <c r="W66" s="358">
        <f>+V66*260.556</f>
        <v>260.16255141761684</v>
      </c>
      <c r="X66" s="356">
        <f>+((X71*AF71)+(W66*3.3))/(AF71+3.3)</f>
        <v>191.43284037864419</v>
      </c>
      <c r="Y66" s="114" t="s">
        <v>105</v>
      </c>
      <c r="Z66" s="114"/>
      <c r="AA66" s="234"/>
      <c r="AB66" s="325"/>
      <c r="AC66" s="114"/>
      <c r="AD66" s="114"/>
      <c r="AE66" s="114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4"/>
      <c r="AQ66" s="119"/>
      <c r="AR66" s="115"/>
      <c r="BB66" s="120"/>
      <c r="BC66" s="120"/>
      <c r="BD66" s="120"/>
      <c r="BM66" s="107"/>
      <c r="BN66" s="107"/>
      <c r="BO66" s="105"/>
    </row>
    <row r="67" spans="2:84" ht="45.75" customHeight="1" thickBot="1" x14ac:dyDescent="0.45">
      <c r="B67" s="704"/>
      <c r="C67" s="118"/>
      <c r="D67" s="14"/>
      <c r="E67" s="113"/>
      <c r="F67" s="113"/>
      <c r="G67" s="113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4"/>
      <c r="AQ67" s="119"/>
      <c r="AR67" s="115"/>
      <c r="BB67" s="120"/>
      <c r="BC67" s="120"/>
      <c r="BD67" s="120"/>
      <c r="BM67" s="107"/>
      <c r="BN67" s="107"/>
      <c r="BO67" s="105"/>
    </row>
    <row r="68" spans="2:84" ht="27" thickBot="1" x14ac:dyDescent="0.45">
      <c r="B68" s="9">
        <v>1</v>
      </c>
      <c r="C68" s="121"/>
      <c r="D68" s="105"/>
      <c r="E68" s="123"/>
      <c r="F68" s="124"/>
      <c r="G68" s="124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3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705" t="s">
        <v>44</v>
      </c>
      <c r="AO68" s="705"/>
      <c r="AP68" s="125"/>
      <c r="AQ68" s="105"/>
      <c r="BB68" s="120"/>
      <c r="BC68" s="120"/>
      <c r="BD68" s="120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</row>
    <row r="69" spans="2:84" ht="42" hidden="1" thickBot="1" x14ac:dyDescent="0.45">
      <c r="B69" s="129"/>
      <c r="C69" s="130"/>
      <c r="D69" s="131"/>
      <c r="F69" s="132"/>
      <c r="H69" s="133" t="s">
        <v>4</v>
      </c>
      <c r="I69" s="133" t="s">
        <v>1</v>
      </c>
      <c r="J69" s="134" t="s">
        <v>0</v>
      </c>
      <c r="K69" s="134" t="s">
        <v>2</v>
      </c>
      <c r="L69" s="134" t="s">
        <v>3</v>
      </c>
      <c r="M69" s="134" t="s">
        <v>8</v>
      </c>
      <c r="N69" s="134" t="s">
        <v>5</v>
      </c>
      <c r="O69" s="134" t="s">
        <v>6</v>
      </c>
      <c r="P69" s="134" t="s">
        <v>7</v>
      </c>
      <c r="Q69" s="134" t="s">
        <v>9</v>
      </c>
      <c r="R69" s="135" t="s">
        <v>10</v>
      </c>
      <c r="S69" s="134" t="s">
        <v>11</v>
      </c>
      <c r="T69" s="136" t="s">
        <v>12</v>
      </c>
      <c r="U69" s="137"/>
      <c r="V69" s="137"/>
      <c r="W69" s="138"/>
      <c r="X69" s="137"/>
      <c r="Y69" s="137"/>
      <c r="Z69" s="355" t="s">
        <v>90</v>
      </c>
      <c r="AA69" s="355"/>
      <c r="AB69" s="355" t="s">
        <v>90</v>
      </c>
      <c r="AC69" s="355" t="s">
        <v>90</v>
      </c>
      <c r="AD69" s="355"/>
      <c r="AE69" s="355" t="s">
        <v>90</v>
      </c>
      <c r="AF69" s="645" t="s">
        <v>104</v>
      </c>
      <c r="AG69" s="137"/>
      <c r="AH69" s="137"/>
      <c r="AI69" s="137"/>
      <c r="AJ69" s="137"/>
      <c r="AK69" s="137"/>
      <c r="AL69" s="138" t="s">
        <v>39</v>
      </c>
      <c r="AM69" s="138" t="s">
        <v>39</v>
      </c>
      <c r="AN69" s="139"/>
      <c r="AO69" s="140"/>
      <c r="AP69" s="105"/>
      <c r="AQ69" s="141"/>
      <c r="BB69" s="120"/>
      <c r="BC69" s="120"/>
      <c r="BD69" s="120"/>
      <c r="BN69" s="142"/>
      <c r="BO69" s="142"/>
      <c r="BP69" s="142"/>
      <c r="BQ69" s="142"/>
      <c r="BR69" s="142"/>
      <c r="BS69" s="142"/>
    </row>
    <row r="70" spans="2:84" ht="29.25" hidden="1" thickBot="1" x14ac:dyDescent="0.45">
      <c r="B70" s="143"/>
      <c r="C70" s="144"/>
      <c r="D70" s="446" t="s">
        <v>97</v>
      </c>
      <c r="E70" s="123"/>
      <c r="F70" s="145"/>
      <c r="H70" s="146"/>
      <c r="I70" s="147"/>
      <c r="J70" s="53"/>
      <c r="K70" s="53"/>
      <c r="L70" s="53"/>
      <c r="M70" s="53"/>
      <c r="N70" s="53"/>
      <c r="O70" s="53"/>
      <c r="P70" s="53"/>
      <c r="Q70" s="53"/>
      <c r="R70" s="148"/>
      <c r="S70" s="53"/>
      <c r="T70" s="149"/>
      <c r="U70" s="150"/>
      <c r="V70" s="150"/>
      <c r="W70" s="150"/>
      <c r="X70" s="137" t="s">
        <v>34</v>
      </c>
      <c r="Y70" s="151" t="s">
        <v>27</v>
      </c>
      <c r="Z70" s="439" t="s">
        <v>77</v>
      </c>
      <c r="AA70" s="440" t="s">
        <v>28</v>
      </c>
      <c r="AB70" s="439" t="s">
        <v>29</v>
      </c>
      <c r="AC70" s="439" t="s">
        <v>78</v>
      </c>
      <c r="AD70" s="355" t="s">
        <v>30</v>
      </c>
      <c r="AE70" s="441" t="s">
        <v>31</v>
      </c>
      <c r="AF70" s="644" t="s">
        <v>32</v>
      </c>
      <c r="AG70" s="355" t="s">
        <v>33</v>
      </c>
      <c r="AH70" s="355" t="s">
        <v>35</v>
      </c>
      <c r="AI70" s="355" t="s">
        <v>36</v>
      </c>
      <c r="AJ70" s="445" t="s">
        <v>37</v>
      </c>
      <c r="AK70" s="445" t="s">
        <v>38</v>
      </c>
      <c r="AL70" s="152" t="s">
        <v>20</v>
      </c>
      <c r="AM70" s="152" t="s">
        <v>21</v>
      </c>
      <c r="AN70" s="153" t="s">
        <v>20</v>
      </c>
      <c r="AO70" s="153" t="s">
        <v>21</v>
      </c>
      <c r="AP70" s="105"/>
      <c r="AR70" s="154"/>
      <c r="BB70" s="120"/>
      <c r="BC70" s="120"/>
      <c r="BD70" s="120"/>
    </row>
    <row r="71" spans="2:84" ht="21" hidden="1" thickBot="1" x14ac:dyDescent="0.45">
      <c r="B71" s="155">
        <v>1</v>
      </c>
      <c r="C71" s="156">
        <f>+($B$64*-1)+D71</f>
        <v>10</v>
      </c>
      <c r="D71" s="8">
        <v>10</v>
      </c>
      <c r="E71" s="360"/>
      <c r="F71" s="361"/>
      <c r="G71" s="158">
        <f>+D71</f>
        <v>10</v>
      </c>
      <c r="H71" s="159">
        <v>188.8612</v>
      </c>
      <c r="I71" s="160">
        <v>67.527957799999996</v>
      </c>
      <c r="J71" s="75">
        <f>+I71-C71</f>
        <v>57.527957799999996</v>
      </c>
      <c r="K71" s="75">
        <f t="shared" ref="K71:K90" si="3">+J71/2</f>
        <v>28.763978899999998</v>
      </c>
      <c r="L71" s="75">
        <f t="shared" ref="L71:L90" si="4">SIN(K71*3.14159265358979/180)</f>
        <v>0.48120265649386118</v>
      </c>
      <c r="M71" s="75">
        <f t="shared" ref="M71:M90" si="5">+L71*H71</f>
        <v>90.88051114861841</v>
      </c>
      <c r="N71" s="75">
        <f t="shared" ref="N71:N90" si="6">+M71*2</f>
        <v>181.76102229723682</v>
      </c>
      <c r="O71" s="75">
        <f>+C71/2</f>
        <v>5</v>
      </c>
      <c r="P71" s="75">
        <f t="shared" ref="P71:P90" si="7">SIN(O71*3.14159265358979/180)</f>
        <v>8.7155742747658083E-2</v>
      </c>
      <c r="Q71" s="75">
        <f t="shared" ref="Q71:Q90" si="8">+P71*N71</f>
        <v>15.841516900889317</v>
      </c>
      <c r="R71" s="161">
        <v>157.00049999999999</v>
      </c>
      <c r="S71" s="75">
        <f>+R71+Q71</f>
        <v>172.84201690088929</v>
      </c>
      <c r="T71" s="162">
        <f t="shared" ref="T71:T90" si="9">+S71</f>
        <v>172.84201690088929</v>
      </c>
      <c r="U71" s="51"/>
      <c r="V71" s="163">
        <f t="shared" ref="V71:V90" si="10">IF(B71&lt;($B$68+1),T71,0)</f>
        <v>172.84201690088929</v>
      </c>
      <c r="W71" s="158"/>
      <c r="X71" s="163">
        <f>SUM(V71:V90)/($B$68)</f>
        <v>172.84201690088929</v>
      </c>
      <c r="Y71" s="164">
        <f>+C71</f>
        <v>10</v>
      </c>
      <c r="Z71" s="442">
        <f>66.2555484-Y71</f>
        <v>56.255548399999995</v>
      </c>
      <c r="AA71" s="443">
        <f t="shared" ref="AA71:AA90" si="11">SIN(Z71*3.14159265358979/180)</f>
        <v>0.83152340862977814</v>
      </c>
      <c r="AB71" s="442">
        <f>+AA71*304.3209</f>
        <v>253.04995208528186</v>
      </c>
      <c r="AC71" s="442">
        <f>50.0185497+Y71</f>
        <v>60.018549700000001</v>
      </c>
      <c r="AD71" s="443">
        <f>SIN(AC71*3.14159265358979/180)</f>
        <v>0.8661872350649823</v>
      </c>
      <c r="AE71" s="442">
        <f>+AD71*279.0605</f>
        <v>241.71864291085149</v>
      </c>
      <c r="AF71" s="353">
        <f>12.2*B68</f>
        <v>12.2</v>
      </c>
      <c r="AG71" s="442">
        <f>+AE71+AB71</f>
        <v>494.76859499613334</v>
      </c>
      <c r="AH71" s="442">
        <f>+V71-AE71</f>
        <v>-68.876626009962195</v>
      </c>
      <c r="AI71" s="442">
        <f>+X71-AH71</f>
        <v>241.71864291085149</v>
      </c>
      <c r="AJ71" s="442">
        <f>+((AG71-AI71)/AG71)*AF71</f>
        <v>6.2397036648305573</v>
      </c>
      <c r="AK71" s="442">
        <f>+(AI71/AG71)*AF71</f>
        <v>5.9602963351694429</v>
      </c>
      <c r="AL71" s="165">
        <f t="shared" ref="AL71:AL90" si="12">2*$C$7/AJ71</f>
        <v>1859.0626451352484</v>
      </c>
      <c r="AM71" s="166">
        <f t="shared" ref="AM71:AM90" si="13">$D$7/AK71</f>
        <v>1677.7689292047112</v>
      </c>
      <c r="AN71" s="167">
        <f>ABS(AL71)</f>
        <v>1859.0626451352484</v>
      </c>
      <c r="AO71" s="167">
        <f>ABS(AM71)</f>
        <v>1677.7689292047112</v>
      </c>
      <c r="AP71" s="57"/>
      <c r="AR71" s="168"/>
      <c r="BB71" s="120"/>
      <c r="BC71" s="120"/>
      <c r="BD71" s="120"/>
    </row>
    <row r="72" spans="2:84" ht="20.25" hidden="1" thickBot="1" x14ac:dyDescent="0.45">
      <c r="B72" s="169">
        <v>2</v>
      </c>
      <c r="C72" s="170"/>
      <c r="D72" s="8">
        <v>20</v>
      </c>
      <c r="E72" s="362"/>
      <c r="F72" s="292"/>
      <c r="G72" s="173">
        <f t="shared" ref="G72:G90" si="14">+D72+AP72</f>
        <v>20</v>
      </c>
      <c r="H72" s="159">
        <v>188.8612</v>
      </c>
      <c r="I72" s="174">
        <v>67.527957799999996</v>
      </c>
      <c r="J72" s="57">
        <f t="shared" ref="J72:J90" si="15">+I72-D72</f>
        <v>47.527957799999996</v>
      </c>
      <c r="K72" s="57">
        <f t="shared" si="3"/>
        <v>23.763978899999998</v>
      </c>
      <c r="L72" s="57">
        <f>SIN(K72*3.14159265358979/180)</f>
        <v>0.40296999357892477</v>
      </c>
      <c r="M72" s="57">
        <f t="shared" si="5"/>
        <v>76.105396551308019</v>
      </c>
      <c r="N72" s="57">
        <f t="shared" si="6"/>
        <v>152.21079310261604</v>
      </c>
      <c r="O72" s="57">
        <f>+C71+(D72/2)</f>
        <v>20</v>
      </c>
      <c r="P72" s="57">
        <f t="shared" si="7"/>
        <v>0.34202014332566838</v>
      </c>
      <c r="Q72" s="57">
        <f t="shared" si="8"/>
        <v>52.05915727267039</v>
      </c>
      <c r="R72" s="57">
        <f t="shared" ref="R72:R90" si="16">+T71</f>
        <v>172.84201690088929</v>
      </c>
      <c r="S72" s="57">
        <f>+R72+Q72</f>
        <v>224.9011741735597</v>
      </c>
      <c r="T72" s="175">
        <f t="shared" si="9"/>
        <v>224.9011741735597</v>
      </c>
      <c r="U72" s="105"/>
      <c r="V72" s="176">
        <f t="shared" si="10"/>
        <v>0</v>
      </c>
      <c r="W72" s="158"/>
      <c r="X72" s="176" t="e">
        <f t="shared" ref="X72:X90" si="17">SUM(V72:V91)/($B$68-B71)</f>
        <v>#DIV/0!</v>
      </c>
      <c r="Y72" s="177">
        <f>SUM(D72)+$C$71</f>
        <v>30</v>
      </c>
      <c r="Z72" s="438">
        <f t="shared" ref="Z72:Z90" si="18">66.2555484-Y72</f>
        <v>36.255548399999995</v>
      </c>
      <c r="AA72" s="444">
        <f t="shared" si="11"/>
        <v>0.59138773995112026</v>
      </c>
      <c r="AB72" s="438">
        <f t="shared" ref="AB72:AB90" si="19">+AA72*304.3209</f>
        <v>179.97164927089088</v>
      </c>
      <c r="AC72" s="438">
        <f t="shared" ref="AC72:AC90" si="20">50.0185497+Y72</f>
        <v>80.018549699999994</v>
      </c>
      <c r="AD72" s="444">
        <f t="shared" ref="AD72:AD90" si="21">SIN(AC72*3.14159265358979/180)</f>
        <v>0.98486392057685967</v>
      </c>
      <c r="AE72" s="438">
        <f t="shared" ref="AE72:AE90" si="22">+AD72*279.0605</f>
        <v>274.83661810813874</v>
      </c>
      <c r="AF72" s="354">
        <f>12.2*($B$68-B71)</f>
        <v>0</v>
      </c>
      <c r="AG72" s="438">
        <f t="shared" ref="AG72:AG90" si="23">+AE72+AB72</f>
        <v>454.80826737902964</v>
      </c>
      <c r="AH72" s="438">
        <f>+V72-AE72</f>
        <v>-274.83661810813874</v>
      </c>
      <c r="AI72" s="438" t="e">
        <f>+X72-AH72</f>
        <v>#DIV/0!</v>
      </c>
      <c r="AJ72" s="438" t="e">
        <f t="shared" ref="AJ72:AJ90" si="24">+((AG72-AI72)/AG72)*AF72</f>
        <v>#DIV/0!</v>
      </c>
      <c r="AK72" s="438" t="e">
        <f t="shared" ref="AK72:AK90" si="25">+(AI72/AG72)*AF72</f>
        <v>#DIV/0!</v>
      </c>
      <c r="AL72" s="165" t="e">
        <f t="shared" si="12"/>
        <v>#DIV/0!</v>
      </c>
      <c r="AM72" s="166" t="e">
        <f t="shared" si="13"/>
        <v>#DIV/0!</v>
      </c>
      <c r="AN72" s="180" t="e">
        <f t="shared" ref="AN72:AN90" si="26">ABS(AL72)</f>
        <v>#DIV/0!</v>
      </c>
      <c r="AO72" s="167" t="e">
        <f t="shared" ref="AO72:AO90" si="27">ABS(AM72)</f>
        <v>#DIV/0!</v>
      </c>
      <c r="AR72" s="105"/>
      <c r="BB72" s="120"/>
      <c r="BC72" s="120"/>
      <c r="BD72" s="120"/>
    </row>
    <row r="73" spans="2:84" ht="20.25" hidden="1" thickBot="1" x14ac:dyDescent="0.45">
      <c r="B73" s="169">
        <v>3</v>
      </c>
      <c r="C73" s="170"/>
      <c r="D73" s="8">
        <v>20</v>
      </c>
      <c r="E73" s="360"/>
      <c r="F73" s="363"/>
      <c r="G73" s="173">
        <f t="shared" si="14"/>
        <v>20</v>
      </c>
      <c r="H73" s="174">
        <v>188.8612</v>
      </c>
      <c r="I73" s="174">
        <v>67.527957799999996</v>
      </c>
      <c r="J73" s="57">
        <f t="shared" si="15"/>
        <v>47.527957799999996</v>
      </c>
      <c r="K73" s="57">
        <f t="shared" si="3"/>
        <v>23.763978899999998</v>
      </c>
      <c r="L73" s="57">
        <f t="shared" si="4"/>
        <v>0.40296999357892477</v>
      </c>
      <c r="M73" s="57">
        <f t="shared" si="5"/>
        <v>76.105396551308019</v>
      </c>
      <c r="N73" s="57">
        <f t="shared" si="6"/>
        <v>152.21079310261604</v>
      </c>
      <c r="O73" s="57">
        <f>+C71+D72+(D73/2)</f>
        <v>40</v>
      </c>
      <c r="P73" s="57">
        <f t="shared" si="7"/>
        <v>0.64278760968653881</v>
      </c>
      <c r="Q73" s="57">
        <f t="shared" si="8"/>
        <v>97.839211866922867</v>
      </c>
      <c r="R73" s="57">
        <f t="shared" si="16"/>
        <v>224.9011741735597</v>
      </c>
      <c r="S73" s="57">
        <f t="shared" ref="S73:S90" si="28">+S72+Q73</f>
        <v>322.74038604048258</v>
      </c>
      <c r="T73" s="175">
        <f t="shared" si="9"/>
        <v>322.74038604048258</v>
      </c>
      <c r="U73" s="105"/>
      <c r="V73" s="176">
        <f t="shared" si="10"/>
        <v>0</v>
      </c>
      <c r="W73" s="158"/>
      <c r="X73" s="176">
        <f t="shared" si="17"/>
        <v>0</v>
      </c>
      <c r="Y73" s="177">
        <f>SUM(D72:D73)+$C$71</f>
        <v>50</v>
      </c>
      <c r="Z73" s="438">
        <f t="shared" si="18"/>
        <v>16.255548399999995</v>
      </c>
      <c r="AA73" s="444">
        <f t="shared" si="11"/>
        <v>0.27992198188086886</v>
      </c>
      <c r="AB73" s="438">
        <f t="shared" si="19"/>
        <v>85.18610945576971</v>
      </c>
      <c r="AC73" s="438">
        <f t="shared" si="20"/>
        <v>100.01854969999999</v>
      </c>
      <c r="AD73" s="444">
        <f t="shared" si="21"/>
        <v>0.98475148222372599</v>
      </c>
      <c r="AE73" s="438">
        <f t="shared" si="22"/>
        <v>274.8052410050941</v>
      </c>
      <c r="AF73" s="354">
        <f t="shared" ref="AF73:AF90" si="29">12.2*($B$68-B72)</f>
        <v>-12.2</v>
      </c>
      <c r="AG73" s="438">
        <f t="shared" si="23"/>
        <v>359.99135046086383</v>
      </c>
      <c r="AH73" s="438">
        <f>+V73-AE73</f>
        <v>-274.8052410050941</v>
      </c>
      <c r="AI73" s="438">
        <f>+X73-AH73</f>
        <v>274.8052410050941</v>
      </c>
      <c r="AJ73" s="438">
        <f t="shared" si="24"/>
        <v>-2.8869319610871429</v>
      </c>
      <c r="AK73" s="438">
        <f t="shared" si="25"/>
        <v>-9.3130680389128564</v>
      </c>
      <c r="AL73" s="165">
        <f t="shared" si="12"/>
        <v>-4018.1064730156454</v>
      </c>
      <c r="AM73" s="166">
        <f t="shared" si="13"/>
        <v>-1073.7600067149656</v>
      </c>
      <c r="AN73" s="167">
        <f t="shared" si="26"/>
        <v>4018.1064730156454</v>
      </c>
      <c r="AO73" s="167">
        <f t="shared" si="27"/>
        <v>1073.7600067149656</v>
      </c>
      <c r="BB73" s="120"/>
      <c r="BC73" s="120"/>
      <c r="BD73" s="120"/>
    </row>
    <row r="74" spans="2:84" ht="20.25" hidden="1" thickBot="1" x14ac:dyDescent="0.45">
      <c r="B74" s="169">
        <v>4</v>
      </c>
      <c r="C74" s="170"/>
      <c r="D74" s="8">
        <v>20</v>
      </c>
      <c r="E74" s="360"/>
      <c r="F74" s="363"/>
      <c r="G74" s="173">
        <f t="shared" si="14"/>
        <v>20</v>
      </c>
      <c r="H74" s="174">
        <v>188.8612</v>
      </c>
      <c r="I74" s="174">
        <v>67.527957799999996</v>
      </c>
      <c r="J74" s="57">
        <f t="shared" si="15"/>
        <v>47.527957799999996</v>
      </c>
      <c r="K74" s="57">
        <f t="shared" si="3"/>
        <v>23.763978899999998</v>
      </c>
      <c r="L74" s="57">
        <f t="shared" si="4"/>
        <v>0.40296999357892477</v>
      </c>
      <c r="M74" s="57">
        <f t="shared" si="5"/>
        <v>76.105396551308019</v>
      </c>
      <c r="N74" s="57">
        <f t="shared" si="6"/>
        <v>152.21079310261604</v>
      </c>
      <c r="O74" s="57">
        <f>+C71+D72+D73+(D74/2)</f>
        <v>60</v>
      </c>
      <c r="P74" s="57">
        <f t="shared" si="7"/>
        <v>0.86602540378443815</v>
      </c>
      <c r="Q74" s="57">
        <f t="shared" si="8"/>
        <v>131.81841355704262</v>
      </c>
      <c r="R74" s="57">
        <f t="shared" si="16"/>
        <v>322.74038604048258</v>
      </c>
      <c r="S74" s="57">
        <f t="shared" si="28"/>
        <v>454.55879959752519</v>
      </c>
      <c r="T74" s="175">
        <f t="shared" si="9"/>
        <v>454.55879959752519</v>
      </c>
      <c r="U74" s="105"/>
      <c r="V74" s="176">
        <f t="shared" si="10"/>
        <v>0</v>
      </c>
      <c r="W74" s="158"/>
      <c r="X74" s="176">
        <f t="shared" si="17"/>
        <v>0</v>
      </c>
      <c r="Y74" s="177">
        <f>SUM(D72:D74)+$C$71</f>
        <v>70</v>
      </c>
      <c r="Z74" s="438">
        <f t="shared" si="18"/>
        <v>-3.744451600000005</v>
      </c>
      <c r="AA74" s="444">
        <f t="shared" si="11"/>
        <v>-6.5306498412681727E-2</v>
      </c>
      <c r="AB74" s="438">
        <f t="shared" si="19"/>
        <v>-19.874132372795874</v>
      </c>
      <c r="AC74" s="438">
        <f t="shared" si="20"/>
        <v>120.01854969999999</v>
      </c>
      <c r="AD74" s="444">
        <f t="shared" si="21"/>
        <v>0.86586348173038241</v>
      </c>
      <c r="AE74" s="438">
        <f t="shared" si="22"/>
        <v>241.62829614342138</v>
      </c>
      <c r="AF74" s="354">
        <f t="shared" si="29"/>
        <v>-24.4</v>
      </c>
      <c r="AG74" s="438">
        <f t="shared" si="23"/>
        <v>221.7541637706255</v>
      </c>
      <c r="AH74" s="438">
        <f>+V74-AE74</f>
        <v>-241.62829614342138</v>
      </c>
      <c r="AI74" s="438">
        <f t="shared" ref="AI74:AI90" si="30">+X74-AH74</f>
        <v>241.62829614342138</v>
      </c>
      <c r="AJ74" s="438">
        <f t="shared" si="24"/>
        <v>2.186785680370865</v>
      </c>
      <c r="AK74" s="438">
        <f t="shared" si="25"/>
        <v>-26.586785680370863</v>
      </c>
      <c r="AL74" s="165">
        <f t="shared" si="12"/>
        <v>5304.5893359026904</v>
      </c>
      <c r="AM74" s="166">
        <f t="shared" si="13"/>
        <v>-376.12670144563742</v>
      </c>
      <c r="AN74" s="167">
        <f t="shared" si="26"/>
        <v>5304.5893359026904</v>
      </c>
      <c r="AO74" s="167">
        <f t="shared" si="27"/>
        <v>376.12670144563742</v>
      </c>
      <c r="BB74" s="120"/>
      <c r="BC74" s="120"/>
      <c r="BD74" s="120"/>
    </row>
    <row r="75" spans="2:84" ht="20.25" hidden="1" thickBot="1" x14ac:dyDescent="0.45">
      <c r="B75" s="169">
        <v>5</v>
      </c>
      <c r="C75" s="170"/>
      <c r="D75" s="8">
        <v>20</v>
      </c>
      <c r="E75" s="360"/>
      <c r="F75" s="363"/>
      <c r="G75" s="173">
        <f t="shared" si="14"/>
        <v>20</v>
      </c>
      <c r="H75" s="174">
        <v>188.8612</v>
      </c>
      <c r="I75" s="174">
        <v>67.527957799999996</v>
      </c>
      <c r="J75" s="57">
        <f t="shared" si="15"/>
        <v>47.527957799999996</v>
      </c>
      <c r="K75" s="57">
        <f t="shared" si="3"/>
        <v>23.763978899999998</v>
      </c>
      <c r="L75" s="57">
        <f t="shared" si="4"/>
        <v>0.40296999357892477</v>
      </c>
      <c r="M75" s="57">
        <f t="shared" si="5"/>
        <v>76.105396551308019</v>
      </c>
      <c r="N75" s="57">
        <f t="shared" si="6"/>
        <v>152.21079310261604</v>
      </c>
      <c r="O75" s="57">
        <f>+C71+D72+D73+D74+(D75/2)</f>
        <v>80</v>
      </c>
      <c r="P75" s="57">
        <f t="shared" si="7"/>
        <v>0.9848077530122078</v>
      </c>
      <c r="Q75" s="57">
        <f t="shared" si="8"/>
        <v>149.89836913959337</v>
      </c>
      <c r="R75" s="57">
        <f t="shared" si="16"/>
        <v>454.55879959752519</v>
      </c>
      <c r="S75" s="57">
        <f t="shared" si="28"/>
        <v>604.45716873711854</v>
      </c>
      <c r="T75" s="175">
        <f t="shared" si="9"/>
        <v>604.45716873711854</v>
      </c>
      <c r="U75" s="105"/>
      <c r="V75" s="176">
        <f t="shared" si="10"/>
        <v>0</v>
      </c>
      <c r="W75" s="158"/>
      <c r="X75" s="176">
        <f t="shared" si="17"/>
        <v>0</v>
      </c>
      <c r="Y75" s="177">
        <f>SUM(D72:D75)+$C$71</f>
        <v>90</v>
      </c>
      <c r="Z75" s="438">
        <f t="shared" si="18"/>
        <v>-23.744451600000005</v>
      </c>
      <c r="AA75" s="444">
        <f t="shared" si="11"/>
        <v>-0.40265805117639619</v>
      </c>
      <c r="AB75" s="438">
        <f t="shared" si="19"/>
        <v>-122.53726052624694</v>
      </c>
      <c r="AC75" s="438">
        <f t="shared" si="20"/>
        <v>140.01854969999999</v>
      </c>
      <c r="AD75" s="444">
        <f t="shared" si="21"/>
        <v>0.6425395665563437</v>
      </c>
      <c r="AE75" s="438">
        <f t="shared" si="22"/>
        <v>179.30741271299655</v>
      </c>
      <c r="AF75" s="354">
        <f t="shared" si="29"/>
        <v>-36.599999999999994</v>
      </c>
      <c r="AG75" s="438">
        <f t="shared" si="23"/>
        <v>56.770152186749613</v>
      </c>
      <c r="AH75" s="438">
        <f t="shared" ref="AH75:AH90" si="31">+V75-AE75</f>
        <v>-179.30741271299655</v>
      </c>
      <c r="AI75" s="438">
        <f t="shared" si="30"/>
        <v>179.30741271299655</v>
      </c>
      <c r="AJ75" s="438">
        <f t="shared" si="24"/>
        <v>79.00038246343513</v>
      </c>
      <c r="AK75" s="438">
        <f t="shared" si="25"/>
        <v>-115.60038246343512</v>
      </c>
      <c r="AL75" s="165">
        <f t="shared" si="12"/>
        <v>146.8347321656195</v>
      </c>
      <c r="AM75" s="166">
        <f t="shared" si="13"/>
        <v>-86.504904109318502</v>
      </c>
      <c r="AN75" s="167">
        <f t="shared" si="26"/>
        <v>146.8347321656195</v>
      </c>
      <c r="AO75" s="167">
        <f t="shared" si="27"/>
        <v>86.504904109318502</v>
      </c>
      <c r="AR75" s="181"/>
      <c r="BB75" s="120"/>
      <c r="BC75" s="120"/>
      <c r="BD75" s="120"/>
    </row>
    <row r="76" spans="2:84" ht="20.25" hidden="1" thickBot="1" x14ac:dyDescent="0.45">
      <c r="B76" s="169">
        <v>6</v>
      </c>
      <c r="C76" s="170"/>
      <c r="D76" s="8">
        <v>20</v>
      </c>
      <c r="E76" s="360"/>
      <c r="F76" s="363"/>
      <c r="G76" s="173">
        <f t="shared" si="14"/>
        <v>20</v>
      </c>
      <c r="H76" s="174">
        <v>188.8612</v>
      </c>
      <c r="I76" s="174">
        <v>67.527957799999996</v>
      </c>
      <c r="J76" s="57">
        <f t="shared" si="15"/>
        <v>47.527957799999996</v>
      </c>
      <c r="K76" s="57">
        <f t="shared" si="3"/>
        <v>23.763978899999998</v>
      </c>
      <c r="L76" s="57">
        <f t="shared" si="4"/>
        <v>0.40296999357892477</v>
      </c>
      <c r="M76" s="57">
        <f t="shared" si="5"/>
        <v>76.105396551308019</v>
      </c>
      <c r="N76" s="57">
        <f t="shared" si="6"/>
        <v>152.21079310261604</v>
      </c>
      <c r="O76" s="57">
        <f>+C71+D72+D73+D74+D75+(D76/2)</f>
        <v>100</v>
      </c>
      <c r="P76" s="57">
        <f t="shared" si="7"/>
        <v>0.98480775301220835</v>
      </c>
      <c r="Q76" s="57">
        <f t="shared" si="8"/>
        <v>149.89836913959343</v>
      </c>
      <c r="R76" s="57">
        <f t="shared" si="16"/>
        <v>604.45716873711854</v>
      </c>
      <c r="S76" s="57">
        <f t="shared" si="28"/>
        <v>754.35553787671199</v>
      </c>
      <c r="T76" s="175">
        <f t="shared" si="9"/>
        <v>754.35553787671199</v>
      </c>
      <c r="U76" s="105"/>
      <c r="V76" s="176">
        <f t="shared" si="10"/>
        <v>0</v>
      </c>
      <c r="W76" s="158"/>
      <c r="X76" s="176">
        <f t="shared" si="17"/>
        <v>0</v>
      </c>
      <c r="Y76" s="177">
        <f>SUM(D72:D76)+$C$71</f>
        <v>110</v>
      </c>
      <c r="Z76" s="438">
        <f t="shared" si="18"/>
        <v>-43.744451600000005</v>
      </c>
      <c r="AA76" s="444">
        <f t="shared" si="11"/>
        <v>-0.6914431003683067</v>
      </c>
      <c r="AB76" s="438">
        <f t="shared" si="19"/>
        <v>-210.42058660287341</v>
      </c>
      <c r="AC76" s="438">
        <f t="shared" si="20"/>
        <v>160.01854969999999</v>
      </c>
      <c r="AD76" s="444">
        <f t="shared" si="21"/>
        <v>0.34171589678156161</v>
      </c>
      <c r="AE76" s="438">
        <f t="shared" si="22"/>
        <v>95.359409013810975</v>
      </c>
      <c r="AF76" s="354">
        <f t="shared" si="29"/>
        <v>-48.8</v>
      </c>
      <c r="AG76" s="438">
        <f t="shared" si="23"/>
        <v>-115.06117758906244</v>
      </c>
      <c r="AH76" s="438">
        <f t="shared" si="31"/>
        <v>-95.359409013810975</v>
      </c>
      <c r="AI76" s="438">
        <f t="shared" si="30"/>
        <v>95.359409013810975</v>
      </c>
      <c r="AJ76" s="438">
        <f t="shared" si="24"/>
        <v>-89.244042529218248</v>
      </c>
      <c r="AK76" s="438">
        <f t="shared" si="25"/>
        <v>40.444042529218251</v>
      </c>
      <c r="AL76" s="165">
        <f t="shared" si="12"/>
        <v>-129.98066505338093</v>
      </c>
      <c r="AM76" s="166">
        <f t="shared" si="13"/>
        <v>247.25520434253414</v>
      </c>
      <c r="AN76" s="167">
        <f t="shared" si="26"/>
        <v>129.98066505338093</v>
      </c>
      <c r="AO76" s="167">
        <f t="shared" si="27"/>
        <v>247.25520434253414</v>
      </c>
      <c r="BB76" s="120"/>
      <c r="BC76" s="120"/>
      <c r="BD76" s="120"/>
    </row>
    <row r="77" spans="2:84" ht="20.25" hidden="1" thickBot="1" x14ac:dyDescent="0.45">
      <c r="B77" s="169">
        <v>7</v>
      </c>
      <c r="C77" s="170"/>
      <c r="D77" s="8">
        <v>20</v>
      </c>
      <c r="E77" s="360"/>
      <c r="F77" s="363"/>
      <c r="G77" s="173">
        <f t="shared" si="14"/>
        <v>20</v>
      </c>
      <c r="H77" s="174">
        <v>188.8612</v>
      </c>
      <c r="I77" s="174">
        <v>67.527957799999996</v>
      </c>
      <c r="J77" s="57">
        <f t="shared" si="15"/>
        <v>47.527957799999996</v>
      </c>
      <c r="K77" s="57">
        <f t="shared" si="3"/>
        <v>23.763978899999998</v>
      </c>
      <c r="L77" s="57">
        <f t="shared" si="4"/>
        <v>0.40296999357892477</v>
      </c>
      <c r="M77" s="57">
        <f t="shared" si="5"/>
        <v>76.105396551308019</v>
      </c>
      <c r="N77" s="57">
        <f t="shared" si="6"/>
        <v>152.21079310261604</v>
      </c>
      <c r="O77" s="57">
        <f>+C71+D72+D73+D74+D75+D76+(D77/2)</f>
        <v>120</v>
      </c>
      <c r="P77" s="57">
        <f t="shared" si="7"/>
        <v>0.8660254037844396</v>
      </c>
      <c r="Q77" s="57">
        <f t="shared" si="8"/>
        <v>131.81841355704285</v>
      </c>
      <c r="R77" s="57">
        <f t="shared" si="16"/>
        <v>754.35553787671199</v>
      </c>
      <c r="S77" s="57">
        <f t="shared" si="28"/>
        <v>886.17395143375484</v>
      </c>
      <c r="T77" s="175">
        <f t="shared" si="9"/>
        <v>886.17395143375484</v>
      </c>
      <c r="U77" s="105"/>
      <c r="V77" s="176">
        <f t="shared" si="10"/>
        <v>0</v>
      </c>
      <c r="W77" s="158"/>
      <c r="X77" s="176">
        <f t="shared" si="17"/>
        <v>0</v>
      </c>
      <c r="Y77" s="177">
        <f>SUM(D72:D77)+$C$71</f>
        <v>130</v>
      </c>
      <c r="Z77" s="438">
        <f t="shared" si="18"/>
        <v>-63.744451600000005</v>
      </c>
      <c r="AA77" s="444">
        <f t="shared" si="11"/>
        <v>-0.89682990704246002</v>
      </c>
      <c r="AB77" s="438">
        <f t="shared" si="19"/>
        <v>-272.92408445807774</v>
      </c>
      <c r="AC77" s="438">
        <f t="shared" si="20"/>
        <v>180.01854969999999</v>
      </c>
      <c r="AD77" s="444">
        <f t="shared" si="21"/>
        <v>-3.2375333459769561E-4</v>
      </c>
      <c r="AE77" s="438">
        <f t="shared" si="22"/>
        <v>-9.0346767429500235E-2</v>
      </c>
      <c r="AF77" s="354">
        <f t="shared" si="29"/>
        <v>-61</v>
      </c>
      <c r="AG77" s="438">
        <f t="shared" si="23"/>
        <v>-273.01443122550722</v>
      </c>
      <c r="AH77" s="438">
        <f t="shared" si="31"/>
        <v>9.0346767429500235E-2</v>
      </c>
      <c r="AI77" s="438">
        <f t="shared" si="30"/>
        <v>-9.0346767429500235E-2</v>
      </c>
      <c r="AJ77" s="438">
        <f t="shared" si="24"/>
        <v>-60.979813694138954</v>
      </c>
      <c r="AK77" s="438">
        <f t="shared" si="25"/>
        <v>-2.0186305861053026E-2</v>
      </c>
      <c r="AL77" s="165">
        <f t="shared" si="12"/>
        <v>-190.22688488657892</v>
      </c>
      <c r="AM77" s="166">
        <f t="shared" si="13"/>
        <v>-495385.34038036945</v>
      </c>
      <c r="AN77" s="167">
        <f t="shared" si="26"/>
        <v>190.22688488657892</v>
      </c>
      <c r="AO77" s="167">
        <f t="shared" si="27"/>
        <v>495385.34038036945</v>
      </c>
      <c r="BB77" s="120"/>
      <c r="BC77" s="120"/>
      <c r="BD77" s="120"/>
    </row>
    <row r="78" spans="2:84" ht="20.25" hidden="1" thickBot="1" x14ac:dyDescent="0.45">
      <c r="B78" s="169">
        <v>8</v>
      </c>
      <c r="C78" s="170"/>
      <c r="D78" s="8">
        <v>20</v>
      </c>
      <c r="E78" s="360"/>
      <c r="F78" s="363"/>
      <c r="G78" s="173">
        <f t="shared" si="14"/>
        <v>20</v>
      </c>
      <c r="H78" s="174">
        <v>188.8612</v>
      </c>
      <c r="I78" s="174">
        <v>67.527957799999996</v>
      </c>
      <c r="J78" s="57">
        <f t="shared" si="15"/>
        <v>47.527957799999996</v>
      </c>
      <c r="K78" s="57">
        <f t="shared" si="3"/>
        <v>23.763978899999998</v>
      </c>
      <c r="L78" s="57">
        <f t="shared" si="4"/>
        <v>0.40296999357892477</v>
      </c>
      <c r="M78" s="57">
        <f t="shared" si="5"/>
        <v>76.105396551308019</v>
      </c>
      <c r="N78" s="57">
        <f t="shared" si="6"/>
        <v>152.21079310261604</v>
      </c>
      <c r="O78" s="57">
        <f>+C71+D72+D73+D74+D75+D76+D77+(D78/2)</f>
        <v>140</v>
      </c>
      <c r="P78" s="57">
        <f t="shared" si="7"/>
        <v>0.64278760968654114</v>
      </c>
      <c r="Q78" s="57">
        <f t="shared" si="8"/>
        <v>97.839211866923222</v>
      </c>
      <c r="R78" s="57">
        <f t="shared" si="16"/>
        <v>886.17395143375484</v>
      </c>
      <c r="S78" s="57">
        <f t="shared" si="28"/>
        <v>984.01316330067812</v>
      </c>
      <c r="T78" s="175">
        <f t="shared" si="9"/>
        <v>984.01316330067812</v>
      </c>
      <c r="U78" s="105"/>
      <c r="V78" s="176">
        <f t="shared" si="10"/>
        <v>0</v>
      </c>
      <c r="W78" s="158"/>
      <c r="X78" s="176">
        <f t="shared" si="17"/>
        <v>0</v>
      </c>
      <c r="Y78" s="177">
        <f>SUM(D72:D78)+$C$71</f>
        <v>150</v>
      </c>
      <c r="Z78" s="438">
        <f t="shared" si="18"/>
        <v>-83.744451600000005</v>
      </c>
      <c r="AA78" s="444">
        <f t="shared" si="11"/>
        <v>-0.99404579112751723</v>
      </c>
      <c r="AB78" s="438">
        <f t="shared" si="19"/>
        <v>-302.50890979713807</v>
      </c>
      <c r="AC78" s="438">
        <f t="shared" si="20"/>
        <v>200.01854969999999</v>
      </c>
      <c r="AD78" s="444">
        <f t="shared" si="21"/>
        <v>-0.34232435402051542</v>
      </c>
      <c r="AE78" s="438">
        <f t="shared" si="22"/>
        <v>-95.529205395142043</v>
      </c>
      <c r="AF78" s="354">
        <f t="shared" si="29"/>
        <v>-73.199999999999989</v>
      </c>
      <c r="AG78" s="438">
        <f t="shared" si="23"/>
        <v>-398.03811519228009</v>
      </c>
      <c r="AH78" s="438">
        <f t="shared" si="31"/>
        <v>95.529205395142043</v>
      </c>
      <c r="AI78" s="438">
        <f t="shared" si="30"/>
        <v>-95.529205395142043</v>
      </c>
      <c r="AJ78" s="438">
        <f t="shared" si="24"/>
        <v>-55.631989379845137</v>
      </c>
      <c r="AK78" s="438">
        <f t="shared" si="25"/>
        <v>-17.568010620154851</v>
      </c>
      <c r="AL78" s="165">
        <f t="shared" si="12"/>
        <v>-208.51312579885115</v>
      </c>
      <c r="AM78" s="166">
        <f t="shared" si="13"/>
        <v>-569.21641364034281</v>
      </c>
      <c r="AN78" s="167">
        <f t="shared" si="26"/>
        <v>208.51312579885115</v>
      </c>
      <c r="AO78" s="167">
        <f t="shared" si="27"/>
        <v>569.21641364034281</v>
      </c>
      <c r="BB78" s="120"/>
      <c r="BC78" s="120"/>
      <c r="BD78" s="120"/>
    </row>
    <row r="79" spans="2:84" ht="20.25" hidden="1" thickBot="1" x14ac:dyDescent="0.45">
      <c r="B79" s="169">
        <v>9</v>
      </c>
      <c r="C79" s="170"/>
      <c r="D79" s="8">
        <v>20</v>
      </c>
      <c r="E79" s="360"/>
      <c r="F79" s="363"/>
      <c r="G79" s="173">
        <f t="shared" si="14"/>
        <v>20</v>
      </c>
      <c r="H79" s="174">
        <v>188.8612</v>
      </c>
      <c r="I79" s="174">
        <v>67.527957799999996</v>
      </c>
      <c r="J79" s="57">
        <f t="shared" si="15"/>
        <v>47.527957799999996</v>
      </c>
      <c r="K79" s="57">
        <f t="shared" si="3"/>
        <v>23.763978899999998</v>
      </c>
      <c r="L79" s="57">
        <f t="shared" si="4"/>
        <v>0.40296999357892477</v>
      </c>
      <c r="M79" s="57">
        <f t="shared" si="5"/>
        <v>76.105396551308019</v>
      </c>
      <c r="N79" s="57">
        <f t="shared" si="6"/>
        <v>152.21079310261604</v>
      </c>
      <c r="O79" s="57">
        <f>+C71+D72+D73+D74+D75+D76+D77+D78+(D79/2)</f>
        <v>160</v>
      </c>
      <c r="P79" s="57">
        <f t="shared" si="7"/>
        <v>0.34202014332567138</v>
      </c>
      <c r="Q79" s="57">
        <f t="shared" si="8"/>
        <v>52.059157272670852</v>
      </c>
      <c r="R79" s="57">
        <f t="shared" si="16"/>
        <v>984.01316330067812</v>
      </c>
      <c r="S79" s="57">
        <f t="shared" si="28"/>
        <v>1036.0723205733489</v>
      </c>
      <c r="T79" s="175">
        <f t="shared" si="9"/>
        <v>1036.0723205733489</v>
      </c>
      <c r="U79" s="105"/>
      <c r="V79" s="176">
        <f t="shared" si="10"/>
        <v>0</v>
      </c>
      <c r="W79" s="158"/>
      <c r="X79" s="176">
        <f t="shared" si="17"/>
        <v>0</v>
      </c>
      <c r="Y79" s="177">
        <f>SUM(D72:D79)+$C$71</f>
        <v>170</v>
      </c>
      <c r="Z79" s="438">
        <f t="shared" si="18"/>
        <v>-103.7444516</v>
      </c>
      <c r="AA79" s="444">
        <f t="shared" si="11"/>
        <v>-0.97136508224917684</v>
      </c>
      <c r="AB79" s="438">
        <f t="shared" si="19"/>
        <v>-295.60669605864354</v>
      </c>
      <c r="AC79" s="438">
        <f t="shared" si="20"/>
        <v>220.01854969999999</v>
      </c>
      <c r="AD79" s="444">
        <f t="shared" si="21"/>
        <v>-0.64303558544216366</v>
      </c>
      <c r="AE79" s="438">
        <f t="shared" si="22"/>
        <v>-179.44583199128292</v>
      </c>
      <c r="AF79" s="354">
        <f t="shared" si="29"/>
        <v>-85.399999999999991</v>
      </c>
      <c r="AG79" s="438">
        <f t="shared" si="23"/>
        <v>-475.05252804992642</v>
      </c>
      <c r="AH79" s="438">
        <f t="shared" si="31"/>
        <v>179.44583199128292</v>
      </c>
      <c r="AI79" s="438">
        <f t="shared" si="30"/>
        <v>-179.44583199128292</v>
      </c>
      <c r="AJ79" s="438">
        <f t="shared" si="24"/>
        <v>-53.141095674276691</v>
      </c>
      <c r="AK79" s="438">
        <f t="shared" si="25"/>
        <v>-32.258904325723293</v>
      </c>
      <c r="AL79" s="165">
        <f t="shared" si="12"/>
        <v>-218.28680520817827</v>
      </c>
      <c r="AM79" s="166">
        <f t="shared" si="13"/>
        <v>-309.99192963990367</v>
      </c>
      <c r="AN79" s="167">
        <f t="shared" si="26"/>
        <v>218.28680520817827</v>
      </c>
      <c r="AO79" s="167">
        <f t="shared" si="27"/>
        <v>309.99192963990367</v>
      </c>
      <c r="BB79" s="120"/>
      <c r="BC79" s="120"/>
      <c r="BD79" s="120"/>
    </row>
    <row r="80" spans="2:84" ht="20.25" hidden="1" thickBot="1" x14ac:dyDescent="0.45">
      <c r="B80" s="169">
        <v>10</v>
      </c>
      <c r="C80" s="170"/>
      <c r="D80" s="8">
        <v>20</v>
      </c>
      <c r="E80" s="360"/>
      <c r="F80" s="363"/>
      <c r="G80" s="173">
        <f t="shared" si="14"/>
        <v>20</v>
      </c>
      <c r="H80" s="174">
        <v>188.8612</v>
      </c>
      <c r="I80" s="174">
        <v>67.527957799999996</v>
      </c>
      <c r="J80" s="57">
        <f t="shared" si="15"/>
        <v>47.527957799999996</v>
      </c>
      <c r="K80" s="57">
        <f t="shared" si="3"/>
        <v>23.763978899999998</v>
      </c>
      <c r="L80" s="57">
        <f t="shared" si="4"/>
        <v>0.40296999357892477</v>
      </c>
      <c r="M80" s="57">
        <f t="shared" si="5"/>
        <v>76.105396551308019</v>
      </c>
      <c r="N80" s="57">
        <f t="shared" si="6"/>
        <v>152.21079310261604</v>
      </c>
      <c r="O80" s="57">
        <f>+C71+D72+D73+D74+D75+D76+D77+D78+D79+(D80/2)</f>
        <v>180</v>
      </c>
      <c r="P80" s="57">
        <f t="shared" si="7"/>
        <v>3.2311393144413003E-15</v>
      </c>
      <c r="Q80" s="57">
        <f t="shared" si="8"/>
        <v>4.9181427767615339E-13</v>
      </c>
      <c r="R80" s="57">
        <f t="shared" si="16"/>
        <v>1036.0723205733489</v>
      </c>
      <c r="S80" s="57">
        <f t="shared" si="28"/>
        <v>1036.0723205733493</v>
      </c>
      <c r="T80" s="175">
        <f t="shared" si="9"/>
        <v>1036.0723205733493</v>
      </c>
      <c r="U80" s="105"/>
      <c r="V80" s="176">
        <f t="shared" si="10"/>
        <v>0</v>
      </c>
      <c r="W80" s="158"/>
      <c r="X80" s="176">
        <f t="shared" si="17"/>
        <v>0</v>
      </c>
      <c r="Y80" s="177">
        <f>SUM(D72:D80)+$C$71</f>
        <v>190</v>
      </c>
      <c r="Z80" s="438">
        <f t="shared" si="18"/>
        <v>-123.7444516</v>
      </c>
      <c r="AA80" s="444">
        <f t="shared" si="11"/>
        <v>-0.83152340862977991</v>
      </c>
      <c r="AB80" s="438">
        <f t="shared" si="19"/>
        <v>-253.0499520852824</v>
      </c>
      <c r="AC80" s="438">
        <f t="shared" si="20"/>
        <v>240.01854969999999</v>
      </c>
      <c r="AD80" s="444">
        <f t="shared" si="21"/>
        <v>-0.86618723506498052</v>
      </c>
      <c r="AE80" s="438">
        <f t="shared" si="22"/>
        <v>-241.71864291085097</v>
      </c>
      <c r="AF80" s="354">
        <f t="shared" si="29"/>
        <v>-97.6</v>
      </c>
      <c r="AG80" s="438">
        <f t="shared" si="23"/>
        <v>-494.7685949961334</v>
      </c>
      <c r="AH80" s="438">
        <f t="shared" si="31"/>
        <v>241.71864291085097</v>
      </c>
      <c r="AI80" s="438">
        <f t="shared" si="30"/>
        <v>-241.71864291085097</v>
      </c>
      <c r="AJ80" s="438">
        <f t="shared" si="24"/>
        <v>-49.917629318644551</v>
      </c>
      <c r="AK80" s="438">
        <f t="shared" si="25"/>
        <v>-47.682370681355437</v>
      </c>
      <c r="AL80" s="165">
        <f t="shared" si="12"/>
        <v>-232.38283064190563</v>
      </c>
      <c r="AM80" s="166">
        <f t="shared" si="13"/>
        <v>-209.72111615058935</v>
      </c>
      <c r="AN80" s="167">
        <f t="shared" si="26"/>
        <v>232.38283064190563</v>
      </c>
      <c r="AO80" s="167">
        <f t="shared" si="27"/>
        <v>209.72111615058935</v>
      </c>
      <c r="BB80" s="120"/>
      <c r="BC80" s="120"/>
      <c r="BD80" s="120"/>
    </row>
    <row r="81" spans="1:56" ht="20.25" hidden="1" thickBot="1" x14ac:dyDescent="0.45">
      <c r="A81" s="182"/>
      <c r="B81" s="169">
        <v>11</v>
      </c>
      <c r="C81" s="170"/>
      <c r="D81" s="8">
        <v>20</v>
      </c>
      <c r="E81" s="360"/>
      <c r="F81" s="363"/>
      <c r="G81" s="173">
        <f t="shared" si="14"/>
        <v>20</v>
      </c>
      <c r="H81" s="174">
        <v>188.8612</v>
      </c>
      <c r="I81" s="174">
        <v>67.527957799999996</v>
      </c>
      <c r="J81" s="57">
        <f t="shared" si="15"/>
        <v>47.527957799999996</v>
      </c>
      <c r="K81" s="57">
        <f t="shared" si="3"/>
        <v>23.763978899999998</v>
      </c>
      <c r="L81" s="57">
        <f t="shared" si="4"/>
        <v>0.40296999357892477</v>
      </c>
      <c r="M81" s="57">
        <f t="shared" si="5"/>
        <v>76.105396551308019</v>
      </c>
      <c r="N81" s="57">
        <f t="shared" si="6"/>
        <v>152.21079310261604</v>
      </c>
      <c r="O81" s="57">
        <f>+C71+D72+D73+D74+D75+D76+D77+D78+D79+D80+(D81/2)</f>
        <v>200</v>
      </c>
      <c r="P81" s="57">
        <f t="shared" si="7"/>
        <v>-0.34202014332566533</v>
      </c>
      <c r="Q81" s="57">
        <f t="shared" si="8"/>
        <v>-52.059157272669928</v>
      </c>
      <c r="R81" s="57">
        <f t="shared" si="16"/>
        <v>1036.0723205733493</v>
      </c>
      <c r="S81" s="57">
        <f t="shared" si="28"/>
        <v>984.01316330067937</v>
      </c>
      <c r="T81" s="175">
        <f t="shared" si="9"/>
        <v>984.01316330067937</v>
      </c>
      <c r="U81" s="105"/>
      <c r="V81" s="176">
        <f t="shared" si="10"/>
        <v>0</v>
      </c>
      <c r="W81" s="158"/>
      <c r="X81" s="176">
        <f t="shared" si="17"/>
        <v>0</v>
      </c>
      <c r="Y81" s="177">
        <f>SUM(D72:D81)+$C$71</f>
        <v>210</v>
      </c>
      <c r="Z81" s="438">
        <f t="shared" si="18"/>
        <v>-143.74445159999999</v>
      </c>
      <c r="AA81" s="444">
        <f t="shared" si="11"/>
        <v>-0.59138773995112282</v>
      </c>
      <c r="AB81" s="438">
        <f t="shared" si="19"/>
        <v>-179.97164927089165</v>
      </c>
      <c r="AC81" s="438">
        <f t="shared" si="20"/>
        <v>260.01854969999999</v>
      </c>
      <c r="AD81" s="444">
        <f t="shared" si="21"/>
        <v>-0.98486392057685912</v>
      </c>
      <c r="AE81" s="438">
        <f t="shared" si="22"/>
        <v>-274.83661810813857</v>
      </c>
      <c r="AF81" s="354">
        <f t="shared" si="29"/>
        <v>-109.8</v>
      </c>
      <c r="AG81" s="438">
        <f t="shared" si="23"/>
        <v>-454.80826737903021</v>
      </c>
      <c r="AH81" s="438">
        <f t="shared" si="31"/>
        <v>274.83661810813857</v>
      </c>
      <c r="AI81" s="438">
        <f t="shared" si="30"/>
        <v>-274.83661810813857</v>
      </c>
      <c r="AJ81" s="438">
        <f t="shared" si="24"/>
        <v>-43.448829995597862</v>
      </c>
      <c r="AK81" s="438">
        <f t="shared" si="25"/>
        <v>-66.351170004402135</v>
      </c>
      <c r="AL81" s="165">
        <f t="shared" si="12"/>
        <v>-266.98072194752507</v>
      </c>
      <c r="AM81" s="166">
        <f t="shared" si="13"/>
        <v>-150.71324287629804</v>
      </c>
      <c r="AN81" s="167">
        <f t="shared" si="26"/>
        <v>266.98072194752507</v>
      </c>
      <c r="AO81" s="167">
        <f t="shared" si="27"/>
        <v>150.71324287629804</v>
      </c>
      <c r="BB81" s="120"/>
      <c r="BC81" s="120"/>
      <c r="BD81" s="120"/>
    </row>
    <row r="82" spans="1:56" ht="20.25" hidden="1" thickBot="1" x14ac:dyDescent="0.45">
      <c r="A82" s="182"/>
      <c r="B82" s="169">
        <v>12</v>
      </c>
      <c r="C82" s="170"/>
      <c r="D82" s="8">
        <v>20</v>
      </c>
      <c r="E82" s="360"/>
      <c r="F82" s="363"/>
      <c r="G82" s="173">
        <f t="shared" si="14"/>
        <v>20</v>
      </c>
      <c r="H82" s="174">
        <v>188.8612</v>
      </c>
      <c r="I82" s="174">
        <v>67.527957799999996</v>
      </c>
      <c r="J82" s="57">
        <f t="shared" si="15"/>
        <v>47.527957799999996</v>
      </c>
      <c r="K82" s="57">
        <f t="shared" si="3"/>
        <v>23.763978899999998</v>
      </c>
      <c r="L82" s="57">
        <f t="shared" si="4"/>
        <v>0.40296999357892477</v>
      </c>
      <c r="M82" s="57">
        <f t="shared" si="5"/>
        <v>76.105396551308019</v>
      </c>
      <c r="N82" s="57">
        <f t="shared" si="6"/>
        <v>152.21079310261604</v>
      </c>
      <c r="O82" s="57">
        <f>+C71+D72+D73+D74+D75+D76+D77+D78+D79+D80+D81+(D82/2)</f>
        <v>220</v>
      </c>
      <c r="P82" s="57">
        <f t="shared" si="7"/>
        <v>-0.64278760968653659</v>
      </c>
      <c r="Q82" s="57">
        <f t="shared" si="8"/>
        <v>-97.83921186692254</v>
      </c>
      <c r="R82" s="57">
        <f t="shared" si="16"/>
        <v>984.01316330067937</v>
      </c>
      <c r="S82" s="57">
        <f t="shared" si="28"/>
        <v>886.17395143375688</v>
      </c>
      <c r="T82" s="175">
        <f t="shared" si="9"/>
        <v>886.17395143375688</v>
      </c>
      <c r="U82" s="105"/>
      <c r="V82" s="176">
        <f t="shared" si="10"/>
        <v>0</v>
      </c>
      <c r="W82" s="158"/>
      <c r="X82" s="176">
        <f t="shared" si="17"/>
        <v>0</v>
      </c>
      <c r="Y82" s="177">
        <f>SUM(D72:D82)+$C$71</f>
        <v>230</v>
      </c>
      <c r="Z82" s="438">
        <f t="shared" si="18"/>
        <v>-163.74445159999999</v>
      </c>
      <c r="AA82" s="444">
        <f t="shared" si="11"/>
        <v>-0.27992198188087192</v>
      </c>
      <c r="AB82" s="438">
        <f t="shared" si="19"/>
        <v>-85.186109455770634</v>
      </c>
      <c r="AC82" s="438">
        <f t="shared" si="20"/>
        <v>280.01854969999999</v>
      </c>
      <c r="AD82" s="444">
        <f t="shared" si="21"/>
        <v>-0.98475148222372666</v>
      </c>
      <c r="AE82" s="438">
        <f t="shared" si="22"/>
        <v>-274.80524100509427</v>
      </c>
      <c r="AF82" s="354">
        <f t="shared" si="29"/>
        <v>-122</v>
      </c>
      <c r="AG82" s="438">
        <f t="shared" si="23"/>
        <v>-359.99135046086491</v>
      </c>
      <c r="AH82" s="438">
        <f t="shared" si="31"/>
        <v>274.80524100509427</v>
      </c>
      <c r="AI82" s="438">
        <f t="shared" si="30"/>
        <v>-274.80524100509427</v>
      </c>
      <c r="AJ82" s="438">
        <f t="shared" si="24"/>
        <v>-28.869319610871653</v>
      </c>
      <c r="AK82" s="438">
        <f t="shared" si="25"/>
        <v>-93.130680389128358</v>
      </c>
      <c r="AL82" s="165">
        <f t="shared" si="12"/>
        <v>-401.8106473015614</v>
      </c>
      <c r="AM82" s="166">
        <f t="shared" si="13"/>
        <v>-107.3760006714968</v>
      </c>
      <c r="AN82" s="167">
        <f t="shared" si="26"/>
        <v>401.8106473015614</v>
      </c>
      <c r="AO82" s="167">
        <f t="shared" si="27"/>
        <v>107.3760006714968</v>
      </c>
      <c r="BB82" s="120"/>
      <c r="BC82" s="120"/>
      <c r="BD82" s="120"/>
    </row>
    <row r="83" spans="1:56" ht="20.25" hidden="1" thickBot="1" x14ac:dyDescent="0.45">
      <c r="B83" s="169">
        <v>13</v>
      </c>
      <c r="C83" s="170"/>
      <c r="D83" s="8">
        <v>20</v>
      </c>
      <c r="E83" s="360"/>
      <c r="F83" s="363"/>
      <c r="G83" s="173">
        <f t="shared" si="14"/>
        <v>20</v>
      </c>
      <c r="H83" s="174">
        <v>188.8612</v>
      </c>
      <c r="I83" s="174">
        <v>67.527957799999996</v>
      </c>
      <c r="J83" s="57">
        <f t="shared" si="15"/>
        <v>47.527957799999996</v>
      </c>
      <c r="K83" s="57">
        <f t="shared" si="3"/>
        <v>23.763978899999998</v>
      </c>
      <c r="L83" s="57">
        <f t="shared" si="4"/>
        <v>0.40296999357892477</v>
      </c>
      <c r="M83" s="57">
        <f t="shared" si="5"/>
        <v>76.105396551308019</v>
      </c>
      <c r="N83" s="57">
        <f t="shared" si="6"/>
        <v>152.21079310261604</v>
      </c>
      <c r="O83" s="57">
        <f>+C71+D72+D73+D74+D75+D76+D77+D78+D79+D80+D81+D82+(D83/2)</f>
        <v>240</v>
      </c>
      <c r="P83" s="57">
        <f t="shared" si="7"/>
        <v>-0.8660254037844366</v>
      </c>
      <c r="Q83" s="57">
        <f t="shared" si="8"/>
        <v>-131.81841355704239</v>
      </c>
      <c r="R83" s="57">
        <f t="shared" si="16"/>
        <v>886.17395143375688</v>
      </c>
      <c r="S83" s="57">
        <f t="shared" si="28"/>
        <v>754.35553787671449</v>
      </c>
      <c r="T83" s="175">
        <f t="shared" si="9"/>
        <v>754.35553787671449</v>
      </c>
      <c r="U83" s="105"/>
      <c r="V83" s="176">
        <f t="shared" si="10"/>
        <v>0</v>
      </c>
      <c r="W83" s="158"/>
      <c r="X83" s="176">
        <f t="shared" si="17"/>
        <v>0</v>
      </c>
      <c r="Y83" s="177">
        <f>SUM(D72:D83)+$C$71</f>
        <v>250</v>
      </c>
      <c r="Z83" s="438">
        <f t="shared" si="18"/>
        <v>-183.74445159999999</v>
      </c>
      <c r="AA83" s="444">
        <f t="shared" si="11"/>
        <v>6.5306498412678493E-2</v>
      </c>
      <c r="AB83" s="438">
        <f t="shared" si="19"/>
        <v>19.87413237279489</v>
      </c>
      <c r="AC83" s="438">
        <f t="shared" si="20"/>
        <v>300.01854969999999</v>
      </c>
      <c r="AD83" s="444">
        <f t="shared" si="21"/>
        <v>-0.8658634817303843</v>
      </c>
      <c r="AE83" s="438">
        <f t="shared" si="22"/>
        <v>-241.62829614342189</v>
      </c>
      <c r="AF83" s="354">
        <f t="shared" si="29"/>
        <v>-134.19999999999999</v>
      </c>
      <c r="AG83" s="438">
        <f t="shared" si="23"/>
        <v>-221.754163770627</v>
      </c>
      <c r="AH83" s="438">
        <f t="shared" si="31"/>
        <v>241.62829614342189</v>
      </c>
      <c r="AI83" s="438">
        <f t="shared" si="30"/>
        <v>-241.62829614342189</v>
      </c>
      <c r="AJ83" s="438">
        <f t="shared" si="24"/>
        <v>12.027321242039074</v>
      </c>
      <c r="AK83" s="438">
        <f t="shared" si="25"/>
        <v>-146.22732124203907</v>
      </c>
      <c r="AL83" s="165">
        <f t="shared" si="12"/>
        <v>964.47078834599859</v>
      </c>
      <c r="AM83" s="166">
        <f t="shared" si="13"/>
        <v>-68.38667299011621</v>
      </c>
      <c r="AN83" s="167">
        <f t="shared" si="26"/>
        <v>964.47078834599859</v>
      </c>
      <c r="AO83" s="167">
        <f t="shared" si="27"/>
        <v>68.38667299011621</v>
      </c>
      <c r="BB83" s="120"/>
      <c r="BC83" s="120"/>
      <c r="BD83" s="120"/>
    </row>
    <row r="84" spans="1:56" ht="20.25" hidden="1" thickBot="1" x14ac:dyDescent="0.45">
      <c r="B84" s="169">
        <v>14</v>
      </c>
      <c r="C84" s="170"/>
      <c r="D84" s="8">
        <v>20</v>
      </c>
      <c r="E84" s="360"/>
      <c r="F84" s="363"/>
      <c r="G84" s="173">
        <f t="shared" si="14"/>
        <v>20</v>
      </c>
      <c r="H84" s="174">
        <v>188.8612</v>
      </c>
      <c r="I84" s="174">
        <v>67.527957799999996</v>
      </c>
      <c r="J84" s="57">
        <f t="shared" si="15"/>
        <v>47.527957799999996</v>
      </c>
      <c r="K84" s="57">
        <f t="shared" si="3"/>
        <v>23.763978899999998</v>
      </c>
      <c r="L84" s="57">
        <f t="shared" si="4"/>
        <v>0.40296999357892477</v>
      </c>
      <c r="M84" s="57">
        <f t="shared" si="5"/>
        <v>76.105396551308019</v>
      </c>
      <c r="N84" s="57">
        <f t="shared" si="6"/>
        <v>152.21079310261604</v>
      </c>
      <c r="O84" s="57">
        <f>+C71+D72+D73+D74+D75+D76+D77+D78+D79+D80+D81+D82+D83+(D84/2)</f>
        <v>260</v>
      </c>
      <c r="P84" s="57">
        <f t="shared" si="7"/>
        <v>-0.98480775301220724</v>
      </c>
      <c r="Q84" s="57">
        <f t="shared" si="8"/>
        <v>-149.89836913959329</v>
      </c>
      <c r="R84" s="57">
        <f t="shared" si="16"/>
        <v>754.35553787671449</v>
      </c>
      <c r="S84" s="57">
        <f t="shared" si="28"/>
        <v>604.45716873712126</v>
      </c>
      <c r="T84" s="175">
        <f t="shared" si="9"/>
        <v>604.45716873712126</v>
      </c>
      <c r="U84" s="105"/>
      <c r="V84" s="176">
        <f t="shared" si="10"/>
        <v>0</v>
      </c>
      <c r="W84" s="158"/>
      <c r="X84" s="176">
        <f t="shared" si="17"/>
        <v>0</v>
      </c>
      <c r="Y84" s="177">
        <f>SUM(D72:D84)+$C$71</f>
        <v>270</v>
      </c>
      <c r="Z84" s="438">
        <f t="shared" si="18"/>
        <v>-203.74445159999999</v>
      </c>
      <c r="AA84" s="444">
        <f t="shared" si="11"/>
        <v>0.40265805117639281</v>
      </c>
      <c r="AB84" s="438">
        <f t="shared" si="19"/>
        <v>122.53726052624592</v>
      </c>
      <c r="AC84" s="438">
        <f t="shared" si="20"/>
        <v>320.01854969999999</v>
      </c>
      <c r="AD84" s="444">
        <f t="shared" si="21"/>
        <v>-0.64253956655634548</v>
      </c>
      <c r="AE84" s="438">
        <f t="shared" si="22"/>
        <v>-179.30741271299703</v>
      </c>
      <c r="AF84" s="354">
        <f t="shared" si="29"/>
        <v>-146.39999999999998</v>
      </c>
      <c r="AG84" s="438">
        <f t="shared" si="23"/>
        <v>-56.770152186751119</v>
      </c>
      <c r="AH84" s="438">
        <f t="shared" si="31"/>
        <v>179.30741271299703</v>
      </c>
      <c r="AI84" s="438">
        <f t="shared" si="30"/>
        <v>-179.30741271299703</v>
      </c>
      <c r="AJ84" s="438">
        <f t="shared" si="24"/>
        <v>316.00152985372949</v>
      </c>
      <c r="AK84" s="438">
        <f t="shared" si="25"/>
        <v>-462.40152985372947</v>
      </c>
      <c r="AL84" s="165">
        <f t="shared" si="12"/>
        <v>36.708683041406154</v>
      </c>
      <c r="AM84" s="166">
        <f t="shared" si="13"/>
        <v>-21.626226027330141</v>
      </c>
      <c r="AN84" s="167">
        <f t="shared" si="26"/>
        <v>36.708683041406154</v>
      </c>
      <c r="AO84" s="167">
        <f t="shared" si="27"/>
        <v>21.626226027330141</v>
      </c>
      <c r="BB84" s="120"/>
      <c r="BC84" s="120"/>
      <c r="BD84" s="120"/>
    </row>
    <row r="85" spans="1:56" ht="20.25" hidden="1" thickBot="1" x14ac:dyDescent="0.45">
      <c r="B85" s="169">
        <v>15</v>
      </c>
      <c r="C85" s="170"/>
      <c r="D85" s="8">
        <v>20</v>
      </c>
      <c r="E85" s="360"/>
      <c r="F85" s="363"/>
      <c r="G85" s="173">
        <f t="shared" si="14"/>
        <v>20</v>
      </c>
      <c r="H85" s="174">
        <v>188.8612</v>
      </c>
      <c r="I85" s="174">
        <v>67.527957799999996</v>
      </c>
      <c r="J85" s="57">
        <f t="shared" si="15"/>
        <v>47.527957799999996</v>
      </c>
      <c r="K85" s="57">
        <f t="shared" si="3"/>
        <v>23.763978899999998</v>
      </c>
      <c r="L85" s="57">
        <f t="shared" si="4"/>
        <v>0.40296999357892477</v>
      </c>
      <c r="M85" s="57">
        <f t="shared" si="5"/>
        <v>76.105396551308019</v>
      </c>
      <c r="N85" s="57">
        <f t="shared" si="6"/>
        <v>152.21079310261604</v>
      </c>
      <c r="O85" s="57">
        <f>+C71+D72+D73+D74+D75+D76+D77+D78+D79+D80+D81+D82+D83+D84+(D85/2)</f>
        <v>280</v>
      </c>
      <c r="P85" s="57">
        <f t="shared" si="7"/>
        <v>-0.98480775301220891</v>
      </c>
      <c r="Q85" s="57">
        <f t="shared" si="8"/>
        <v>-149.89836913959351</v>
      </c>
      <c r="R85" s="57">
        <f t="shared" si="16"/>
        <v>604.45716873712126</v>
      </c>
      <c r="S85" s="57">
        <f t="shared" si="28"/>
        <v>454.55879959752775</v>
      </c>
      <c r="T85" s="175">
        <f t="shared" si="9"/>
        <v>454.55879959752775</v>
      </c>
      <c r="U85" s="105"/>
      <c r="V85" s="176">
        <f t="shared" si="10"/>
        <v>0</v>
      </c>
      <c r="W85" s="158"/>
      <c r="X85" s="176">
        <f t="shared" si="17"/>
        <v>0</v>
      </c>
      <c r="Y85" s="177">
        <f>SUM(D72:D85)+$C$71</f>
        <v>290</v>
      </c>
      <c r="Z85" s="438">
        <f t="shared" si="18"/>
        <v>-223.74445159999999</v>
      </c>
      <c r="AA85" s="444">
        <f t="shared" si="11"/>
        <v>0.69144310036830425</v>
      </c>
      <c r="AB85" s="438">
        <f t="shared" si="19"/>
        <v>210.42058660287267</v>
      </c>
      <c r="AC85" s="438">
        <f t="shared" si="20"/>
        <v>340.01854969999999</v>
      </c>
      <c r="AD85" s="444">
        <f t="shared" si="21"/>
        <v>-0.34171589678156505</v>
      </c>
      <c r="AE85" s="438">
        <f t="shared" si="22"/>
        <v>-95.359409013811927</v>
      </c>
      <c r="AF85" s="354">
        <f t="shared" si="29"/>
        <v>-158.6</v>
      </c>
      <c r="AG85" s="438">
        <f t="shared" si="23"/>
        <v>115.06117758906075</v>
      </c>
      <c r="AH85" s="438">
        <f t="shared" si="31"/>
        <v>95.359409013811927</v>
      </c>
      <c r="AI85" s="438">
        <f t="shared" si="30"/>
        <v>-95.359409013811927</v>
      </c>
      <c r="AJ85" s="438">
        <f t="shared" si="24"/>
        <v>-290.0431382199626</v>
      </c>
      <c r="AK85" s="438">
        <f t="shared" si="25"/>
        <v>131.44313821996255</v>
      </c>
      <c r="AL85" s="165">
        <f t="shared" si="12"/>
        <v>-39.994050785655219</v>
      </c>
      <c r="AM85" s="166">
        <f t="shared" si="13"/>
        <v>76.07852441308556</v>
      </c>
      <c r="AN85" s="167">
        <f t="shared" si="26"/>
        <v>39.994050785655219</v>
      </c>
      <c r="AO85" s="167">
        <f t="shared" si="27"/>
        <v>76.07852441308556</v>
      </c>
      <c r="BB85" s="120"/>
      <c r="BC85" s="120"/>
      <c r="BD85" s="120"/>
    </row>
    <row r="86" spans="1:56" ht="20.25" hidden="1" thickBot="1" x14ac:dyDescent="0.45">
      <c r="B86" s="169">
        <v>16</v>
      </c>
      <c r="C86" s="170"/>
      <c r="D86" s="8">
        <v>20</v>
      </c>
      <c r="E86" s="360"/>
      <c r="F86" s="363"/>
      <c r="G86" s="173">
        <f t="shared" si="14"/>
        <v>20</v>
      </c>
      <c r="H86" s="174">
        <v>188.8612</v>
      </c>
      <c r="I86" s="174">
        <v>67.527957799999996</v>
      </c>
      <c r="J86" s="57">
        <f t="shared" si="15"/>
        <v>47.527957799999996</v>
      </c>
      <c r="K86" s="57">
        <f t="shared" si="3"/>
        <v>23.763978899999998</v>
      </c>
      <c r="L86" s="57">
        <f t="shared" si="4"/>
        <v>0.40296999357892477</v>
      </c>
      <c r="M86" s="57">
        <f t="shared" si="5"/>
        <v>76.105396551308019</v>
      </c>
      <c r="N86" s="57">
        <f t="shared" si="6"/>
        <v>152.21079310261604</v>
      </c>
      <c r="O86" s="57">
        <f>+C71+D72+D73+D74+D75+D76+D77+D78+D79+D80+D81+D82+D83+D84+D85+(D86/2)</f>
        <v>300</v>
      </c>
      <c r="P86" s="57">
        <f t="shared" si="7"/>
        <v>-0.86602540378444126</v>
      </c>
      <c r="Q86" s="57">
        <f t="shared" si="8"/>
        <v>-131.8184135570431</v>
      </c>
      <c r="R86" s="57">
        <f t="shared" si="16"/>
        <v>454.55879959752775</v>
      </c>
      <c r="S86" s="57">
        <f t="shared" si="28"/>
        <v>322.74038604048462</v>
      </c>
      <c r="T86" s="175">
        <f t="shared" si="9"/>
        <v>322.74038604048462</v>
      </c>
      <c r="U86" s="105"/>
      <c r="V86" s="176">
        <f t="shared" si="10"/>
        <v>0</v>
      </c>
      <c r="W86" s="158"/>
      <c r="X86" s="176">
        <f t="shared" si="17"/>
        <v>0</v>
      </c>
      <c r="Y86" s="177">
        <f>SUM(D72:D86)+$C$71</f>
        <v>310</v>
      </c>
      <c r="Z86" s="438">
        <f t="shared" si="18"/>
        <v>-243.74445159999999</v>
      </c>
      <c r="AA86" s="444">
        <f t="shared" si="11"/>
        <v>0.89682990704245857</v>
      </c>
      <c r="AB86" s="438">
        <f t="shared" si="19"/>
        <v>272.92408445807735</v>
      </c>
      <c r="AC86" s="438">
        <f t="shared" si="20"/>
        <v>360.01854969999999</v>
      </c>
      <c r="AD86" s="444">
        <f t="shared" si="21"/>
        <v>3.2375333459535265E-4</v>
      </c>
      <c r="AE86" s="438">
        <f t="shared" si="22"/>
        <v>9.0346767428846411E-2</v>
      </c>
      <c r="AF86" s="354">
        <f t="shared" si="29"/>
        <v>-170.79999999999998</v>
      </c>
      <c r="AG86" s="438">
        <f t="shared" si="23"/>
        <v>273.0144312255062</v>
      </c>
      <c r="AH86" s="438">
        <f t="shared" si="31"/>
        <v>-9.0346767428846411E-2</v>
      </c>
      <c r="AI86" s="438">
        <f t="shared" si="30"/>
        <v>9.0346767428846411E-2</v>
      </c>
      <c r="AJ86" s="438">
        <f t="shared" si="24"/>
        <v>-170.74347834358943</v>
      </c>
      <c r="AK86" s="438">
        <f t="shared" si="25"/>
        <v>-5.6521656410539634E-2</v>
      </c>
      <c r="AL86" s="165">
        <f t="shared" si="12"/>
        <v>-67.93817317377804</v>
      </c>
      <c r="AM86" s="166">
        <f t="shared" si="13"/>
        <v>-176923.33585141168</v>
      </c>
      <c r="AN86" s="167">
        <f t="shared" si="26"/>
        <v>67.93817317377804</v>
      </c>
      <c r="AO86" s="167">
        <f t="shared" si="27"/>
        <v>176923.33585141168</v>
      </c>
      <c r="BB86" s="120"/>
      <c r="BC86" s="120"/>
      <c r="BD86" s="120"/>
    </row>
    <row r="87" spans="1:56" ht="20.25" hidden="1" thickBot="1" x14ac:dyDescent="0.45">
      <c r="B87" s="169">
        <v>17</v>
      </c>
      <c r="C87" s="170"/>
      <c r="D87" s="8">
        <v>20</v>
      </c>
      <c r="E87" s="360"/>
      <c r="F87" s="363"/>
      <c r="G87" s="173">
        <f t="shared" si="14"/>
        <v>20</v>
      </c>
      <c r="H87" s="174">
        <v>188.8612</v>
      </c>
      <c r="I87" s="174">
        <v>67.527957799999996</v>
      </c>
      <c r="J87" s="57">
        <f t="shared" si="15"/>
        <v>47.527957799999996</v>
      </c>
      <c r="K87" s="57">
        <f t="shared" si="3"/>
        <v>23.763978899999998</v>
      </c>
      <c r="L87" s="57">
        <f t="shared" si="4"/>
        <v>0.40296999357892477</v>
      </c>
      <c r="M87" s="57">
        <f t="shared" si="5"/>
        <v>76.105396551308019</v>
      </c>
      <c r="N87" s="57">
        <f t="shared" si="6"/>
        <v>152.21079310261604</v>
      </c>
      <c r="O87" s="57">
        <f>+C71+D72+D73+D74+D75+D76+D77+D78+D79+D80+D81+D82+D83+D84+D85+D86+(D87/2)</f>
        <v>320</v>
      </c>
      <c r="P87" s="57">
        <f t="shared" si="7"/>
        <v>-0.64278760968654369</v>
      </c>
      <c r="Q87" s="57">
        <f t="shared" si="8"/>
        <v>-97.83921186692362</v>
      </c>
      <c r="R87" s="57">
        <f t="shared" si="16"/>
        <v>322.74038604048462</v>
      </c>
      <c r="S87" s="57">
        <f t="shared" si="28"/>
        <v>224.901174173561</v>
      </c>
      <c r="T87" s="175">
        <f t="shared" si="9"/>
        <v>224.901174173561</v>
      </c>
      <c r="U87" s="105"/>
      <c r="V87" s="176">
        <f t="shared" si="10"/>
        <v>0</v>
      </c>
      <c r="W87" s="158"/>
      <c r="X87" s="176">
        <f t="shared" si="17"/>
        <v>0</v>
      </c>
      <c r="Y87" s="177">
        <f>SUM(D72:D87)+$C$71</f>
        <v>330</v>
      </c>
      <c r="Z87" s="438">
        <f t="shared" si="18"/>
        <v>-263.74445159999999</v>
      </c>
      <c r="AA87" s="444">
        <f t="shared" si="11"/>
        <v>0.9940457911275169</v>
      </c>
      <c r="AB87" s="438">
        <f t="shared" si="19"/>
        <v>302.50890979713796</v>
      </c>
      <c r="AC87" s="438">
        <f t="shared" si="20"/>
        <v>380.01854969999999</v>
      </c>
      <c r="AD87" s="444">
        <f t="shared" si="21"/>
        <v>0.34232435402051153</v>
      </c>
      <c r="AE87" s="438">
        <f t="shared" si="22"/>
        <v>95.529205395140963</v>
      </c>
      <c r="AF87" s="354">
        <f t="shared" si="29"/>
        <v>-183</v>
      </c>
      <c r="AG87" s="438">
        <f t="shared" si="23"/>
        <v>398.03811519227895</v>
      </c>
      <c r="AH87" s="438">
        <f t="shared" si="31"/>
        <v>-95.529205395140963</v>
      </c>
      <c r="AI87" s="438">
        <f t="shared" si="30"/>
        <v>95.529205395140963</v>
      </c>
      <c r="AJ87" s="438">
        <f t="shared" si="24"/>
        <v>-139.07997344961325</v>
      </c>
      <c r="AK87" s="438">
        <f t="shared" si="25"/>
        <v>-43.920026550386758</v>
      </c>
      <c r="AL87" s="165">
        <f t="shared" si="12"/>
        <v>-83.405250319540215</v>
      </c>
      <c r="AM87" s="166">
        <f t="shared" si="13"/>
        <v>-227.68656545613905</v>
      </c>
      <c r="AN87" s="167">
        <f t="shared" si="26"/>
        <v>83.405250319540215</v>
      </c>
      <c r="AO87" s="167">
        <f t="shared" si="27"/>
        <v>227.68656545613905</v>
      </c>
      <c r="BB87" s="120"/>
      <c r="BC87" s="120"/>
      <c r="BD87" s="120"/>
    </row>
    <row r="88" spans="1:56" ht="20.25" hidden="1" thickBot="1" x14ac:dyDescent="0.45">
      <c r="B88" s="169">
        <v>18</v>
      </c>
      <c r="C88" s="170"/>
      <c r="D88" s="8">
        <v>20</v>
      </c>
      <c r="E88" s="360"/>
      <c r="F88" s="363"/>
      <c r="G88" s="173">
        <f t="shared" si="14"/>
        <v>20</v>
      </c>
      <c r="H88" s="174">
        <v>188.8612</v>
      </c>
      <c r="I88" s="174">
        <v>67.527957799999996</v>
      </c>
      <c r="J88" s="57">
        <f t="shared" si="15"/>
        <v>47.527957799999996</v>
      </c>
      <c r="K88" s="57">
        <f t="shared" si="3"/>
        <v>23.763978899999998</v>
      </c>
      <c r="L88" s="57">
        <f t="shared" si="4"/>
        <v>0.40296999357892477</v>
      </c>
      <c r="M88" s="57">
        <f t="shared" si="5"/>
        <v>76.105396551308019</v>
      </c>
      <c r="N88" s="57">
        <f t="shared" si="6"/>
        <v>152.21079310261604</v>
      </c>
      <c r="O88" s="57">
        <f>+C71+D72+D73+D74+D75+D76+D77+D78+D79+D80+D81+D82+D83+D84+D85+D86+D87+(D88/2)</f>
        <v>340</v>
      </c>
      <c r="P88" s="57">
        <f t="shared" si="7"/>
        <v>-0.34202014332567443</v>
      </c>
      <c r="Q88" s="57">
        <f t="shared" si="8"/>
        <v>-52.059157272671314</v>
      </c>
      <c r="R88" s="57">
        <f t="shared" si="16"/>
        <v>224.901174173561</v>
      </c>
      <c r="S88" s="57">
        <f t="shared" si="28"/>
        <v>172.84201690088969</v>
      </c>
      <c r="T88" s="175">
        <f t="shared" si="9"/>
        <v>172.84201690088969</v>
      </c>
      <c r="U88" s="105"/>
      <c r="V88" s="176">
        <f t="shared" si="10"/>
        <v>0</v>
      </c>
      <c r="W88" s="158"/>
      <c r="X88" s="176">
        <f t="shared" si="17"/>
        <v>0</v>
      </c>
      <c r="Y88" s="177">
        <f>SUM(D72:D88)+$C$71</f>
        <v>350</v>
      </c>
      <c r="Z88" s="438">
        <f t="shared" si="18"/>
        <v>-283.74445159999999</v>
      </c>
      <c r="AA88" s="444">
        <f t="shared" si="11"/>
        <v>0.97136508224917772</v>
      </c>
      <c r="AB88" s="438">
        <f t="shared" si="19"/>
        <v>295.60669605864376</v>
      </c>
      <c r="AC88" s="438">
        <f t="shared" si="20"/>
        <v>400.01854969999999</v>
      </c>
      <c r="AD88" s="444">
        <f t="shared" si="21"/>
        <v>0.64303558544216155</v>
      </c>
      <c r="AE88" s="438">
        <f t="shared" si="22"/>
        <v>179.44583199128232</v>
      </c>
      <c r="AF88" s="354">
        <f t="shared" si="29"/>
        <v>-195.2</v>
      </c>
      <c r="AG88" s="438">
        <f t="shared" si="23"/>
        <v>475.05252804992608</v>
      </c>
      <c r="AH88" s="438">
        <f t="shared" si="31"/>
        <v>-179.44583199128232</v>
      </c>
      <c r="AI88" s="438">
        <f t="shared" si="30"/>
        <v>179.44583199128232</v>
      </c>
      <c r="AJ88" s="438">
        <f t="shared" si="24"/>
        <v>-121.46536154120406</v>
      </c>
      <c r="AK88" s="438">
        <f t="shared" si="25"/>
        <v>-73.734638458795928</v>
      </c>
      <c r="AL88" s="165">
        <f t="shared" si="12"/>
        <v>-95.500477278577833</v>
      </c>
      <c r="AM88" s="166">
        <f t="shared" si="13"/>
        <v>-135.62146921745818</v>
      </c>
      <c r="AN88" s="167">
        <f t="shared" si="26"/>
        <v>95.500477278577833</v>
      </c>
      <c r="AO88" s="167">
        <f t="shared" si="27"/>
        <v>135.62146921745818</v>
      </c>
      <c r="BB88" s="120"/>
      <c r="BC88" s="120"/>
      <c r="BD88" s="120"/>
    </row>
    <row r="89" spans="1:56" ht="20.25" hidden="1" thickBot="1" x14ac:dyDescent="0.45">
      <c r="B89" s="169">
        <v>19</v>
      </c>
      <c r="C89" s="170"/>
      <c r="D89" s="8">
        <v>20</v>
      </c>
      <c r="E89" s="360"/>
      <c r="F89" s="363"/>
      <c r="G89" s="173">
        <f t="shared" si="14"/>
        <v>20</v>
      </c>
      <c r="H89" s="174">
        <v>188.8612</v>
      </c>
      <c r="I89" s="174">
        <v>67.527957799999996</v>
      </c>
      <c r="J89" s="57">
        <f t="shared" si="15"/>
        <v>47.527957799999996</v>
      </c>
      <c r="K89" s="57">
        <f t="shared" si="3"/>
        <v>23.763978899999998</v>
      </c>
      <c r="L89" s="57">
        <f t="shared" si="4"/>
        <v>0.40296999357892477</v>
      </c>
      <c r="M89" s="57">
        <f t="shared" si="5"/>
        <v>76.105396551308019</v>
      </c>
      <c r="N89" s="57">
        <f t="shared" si="6"/>
        <v>152.21079310261604</v>
      </c>
      <c r="O89" s="57">
        <f>+C71+D72+D73+D74+D75+D76+D77+D78+D79+D80+D81+D82+D83+D84+D85+D86+D87+D88+(D89/2)</f>
        <v>360</v>
      </c>
      <c r="P89" s="57">
        <f t="shared" si="7"/>
        <v>-6.4622786288826006E-15</v>
      </c>
      <c r="Q89" s="57">
        <f t="shared" si="8"/>
        <v>-9.8362855535230678E-13</v>
      </c>
      <c r="R89" s="57">
        <f t="shared" si="16"/>
        <v>172.84201690088969</v>
      </c>
      <c r="S89" s="57">
        <f t="shared" si="28"/>
        <v>172.84201690088869</v>
      </c>
      <c r="T89" s="175">
        <f t="shared" si="9"/>
        <v>172.84201690088869</v>
      </c>
      <c r="U89" s="105"/>
      <c r="V89" s="176">
        <f t="shared" si="10"/>
        <v>0</v>
      </c>
      <c r="W89" s="158"/>
      <c r="X89" s="176">
        <f t="shared" si="17"/>
        <v>0</v>
      </c>
      <c r="Y89" s="177">
        <f>SUM(D72:D89)+$C$71</f>
        <v>370</v>
      </c>
      <c r="Z89" s="438">
        <f t="shared" si="18"/>
        <v>-303.74445159999999</v>
      </c>
      <c r="AA89" s="444">
        <f t="shared" si="11"/>
        <v>0.83152340862978191</v>
      </c>
      <c r="AB89" s="438">
        <f t="shared" si="19"/>
        <v>253.049952085283</v>
      </c>
      <c r="AC89" s="438">
        <f t="shared" si="20"/>
        <v>420.01854969999999</v>
      </c>
      <c r="AD89" s="444">
        <f t="shared" si="21"/>
        <v>0.86618723506497919</v>
      </c>
      <c r="AE89" s="438">
        <f t="shared" si="22"/>
        <v>241.7186429108506</v>
      </c>
      <c r="AF89" s="354">
        <f t="shared" si="29"/>
        <v>-207.39999999999998</v>
      </c>
      <c r="AG89" s="438">
        <f t="shared" si="23"/>
        <v>494.76859499613363</v>
      </c>
      <c r="AH89" s="438">
        <f t="shared" si="31"/>
        <v>-241.7186429108506</v>
      </c>
      <c r="AI89" s="438">
        <f t="shared" si="30"/>
        <v>241.7186429108506</v>
      </c>
      <c r="AJ89" s="438">
        <f t="shared" si="24"/>
        <v>-106.07496230211987</v>
      </c>
      <c r="AK89" s="438">
        <f t="shared" si="25"/>
        <v>-101.32503769788011</v>
      </c>
      <c r="AL89" s="165">
        <f t="shared" si="12"/>
        <v>-109.35662618442598</v>
      </c>
      <c r="AM89" s="166">
        <f t="shared" si="13"/>
        <v>-98.692289953218719</v>
      </c>
      <c r="AN89" s="167">
        <f t="shared" si="26"/>
        <v>109.35662618442598</v>
      </c>
      <c r="AO89" s="167">
        <f t="shared" si="27"/>
        <v>98.692289953218719</v>
      </c>
      <c r="BB89" s="120"/>
      <c r="BC89" s="120"/>
      <c r="BD89" s="120"/>
    </row>
    <row r="90" spans="1:56" ht="20.25" hidden="1" thickBot="1" x14ac:dyDescent="0.45">
      <c r="B90" s="169">
        <v>20</v>
      </c>
      <c r="C90" s="170"/>
      <c r="D90" s="8">
        <v>20</v>
      </c>
      <c r="E90" s="360"/>
      <c r="F90" s="363"/>
      <c r="G90" s="173">
        <f t="shared" si="14"/>
        <v>20</v>
      </c>
      <c r="H90" s="174">
        <v>188.8612</v>
      </c>
      <c r="I90" s="174">
        <v>67.527957799999996</v>
      </c>
      <c r="J90" s="57">
        <f t="shared" si="15"/>
        <v>47.527957799999996</v>
      </c>
      <c r="K90" s="57">
        <f t="shared" si="3"/>
        <v>23.763978899999998</v>
      </c>
      <c r="L90" s="57">
        <f t="shared" si="4"/>
        <v>0.40296999357892477</v>
      </c>
      <c r="M90" s="57">
        <f t="shared" si="5"/>
        <v>76.105396551308019</v>
      </c>
      <c r="N90" s="57">
        <f t="shared" si="6"/>
        <v>152.21079310261604</v>
      </c>
      <c r="O90" s="57">
        <f>+C71+D72+D73+D74+D75+D76+D77+D78+D79+D80+D81+D82+D83+D84+D85+D86+D87+D88+D89+(D90/2)</f>
        <v>380</v>
      </c>
      <c r="P90" s="57">
        <f t="shared" si="7"/>
        <v>0.34202014332566311</v>
      </c>
      <c r="Q90" s="57">
        <f t="shared" si="8"/>
        <v>52.059157272669587</v>
      </c>
      <c r="R90" s="57">
        <f t="shared" si="16"/>
        <v>172.84201690088869</v>
      </c>
      <c r="S90" s="57">
        <f t="shared" si="28"/>
        <v>224.90117417355827</v>
      </c>
      <c r="T90" s="175">
        <f t="shared" si="9"/>
        <v>224.90117417355827</v>
      </c>
      <c r="U90" s="105"/>
      <c r="V90" s="176">
        <f t="shared" si="10"/>
        <v>0</v>
      </c>
      <c r="W90" s="158"/>
      <c r="X90" s="176">
        <f t="shared" si="17"/>
        <v>0</v>
      </c>
      <c r="Y90" s="177">
        <f>SUM(D72:D90)+$C$71</f>
        <v>390</v>
      </c>
      <c r="Z90" s="438">
        <f t="shared" si="18"/>
        <v>-323.74445159999999</v>
      </c>
      <c r="AA90" s="444">
        <f t="shared" si="11"/>
        <v>0.59138773995112581</v>
      </c>
      <c r="AB90" s="438">
        <f t="shared" si="19"/>
        <v>179.97164927089256</v>
      </c>
      <c r="AC90" s="438">
        <f t="shared" si="20"/>
        <v>440.01854969999999</v>
      </c>
      <c r="AD90" s="444">
        <f t="shared" si="21"/>
        <v>0.98486392057685845</v>
      </c>
      <c r="AE90" s="438">
        <f t="shared" si="22"/>
        <v>274.8366181081384</v>
      </c>
      <c r="AF90" s="354">
        <f t="shared" si="29"/>
        <v>-219.6</v>
      </c>
      <c r="AG90" s="438">
        <f t="shared" si="23"/>
        <v>454.80826737903095</v>
      </c>
      <c r="AH90" s="438">
        <f t="shared" si="31"/>
        <v>-274.8366181081384</v>
      </c>
      <c r="AI90" s="438">
        <f t="shared" si="30"/>
        <v>274.8366181081384</v>
      </c>
      <c r="AJ90" s="438">
        <f t="shared" si="24"/>
        <v>-86.897659991196036</v>
      </c>
      <c r="AK90" s="438">
        <f t="shared" si="25"/>
        <v>-132.70234000880399</v>
      </c>
      <c r="AL90" s="165">
        <f t="shared" si="12"/>
        <v>-133.49036097376205</v>
      </c>
      <c r="AM90" s="166">
        <f t="shared" si="13"/>
        <v>-75.356621438149176</v>
      </c>
      <c r="AN90" s="167">
        <f t="shared" si="26"/>
        <v>133.49036097376205</v>
      </c>
      <c r="AO90" s="167">
        <f t="shared" si="27"/>
        <v>75.356621438149176</v>
      </c>
      <c r="BB90" s="120"/>
      <c r="BC90" s="120"/>
      <c r="BD90" s="120"/>
    </row>
    <row r="91" spans="1:56" ht="19.5" hidden="1" x14ac:dyDescent="0.4">
      <c r="BB91" s="120"/>
      <c r="BC91" s="120"/>
      <c r="BD91" s="120"/>
    </row>
    <row r="92" spans="1:56" ht="19.5" hidden="1" x14ac:dyDescent="0.4">
      <c r="BB92" s="120"/>
      <c r="BC92" s="120"/>
      <c r="BD92" s="120"/>
    </row>
    <row r="93" spans="1:56" ht="20.25" hidden="1" x14ac:dyDescent="0.4">
      <c r="AT93" s="74"/>
      <c r="AU93" s="74"/>
      <c r="AV93" s="183" t="s">
        <v>79</v>
      </c>
      <c r="AW93" s="74"/>
      <c r="AX93" s="74"/>
      <c r="AY93" s="74"/>
      <c r="AZ93" s="74"/>
      <c r="BA93" s="74"/>
      <c r="BB93" s="120"/>
      <c r="BC93" s="120"/>
      <c r="BD93" s="120"/>
    </row>
    <row r="94" spans="1:56" ht="20.25" hidden="1" x14ac:dyDescent="0.4">
      <c r="AT94" s="184">
        <v>1</v>
      </c>
      <c r="AU94" s="376">
        <v>0</v>
      </c>
      <c r="AV94" s="186">
        <f>+COS(($B$64*-1)*3.14159265358979/180)*AU94</f>
        <v>0</v>
      </c>
      <c r="AW94" s="187">
        <f t="shared" ref="AW94:AW111" si="32">+AV94-D$3</f>
        <v>-151.41955390124838</v>
      </c>
      <c r="AX94" s="188">
        <f t="shared" ref="AX94:AX111" si="33">ABS(AW94)</f>
        <v>151.41955390124838</v>
      </c>
      <c r="AY94" s="189">
        <f>MIN(AX94:AX118)</f>
        <v>1.4195539012483778</v>
      </c>
      <c r="AZ94" s="188" t="b">
        <f>IF(AY94=AX94,AT94)</f>
        <v>0</v>
      </c>
      <c r="BA94" s="190">
        <v>1</v>
      </c>
      <c r="BB94" s="120"/>
      <c r="BC94" s="120"/>
      <c r="BD94" s="120"/>
    </row>
    <row r="95" spans="1:56" ht="20.25" hidden="1" x14ac:dyDescent="0.4">
      <c r="AT95" s="184">
        <v>2</v>
      </c>
      <c r="AU95" s="376">
        <f>+AU94+30</f>
        <v>30</v>
      </c>
      <c r="AV95" s="17">
        <f>+AV94+$E$2</f>
        <v>30</v>
      </c>
      <c r="AW95" s="187">
        <f t="shared" si="32"/>
        <v>-121.41955390124838</v>
      </c>
      <c r="AX95" s="188">
        <f t="shared" si="33"/>
        <v>121.41955390124838</v>
      </c>
      <c r="AY95" s="188">
        <f>+AY94</f>
        <v>1.4195539012483778</v>
      </c>
      <c r="AZ95" s="188" t="b">
        <f t="shared" ref="AZ95:AZ111" si="34">IF(AY95=AX95,AT95)</f>
        <v>0</v>
      </c>
      <c r="BA95" s="190">
        <v>2</v>
      </c>
      <c r="BB95" s="120"/>
      <c r="BC95" s="120"/>
      <c r="BD95" s="120"/>
    </row>
    <row r="96" spans="1:56" ht="20.25" hidden="1" x14ac:dyDescent="0.4">
      <c r="AT96" s="184">
        <v>3</v>
      </c>
      <c r="AU96" s="376">
        <f t="shared" ref="AU96:AU111" si="35">+AU95+30</f>
        <v>60</v>
      </c>
      <c r="AV96" s="17">
        <f t="shared" ref="AV96:AV111" si="36">+AV95+$E$2</f>
        <v>60</v>
      </c>
      <c r="AW96" s="187">
        <f t="shared" si="32"/>
        <v>-91.419553901248378</v>
      </c>
      <c r="AX96" s="188">
        <f t="shared" si="33"/>
        <v>91.419553901248378</v>
      </c>
      <c r="AY96" s="188">
        <f t="shared" ref="AY96:AY111" si="37">+AY95</f>
        <v>1.4195539012483778</v>
      </c>
      <c r="AZ96" s="188" t="b">
        <f t="shared" si="34"/>
        <v>0</v>
      </c>
      <c r="BA96" s="190">
        <v>3</v>
      </c>
      <c r="BB96" s="120"/>
      <c r="BC96" s="120"/>
      <c r="BD96" s="120"/>
    </row>
    <row r="97" spans="42:72" ht="20.25" hidden="1" x14ac:dyDescent="0.4">
      <c r="AT97" s="184">
        <v>4</v>
      </c>
      <c r="AU97" s="376">
        <f t="shared" si="35"/>
        <v>90</v>
      </c>
      <c r="AV97" s="17">
        <f t="shared" si="36"/>
        <v>90</v>
      </c>
      <c r="AW97" s="187">
        <f t="shared" si="32"/>
        <v>-61.419553901248378</v>
      </c>
      <c r="AX97" s="188">
        <f t="shared" si="33"/>
        <v>61.419553901248378</v>
      </c>
      <c r="AY97" s="188">
        <f t="shared" si="37"/>
        <v>1.4195539012483778</v>
      </c>
      <c r="AZ97" s="188" t="b">
        <f t="shared" si="34"/>
        <v>0</v>
      </c>
      <c r="BA97" s="190">
        <v>4</v>
      </c>
      <c r="BB97" s="120"/>
      <c r="BC97" s="120"/>
      <c r="BD97" s="120"/>
    </row>
    <row r="98" spans="42:72" ht="20.25" hidden="1" x14ac:dyDescent="0.4">
      <c r="AT98" s="184">
        <v>5</v>
      </c>
      <c r="AU98" s="376">
        <f t="shared" si="35"/>
        <v>120</v>
      </c>
      <c r="AV98" s="17">
        <f t="shared" si="36"/>
        <v>120</v>
      </c>
      <c r="AW98" s="187">
        <f t="shared" si="32"/>
        <v>-31.419553901248378</v>
      </c>
      <c r="AX98" s="188">
        <f t="shared" si="33"/>
        <v>31.419553901248378</v>
      </c>
      <c r="AY98" s="188">
        <f t="shared" si="37"/>
        <v>1.4195539012483778</v>
      </c>
      <c r="AZ98" s="188" t="b">
        <f t="shared" si="34"/>
        <v>0</v>
      </c>
      <c r="BA98" s="190">
        <v>5</v>
      </c>
      <c r="BB98" s="120"/>
      <c r="BC98" s="120"/>
      <c r="BD98" s="120"/>
    </row>
    <row r="99" spans="42:72" ht="20.25" hidden="1" x14ac:dyDescent="0.4">
      <c r="AP99" s="105"/>
      <c r="AQ99" s="105"/>
      <c r="AR99" s="105"/>
      <c r="AS99" s="105"/>
      <c r="AT99" s="184">
        <v>6</v>
      </c>
      <c r="AU99" s="376">
        <f t="shared" si="35"/>
        <v>150</v>
      </c>
      <c r="AV99" s="17">
        <f t="shared" si="36"/>
        <v>150</v>
      </c>
      <c r="AW99" s="187">
        <f t="shared" si="32"/>
        <v>-1.4195539012483778</v>
      </c>
      <c r="AX99" s="188">
        <f t="shared" si="33"/>
        <v>1.4195539012483778</v>
      </c>
      <c r="AY99" s="188">
        <f t="shared" si="37"/>
        <v>1.4195539012483778</v>
      </c>
      <c r="AZ99" s="188">
        <f t="shared" si="34"/>
        <v>6</v>
      </c>
      <c r="BA99" s="190">
        <v>6</v>
      </c>
    </row>
    <row r="100" spans="42:72" ht="20.25" hidden="1" x14ac:dyDescent="0.4">
      <c r="AP100" s="105"/>
      <c r="AQ100" s="105"/>
      <c r="AR100" s="105"/>
      <c r="AS100" s="105"/>
      <c r="AT100" s="184">
        <v>7</v>
      </c>
      <c r="AU100" s="376">
        <f t="shared" si="35"/>
        <v>180</v>
      </c>
      <c r="AV100" s="17">
        <f t="shared" si="36"/>
        <v>180</v>
      </c>
      <c r="AW100" s="187">
        <f t="shared" si="32"/>
        <v>28.580446098751622</v>
      </c>
      <c r="AX100" s="188">
        <f t="shared" si="33"/>
        <v>28.580446098751622</v>
      </c>
      <c r="AY100" s="188">
        <f t="shared" si="37"/>
        <v>1.4195539012483778</v>
      </c>
      <c r="AZ100" s="188" t="b">
        <f t="shared" si="34"/>
        <v>0</v>
      </c>
      <c r="BA100" s="190">
        <v>7</v>
      </c>
    </row>
    <row r="101" spans="42:72" ht="20.25" hidden="1" x14ac:dyDescent="0.4">
      <c r="AP101" s="105"/>
      <c r="AQ101" s="105"/>
      <c r="AR101" s="105"/>
      <c r="AS101" s="105"/>
      <c r="AT101" s="184">
        <v>8</v>
      </c>
      <c r="AU101" s="376">
        <f t="shared" si="35"/>
        <v>210</v>
      </c>
      <c r="AV101" s="17">
        <f t="shared" si="36"/>
        <v>210</v>
      </c>
      <c r="AW101" s="187">
        <f t="shared" si="32"/>
        <v>58.580446098751622</v>
      </c>
      <c r="AX101" s="188">
        <f t="shared" si="33"/>
        <v>58.580446098751622</v>
      </c>
      <c r="AY101" s="188">
        <f t="shared" si="37"/>
        <v>1.4195539012483778</v>
      </c>
      <c r="AZ101" s="188" t="b">
        <f t="shared" si="34"/>
        <v>0</v>
      </c>
      <c r="BA101" s="190">
        <v>8</v>
      </c>
    </row>
    <row r="102" spans="42:72" ht="20.25" hidden="1" x14ac:dyDescent="0.4">
      <c r="AP102" s="105"/>
      <c r="AQ102" s="105"/>
      <c r="AR102" s="105"/>
      <c r="AS102" s="105"/>
      <c r="AT102" s="184">
        <v>9</v>
      </c>
      <c r="AU102" s="376">
        <f t="shared" si="35"/>
        <v>240</v>
      </c>
      <c r="AV102" s="17">
        <f t="shared" si="36"/>
        <v>240</v>
      </c>
      <c r="AW102" s="187">
        <f t="shared" si="32"/>
        <v>88.580446098751622</v>
      </c>
      <c r="AX102" s="188">
        <f t="shared" si="33"/>
        <v>88.580446098751622</v>
      </c>
      <c r="AY102" s="188">
        <f t="shared" si="37"/>
        <v>1.4195539012483778</v>
      </c>
      <c r="AZ102" s="188" t="b">
        <f t="shared" si="34"/>
        <v>0</v>
      </c>
      <c r="BA102" s="190">
        <v>9</v>
      </c>
    </row>
    <row r="103" spans="42:72" ht="20.25" hidden="1" x14ac:dyDescent="0.4">
      <c r="AP103" s="105"/>
      <c r="AQ103" s="105"/>
      <c r="AR103" s="105"/>
      <c r="AS103" s="105"/>
      <c r="AT103" s="184">
        <v>10</v>
      </c>
      <c r="AU103" s="376">
        <f t="shared" si="35"/>
        <v>270</v>
      </c>
      <c r="AV103" s="17">
        <f t="shared" si="36"/>
        <v>270</v>
      </c>
      <c r="AW103" s="187">
        <f t="shared" si="32"/>
        <v>118.58044609875162</v>
      </c>
      <c r="AX103" s="188">
        <f t="shared" si="33"/>
        <v>118.58044609875162</v>
      </c>
      <c r="AY103" s="188">
        <f t="shared" si="37"/>
        <v>1.4195539012483778</v>
      </c>
      <c r="AZ103" s="188" t="b">
        <f t="shared" si="34"/>
        <v>0</v>
      </c>
      <c r="BA103" s="190">
        <v>10</v>
      </c>
    </row>
    <row r="104" spans="42:72" ht="20.25" hidden="1" x14ac:dyDescent="0.4">
      <c r="AP104" s="105"/>
      <c r="AQ104" s="105"/>
      <c r="AR104" s="105"/>
      <c r="AS104" s="105"/>
      <c r="AT104" s="184">
        <v>11</v>
      </c>
      <c r="AU104" s="376">
        <f t="shared" si="35"/>
        <v>300</v>
      </c>
      <c r="AV104" s="17">
        <f t="shared" si="36"/>
        <v>300</v>
      </c>
      <c r="AW104" s="187">
        <f t="shared" si="32"/>
        <v>148.58044609875162</v>
      </c>
      <c r="AX104" s="188">
        <f t="shared" si="33"/>
        <v>148.58044609875162</v>
      </c>
      <c r="AY104" s="188">
        <f t="shared" si="37"/>
        <v>1.4195539012483778</v>
      </c>
      <c r="AZ104" s="188" t="b">
        <f t="shared" si="34"/>
        <v>0</v>
      </c>
      <c r="BA104" s="190">
        <v>11</v>
      </c>
    </row>
    <row r="105" spans="42:72" ht="20.25" hidden="1" x14ac:dyDescent="0.4">
      <c r="AP105" s="105"/>
      <c r="AQ105" s="105"/>
      <c r="AR105" s="105"/>
      <c r="AS105" s="105"/>
      <c r="AT105" s="184">
        <v>12</v>
      </c>
      <c r="AU105" s="376">
        <f t="shared" si="35"/>
        <v>330</v>
      </c>
      <c r="AV105" s="17">
        <f t="shared" si="36"/>
        <v>330</v>
      </c>
      <c r="AW105" s="187">
        <f t="shared" si="32"/>
        <v>178.58044609875162</v>
      </c>
      <c r="AX105" s="188">
        <f t="shared" si="33"/>
        <v>178.58044609875162</v>
      </c>
      <c r="AY105" s="188">
        <f t="shared" si="37"/>
        <v>1.4195539012483778</v>
      </c>
      <c r="AZ105" s="188" t="b">
        <f t="shared" si="34"/>
        <v>0</v>
      </c>
      <c r="BA105" s="190">
        <v>12</v>
      </c>
    </row>
    <row r="106" spans="42:72" ht="20.25" hidden="1" x14ac:dyDescent="0.4">
      <c r="AP106" s="105"/>
      <c r="AQ106" s="105"/>
      <c r="AR106" s="105"/>
      <c r="AS106" s="105"/>
      <c r="AT106" s="184">
        <v>13</v>
      </c>
      <c r="AU106" s="376">
        <f t="shared" si="35"/>
        <v>360</v>
      </c>
      <c r="AV106" s="17">
        <f t="shared" si="36"/>
        <v>360</v>
      </c>
      <c r="AW106" s="187">
        <f t="shared" si="32"/>
        <v>208.58044609875162</v>
      </c>
      <c r="AX106" s="188">
        <f t="shared" si="33"/>
        <v>208.58044609875162</v>
      </c>
      <c r="AY106" s="188">
        <f t="shared" si="37"/>
        <v>1.4195539012483778</v>
      </c>
      <c r="AZ106" s="188" t="b">
        <f t="shared" si="34"/>
        <v>0</v>
      </c>
      <c r="BA106" s="190">
        <v>13</v>
      </c>
    </row>
    <row r="107" spans="42:72" ht="20.25" hidden="1" x14ac:dyDescent="0.4">
      <c r="AP107" s="105"/>
      <c r="AQ107" s="105"/>
      <c r="AR107" s="105"/>
      <c r="AS107" s="105"/>
      <c r="AT107" s="184">
        <v>14</v>
      </c>
      <c r="AU107" s="376">
        <f t="shared" si="35"/>
        <v>390</v>
      </c>
      <c r="AV107" s="17">
        <f t="shared" si="36"/>
        <v>390</v>
      </c>
      <c r="AW107" s="187">
        <f t="shared" si="32"/>
        <v>238.58044609875162</v>
      </c>
      <c r="AX107" s="188">
        <f t="shared" si="33"/>
        <v>238.58044609875162</v>
      </c>
      <c r="AY107" s="188">
        <f t="shared" si="37"/>
        <v>1.4195539012483778</v>
      </c>
      <c r="AZ107" s="188" t="b">
        <f t="shared" si="34"/>
        <v>0</v>
      </c>
      <c r="BA107" s="190">
        <v>14</v>
      </c>
    </row>
    <row r="108" spans="42:72" ht="20.25" hidden="1" x14ac:dyDescent="0.4">
      <c r="AT108" s="184">
        <v>15</v>
      </c>
      <c r="AU108" s="376">
        <f t="shared" si="35"/>
        <v>420</v>
      </c>
      <c r="AV108" s="17">
        <f t="shared" si="36"/>
        <v>420</v>
      </c>
      <c r="AW108" s="187">
        <f t="shared" si="32"/>
        <v>268.58044609875162</v>
      </c>
      <c r="AX108" s="188">
        <f t="shared" si="33"/>
        <v>268.58044609875162</v>
      </c>
      <c r="AY108" s="188">
        <f t="shared" si="37"/>
        <v>1.4195539012483778</v>
      </c>
      <c r="AZ108" s="188" t="b">
        <f t="shared" si="34"/>
        <v>0</v>
      </c>
      <c r="BA108" s="190">
        <v>15</v>
      </c>
    </row>
    <row r="109" spans="42:72" ht="20.25" hidden="1" x14ac:dyDescent="0.4">
      <c r="AT109" s="184">
        <v>16</v>
      </c>
      <c r="AU109" s="376">
        <f t="shared" si="35"/>
        <v>450</v>
      </c>
      <c r="AV109" s="17">
        <f t="shared" si="36"/>
        <v>450</v>
      </c>
      <c r="AW109" s="187">
        <f t="shared" si="32"/>
        <v>298.58044609875162</v>
      </c>
      <c r="AX109" s="188">
        <f t="shared" si="33"/>
        <v>298.58044609875162</v>
      </c>
      <c r="AY109" s="188">
        <f t="shared" si="37"/>
        <v>1.4195539012483778</v>
      </c>
      <c r="AZ109" s="188" t="b">
        <f t="shared" si="34"/>
        <v>0</v>
      </c>
      <c r="BA109" s="190">
        <v>16</v>
      </c>
    </row>
    <row r="110" spans="42:72" ht="20.25" hidden="1" x14ac:dyDescent="0.4">
      <c r="AT110" s="184">
        <v>17</v>
      </c>
      <c r="AU110" s="376">
        <f t="shared" si="35"/>
        <v>480</v>
      </c>
      <c r="AV110" s="17">
        <f t="shared" si="36"/>
        <v>480</v>
      </c>
      <c r="AW110" s="187">
        <f t="shared" si="32"/>
        <v>328.58044609875162</v>
      </c>
      <c r="AX110" s="188">
        <f t="shared" si="33"/>
        <v>328.58044609875162</v>
      </c>
      <c r="AY110" s="188">
        <f t="shared" si="37"/>
        <v>1.4195539012483778</v>
      </c>
      <c r="AZ110" s="188" t="b">
        <f t="shared" si="34"/>
        <v>0</v>
      </c>
      <c r="BA110" s="190">
        <v>17</v>
      </c>
    </row>
    <row r="111" spans="42:72" ht="20.25" hidden="1" x14ac:dyDescent="0.4">
      <c r="AT111" s="184">
        <v>18</v>
      </c>
      <c r="AU111" s="376">
        <f t="shared" si="35"/>
        <v>510</v>
      </c>
      <c r="AV111" s="17">
        <f t="shared" si="36"/>
        <v>510</v>
      </c>
      <c r="AW111" s="187">
        <f t="shared" si="32"/>
        <v>358.58044609875162</v>
      </c>
      <c r="AX111" s="188">
        <f t="shared" si="33"/>
        <v>358.58044609875162</v>
      </c>
      <c r="AY111" s="188">
        <f t="shared" si="37"/>
        <v>1.4195539012483778</v>
      </c>
      <c r="AZ111" s="188" t="b">
        <f t="shared" si="34"/>
        <v>0</v>
      </c>
      <c r="BA111" s="190">
        <v>18</v>
      </c>
      <c r="BE111" s="191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</row>
    <row r="112" spans="42:72" ht="20.25" hidden="1" x14ac:dyDescent="0.4">
      <c r="AT112" s="184"/>
      <c r="AU112" s="376"/>
      <c r="AV112" s="17"/>
      <c r="AW112" s="187"/>
      <c r="AX112" s="188"/>
      <c r="AY112" s="188"/>
      <c r="AZ112" s="188"/>
      <c r="BA112" s="190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92"/>
      <c r="BO112" s="105"/>
      <c r="BP112" s="105"/>
      <c r="BQ112" s="105"/>
      <c r="BR112" s="105"/>
      <c r="BS112" s="105"/>
      <c r="BT112" s="105"/>
    </row>
    <row r="113" spans="46:72" ht="20.25" hidden="1" x14ac:dyDescent="0.4">
      <c r="AT113" s="184"/>
      <c r="AU113" s="376"/>
      <c r="AV113" s="17"/>
      <c r="AW113" s="187"/>
      <c r="AX113" s="188"/>
      <c r="AY113" s="188"/>
      <c r="AZ113" s="188"/>
      <c r="BA113" s="190"/>
      <c r="BE113" s="193"/>
      <c r="BF113" s="105"/>
      <c r="BG113" s="105"/>
      <c r="BH113" s="105"/>
      <c r="BI113" s="105"/>
      <c r="BJ113" s="105"/>
      <c r="BK113" s="105"/>
      <c r="BL113" s="105"/>
      <c r="BM113" s="701"/>
      <c r="BN113" s="701"/>
      <c r="BO113" s="105"/>
      <c r="BP113" s="105"/>
      <c r="BQ113" s="105"/>
      <c r="BR113" s="105"/>
      <c r="BS113" s="105"/>
      <c r="BT113" s="105"/>
    </row>
    <row r="114" spans="46:72" ht="20.25" hidden="1" x14ac:dyDescent="0.4">
      <c r="AT114" s="184"/>
      <c r="AU114" s="376"/>
      <c r="AV114" s="17"/>
      <c r="AW114" s="187"/>
      <c r="AX114" s="188"/>
      <c r="AY114" s="188"/>
      <c r="AZ114" s="188"/>
      <c r="BA114" s="190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</row>
    <row r="115" spans="46:72" ht="20.25" hidden="1" x14ac:dyDescent="0.4">
      <c r="AT115" s="184"/>
      <c r="AU115" s="376"/>
      <c r="AV115" s="17"/>
      <c r="AW115" s="187"/>
      <c r="AX115" s="188"/>
      <c r="AY115" s="188"/>
      <c r="AZ115" s="188"/>
      <c r="BA115" s="190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</row>
    <row r="116" spans="46:72" ht="20.25" hidden="1" x14ac:dyDescent="0.4">
      <c r="AT116" s="184"/>
      <c r="AU116" s="376"/>
      <c r="AV116" s="17"/>
      <c r="AW116" s="187"/>
      <c r="AX116" s="188"/>
      <c r="AY116" s="188"/>
      <c r="AZ116" s="188"/>
      <c r="BA116" s="190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</row>
    <row r="117" spans="46:72" ht="20.25" hidden="1" x14ac:dyDescent="0.4">
      <c r="AT117" s="184"/>
      <c r="AU117" s="185"/>
      <c r="AV117" s="17"/>
      <c r="AW117" s="187"/>
      <c r="AX117" s="188"/>
      <c r="AY117" s="188"/>
      <c r="AZ117" s="188"/>
      <c r="BA117" s="190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  <c r="BT117" s="105"/>
    </row>
    <row r="118" spans="46:72" hidden="1" x14ac:dyDescent="0.25">
      <c r="BE118" s="105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  <c r="BS118" s="105"/>
      <c r="BT118" s="105"/>
    </row>
    <row r="119" spans="46:72" hidden="1" x14ac:dyDescent="0.25"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  <c r="BT119" s="105"/>
    </row>
    <row r="120" spans="46:72" hidden="1" x14ac:dyDescent="0.25"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  <c r="BT120" s="105"/>
    </row>
    <row r="121" spans="46:72" hidden="1" x14ac:dyDescent="0.25"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  <c r="BT121" s="105"/>
    </row>
    <row r="122" spans="46:72" hidden="1" x14ac:dyDescent="0.25"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  <c r="BT122" s="105"/>
    </row>
    <row r="123" spans="46:72" hidden="1" x14ac:dyDescent="0.25"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  <c r="BT123" s="105"/>
    </row>
    <row r="124" spans="46:72" hidden="1" x14ac:dyDescent="0.25"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  <c r="BT124" s="105"/>
    </row>
    <row r="125" spans="46:72" hidden="1" x14ac:dyDescent="0.25"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  <c r="BT125" s="105"/>
    </row>
    <row r="126" spans="46:72" hidden="1" x14ac:dyDescent="0.25">
      <c r="BE126" s="105"/>
      <c r="BF126" s="53"/>
      <c r="BG126" s="53"/>
      <c r="BH126" s="53"/>
      <c r="BI126" s="53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  <c r="BT126" s="105"/>
    </row>
    <row r="127" spans="46:72" hidden="1" x14ac:dyDescent="0.25">
      <c r="BE127" s="105"/>
      <c r="BF127" s="53"/>
      <c r="BG127" s="53"/>
      <c r="BH127" s="53"/>
      <c r="BI127" s="53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  <c r="BT127" s="105"/>
    </row>
    <row r="128" spans="46:72" hidden="1" x14ac:dyDescent="0.25">
      <c r="BE128" s="105"/>
      <c r="BF128" s="53"/>
      <c r="BG128" s="53"/>
      <c r="BH128" s="53"/>
      <c r="BI128" s="53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  <c r="BT128" s="105"/>
    </row>
    <row r="129" spans="57:72" hidden="1" x14ac:dyDescent="0.25">
      <c r="BE129" s="105"/>
      <c r="BF129" s="53"/>
      <c r="BG129" s="53"/>
      <c r="BH129" s="53"/>
      <c r="BI129" s="53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05"/>
    </row>
    <row r="130" spans="57:72" hidden="1" x14ac:dyDescent="0.25">
      <c r="BE130" s="106"/>
      <c r="BF130" s="53"/>
      <c r="BG130" s="53"/>
      <c r="BH130" s="53"/>
      <c r="BI130" s="53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  <c r="BT130" s="105"/>
    </row>
    <row r="131" spans="57:72" hidden="1" x14ac:dyDescent="0.25">
      <c r="BE131" s="106"/>
      <c r="BF131" s="53"/>
      <c r="BG131" s="53"/>
      <c r="BH131" s="53"/>
      <c r="BI131" s="53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  <c r="BT131" s="105"/>
    </row>
    <row r="132" spans="57:72" hidden="1" x14ac:dyDescent="0.25">
      <c r="BE132" s="106"/>
      <c r="BF132" s="194"/>
      <c r="BG132" s="194"/>
      <c r="BH132" s="194"/>
      <c r="BI132" s="194"/>
      <c r="BJ132" s="194"/>
      <c r="BK132" s="194"/>
      <c r="BL132" s="194"/>
      <c r="BM132" s="194"/>
      <c r="BN132" s="194"/>
      <c r="BO132" s="194"/>
      <c r="BP132" s="194"/>
      <c r="BQ132" s="194"/>
      <c r="BR132" s="194"/>
      <c r="BS132" s="194"/>
      <c r="BT132" s="105"/>
    </row>
    <row r="133" spans="57:72" x14ac:dyDescent="0.25">
      <c r="BE133" s="106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  <c r="BT133" s="105"/>
    </row>
    <row r="134" spans="57:72" x14ac:dyDescent="0.25">
      <c r="BE134" s="195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05"/>
    </row>
    <row r="135" spans="57:72" x14ac:dyDescent="0.25">
      <c r="BE135" s="106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5"/>
    </row>
    <row r="136" spans="57:72" x14ac:dyDescent="0.25"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  <c r="BT136" s="105"/>
    </row>
    <row r="137" spans="57:72" x14ac:dyDescent="0.25">
      <c r="BE137" s="105"/>
      <c r="BF137" s="106"/>
      <c r="BG137" s="197"/>
      <c r="BH137" s="197"/>
      <c r="BI137" s="197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5"/>
    </row>
    <row r="138" spans="57:72" x14ac:dyDescent="0.25">
      <c r="BE138" s="105"/>
      <c r="BF138" s="197"/>
      <c r="BG138" s="197"/>
      <c r="BH138" s="197"/>
      <c r="BI138" s="197"/>
      <c r="BJ138" s="105"/>
      <c r="BK138" s="105"/>
      <c r="BL138" s="105"/>
      <c r="BM138" s="105"/>
      <c r="BN138" s="197"/>
      <c r="BO138" s="197"/>
      <c r="BP138" s="197"/>
      <c r="BQ138" s="197"/>
      <c r="BR138" s="197"/>
      <c r="BS138" s="197"/>
      <c r="BT138" s="105"/>
    </row>
    <row r="139" spans="57:72" x14ac:dyDescent="0.25"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</row>
    <row r="140" spans="57:72" x14ac:dyDescent="0.25"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</row>
  </sheetData>
  <sheetProtection algorithmName="SHA-512" hashValue="4tMiu2jjCOojOX+b9PXhFz6UwLtaBWPNsf48qtdhkgMoAKWK6XtgqxNhmmK1CrYkFmMebIuvTowJt5RhacJaOw==" saltValue="zZEc62eAw3WLIfwutlBvPA==" spinCount="100000" sheet="1" objects="1" scenarios="1"/>
  <protectedRanges>
    <protectedRange sqref="B64 B68" name="Range1"/>
  </protectedRanges>
  <mergeCells count="10">
    <mergeCell ref="B66:B67"/>
    <mergeCell ref="AN68:AO68"/>
    <mergeCell ref="D61:D62"/>
    <mergeCell ref="B61:B63"/>
    <mergeCell ref="D63:D64"/>
    <mergeCell ref="BW24:BX24"/>
    <mergeCell ref="BG24:BH24"/>
    <mergeCell ref="BF23:BF24"/>
    <mergeCell ref="BM113:BN113"/>
    <mergeCell ref="BI21:BJ21"/>
  </mergeCells>
  <phoneticPr fontId="2" type="noConversion"/>
  <conditionalFormatting sqref="D61 D63">
    <cfRule type="cellIs" dxfId="265" priority="52" stopIfTrue="1" operator="equal">
      <formula>"change the angle of frame"</formula>
    </cfRule>
  </conditionalFormatting>
  <conditionalFormatting sqref="B72:G72 I72:AO72">
    <cfRule type="expression" dxfId="264" priority="47">
      <formula>$B$68&lt;2</formula>
    </cfRule>
  </conditionalFormatting>
  <conditionalFormatting sqref="B73:F73 I73:AE73 AG73:AO73">
    <cfRule type="expression" dxfId="263" priority="46">
      <formula>$B$68&lt;3</formula>
    </cfRule>
  </conditionalFormatting>
  <conditionalFormatting sqref="B74:F74 I74:AE74 AG74:AO74">
    <cfRule type="expression" dxfId="262" priority="45">
      <formula>$B$68&lt;4</formula>
    </cfRule>
  </conditionalFormatting>
  <conditionalFormatting sqref="B75:F75 I75:AE75 AG75:AO75">
    <cfRule type="expression" dxfId="261" priority="44">
      <formula>$B$68&lt;5</formula>
    </cfRule>
  </conditionalFormatting>
  <conditionalFormatting sqref="B76:F76 I76:AE76 AG76:AO76">
    <cfRule type="expression" dxfId="260" priority="43">
      <formula>$B$68&lt;6</formula>
    </cfRule>
  </conditionalFormatting>
  <conditionalFormatting sqref="B77:F77 I77:AE77 AG77:AO77">
    <cfRule type="expression" dxfId="259" priority="42">
      <formula>$B$68&lt;7</formula>
    </cfRule>
  </conditionalFormatting>
  <conditionalFormatting sqref="B78:F78 I78:AE78 AG78:AO78">
    <cfRule type="expression" dxfId="258" priority="41">
      <formula>$B$68&lt;8</formula>
    </cfRule>
  </conditionalFormatting>
  <conditionalFormatting sqref="B79:F79 I79:AE79 AG79:AO79">
    <cfRule type="expression" dxfId="257" priority="40">
      <formula>$B$68&lt;9</formula>
    </cfRule>
  </conditionalFormatting>
  <conditionalFormatting sqref="B80:F80 I80:AE80 AG80:AO80">
    <cfRule type="expression" dxfId="256" priority="39">
      <formula>$B$68&lt;10</formula>
    </cfRule>
  </conditionalFormatting>
  <conditionalFormatting sqref="B81:F81 I81:AE81 AG81:AO81">
    <cfRule type="expression" dxfId="255" priority="38">
      <formula>$B$68&lt;11</formula>
    </cfRule>
  </conditionalFormatting>
  <conditionalFormatting sqref="B82:F82 I82:AE82 AG82:AO82">
    <cfRule type="expression" dxfId="254" priority="37">
      <formula>$B$68&lt;12</formula>
    </cfRule>
  </conditionalFormatting>
  <conditionalFormatting sqref="B83:F83 I83:AE83 AG83:AO83">
    <cfRule type="expression" dxfId="253" priority="36">
      <formula>$B$68&lt;13</formula>
    </cfRule>
  </conditionalFormatting>
  <conditionalFormatting sqref="B84:F84 I84:AE84 AG84:AO84">
    <cfRule type="expression" dxfId="252" priority="35">
      <formula>$B$68&lt;14</formula>
    </cfRule>
  </conditionalFormatting>
  <conditionalFormatting sqref="B85:F85 I85:AE85 AG85:AO85">
    <cfRule type="expression" dxfId="251" priority="34">
      <formula>$B$68&lt;15</formula>
    </cfRule>
  </conditionalFormatting>
  <conditionalFormatting sqref="B86:F86 I86:AE86 AG86:AO86">
    <cfRule type="expression" dxfId="250" priority="33">
      <formula>$B$68&lt;16</formula>
    </cfRule>
  </conditionalFormatting>
  <conditionalFormatting sqref="B87:F87 I87:AE87 AG87:AO87">
    <cfRule type="expression" dxfId="249" priority="32">
      <formula>$B$68&lt;17</formula>
    </cfRule>
  </conditionalFormatting>
  <conditionalFormatting sqref="B88:F88 I88:AE88 AG88:AO88">
    <cfRule type="expression" dxfId="248" priority="31">
      <formula>$B$68&lt;18</formula>
    </cfRule>
  </conditionalFormatting>
  <conditionalFormatting sqref="B89:F89 I89:AE89 AG89:AO89">
    <cfRule type="expression" dxfId="247" priority="30">
      <formula>$B$68&lt;19</formula>
    </cfRule>
  </conditionalFormatting>
  <conditionalFormatting sqref="B90:F90 I90:AE90 AG90:AO90">
    <cfRule type="expression" dxfId="246" priority="28">
      <formula>$B$68&lt;20</formula>
    </cfRule>
  </conditionalFormatting>
  <conditionalFormatting sqref="D71:D90">
    <cfRule type="cellIs" dxfId="245" priority="49" operator="notEqual">
      <formula>0</formula>
    </cfRule>
  </conditionalFormatting>
  <conditionalFormatting sqref="AN71:AO90">
    <cfRule type="cellIs" dxfId="244" priority="48" operator="lessThan">
      <formula>10</formula>
    </cfRule>
  </conditionalFormatting>
  <conditionalFormatting sqref="H73:H90">
    <cfRule type="expression" dxfId="243" priority="15">
      <formula>$B$68&lt;3</formula>
    </cfRule>
  </conditionalFormatting>
  <conditionalFormatting sqref="D73">
    <cfRule type="expression" dxfId="242" priority="14">
      <formula>$B$68&lt;2</formula>
    </cfRule>
  </conditionalFormatting>
  <conditionalFormatting sqref="D74:D90">
    <cfRule type="expression" dxfId="241" priority="10">
      <formula>$B$68&lt;2</formula>
    </cfRule>
  </conditionalFormatting>
  <conditionalFormatting sqref="D74:D90">
    <cfRule type="expression" dxfId="240" priority="11">
      <formula>$B$68&lt;3</formula>
    </cfRule>
  </conditionalFormatting>
  <conditionalFormatting sqref="G73">
    <cfRule type="expression" dxfId="239" priority="7">
      <formula>$B$68&lt;2</formula>
    </cfRule>
  </conditionalFormatting>
  <conditionalFormatting sqref="G74:G90">
    <cfRule type="expression" dxfId="238" priority="5">
      <formula>$B$68&lt;2</formula>
    </cfRule>
  </conditionalFormatting>
  <conditionalFormatting sqref="BG44:CC44">
    <cfRule type="cellIs" dxfId="237" priority="443" operator="equal">
      <formula>0</formula>
    </cfRule>
    <cfRule type="expression" dxfId="236" priority="444">
      <formula>$B$64=0</formula>
    </cfRule>
  </conditionalFormatting>
  <conditionalFormatting sqref="AF73:AF90">
    <cfRule type="expression" dxfId="235" priority="1">
      <formula>$B$68&lt;2</formula>
    </cfRule>
  </conditionalFormatting>
  <dataValidations count="4">
    <dataValidation type="whole" allowBlank="1" showInputMessage="1" showErrorMessage="1" errorTitle="Coda Audio" error="YOU HAVE ENTERED A WRONG NUMBER OF CABINETS" promptTitle="Coda Audio" prompt="ENTER THE NUMBER OF CABINETS FROM 1 UP TO 6" sqref="B68" xr:uid="{00000000-0002-0000-0000-000000000000}">
      <formula1>1</formula1>
      <formula2>6</formula2>
    </dataValidation>
    <dataValidation type="decimal" allowBlank="1" showInputMessage="1" showErrorMessage="1" sqref="G71" xr:uid="{00000000-0002-0000-0000-000001000000}">
      <formula1>0</formula1>
      <formula2>4</formula2>
    </dataValidation>
    <dataValidation type="decimal" allowBlank="1" showInputMessage="1" showErrorMessage="1" sqref="G72:G90" xr:uid="{00000000-0002-0000-0000-000002000000}">
      <formula1>0</formula1>
      <formula2>8</formula2>
    </dataValidation>
    <dataValidation type="decimal" allowBlank="1" showInputMessage="1" showErrorMessage="1" sqref="B64:B65" xr:uid="{00000000-0002-0000-0000-000003000000}">
      <formula1>-89.9</formula1>
      <formula2>89.9</formula2>
    </dataValidation>
  </dataValidations>
  <pageMargins left="0.75" right="0.75" top="1" bottom="1" header="0.5" footer="0.5"/>
  <pageSetup paperSize="9" orientation="portrait" horizontalDpi="4294967293" verticalDpi="200" r:id="rId1"/>
  <headerFooter alignWithMargins="0"/>
  <ignoredErrors>
    <ignoredError sqref="BC19:BD19 BC22:BD22" unlockedFormula="1"/>
    <ignoredError sqref="BL44 BN44 BV44 BX44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BX212"/>
  <sheetViews>
    <sheetView topLeftCell="A21" zoomScale="50" zoomScaleNormal="50" workbookViewId="0">
      <selection activeCell="BH84" sqref="BH84"/>
    </sheetView>
  </sheetViews>
  <sheetFormatPr baseColWidth="10" defaultColWidth="9.140625" defaultRowHeight="15.75" x14ac:dyDescent="0.25"/>
  <cols>
    <col min="1" max="1" width="2.7109375" style="14" customWidth="1"/>
    <col min="2" max="2" width="37.7109375" style="11" customWidth="1"/>
    <col min="3" max="3" width="23.5703125" style="14" hidden="1" customWidth="1"/>
    <col min="4" max="4" width="33.42578125" style="14" customWidth="1"/>
    <col min="5" max="5" width="26.5703125" style="14" hidden="1" customWidth="1"/>
    <col min="6" max="6" width="17.140625" style="14" hidden="1" customWidth="1"/>
    <col min="7" max="9" width="15.42578125" style="14" hidden="1" customWidth="1"/>
    <col min="10" max="10" width="13.85546875" style="14" hidden="1" customWidth="1"/>
    <col min="11" max="13" width="15.5703125" style="14" hidden="1" customWidth="1"/>
    <col min="14" max="14" width="7" style="14" hidden="1" customWidth="1"/>
    <col min="15" max="15" width="18" style="14" hidden="1" customWidth="1"/>
    <col min="16" max="18" width="19.7109375" style="14" hidden="1" customWidth="1"/>
    <col min="19" max="19" width="32.7109375" style="14" hidden="1" customWidth="1"/>
    <col min="20" max="24" width="30.28515625" style="14" hidden="1" customWidth="1"/>
    <col min="25" max="31" width="20.42578125" style="14" hidden="1" customWidth="1"/>
    <col min="32" max="39" width="30.28515625" style="14" hidden="1" customWidth="1"/>
    <col min="40" max="41" width="10.7109375" style="14" hidden="1" customWidth="1"/>
    <col min="42" max="42" width="6.7109375" style="14" hidden="1" customWidth="1"/>
    <col min="43" max="43" width="4.42578125" style="14" hidden="1" customWidth="1"/>
    <col min="44" max="44" width="6.42578125" style="14" hidden="1" customWidth="1"/>
    <col min="45" max="45" width="46.28515625" style="14" hidden="1" customWidth="1"/>
    <col min="46" max="46" width="16.28515625" style="14" hidden="1" customWidth="1"/>
    <col min="47" max="48" width="15.5703125" style="14" hidden="1" customWidth="1"/>
    <col min="49" max="49" width="8.7109375" style="14" hidden="1" customWidth="1"/>
    <col min="50" max="50" width="38.85546875" style="14" hidden="1" customWidth="1"/>
    <col min="51" max="51" width="8.85546875" style="14" hidden="1" customWidth="1"/>
    <col min="52" max="52" width="14.5703125" style="14" hidden="1" customWidth="1"/>
    <col min="53" max="53" width="3" style="14" hidden="1" customWidth="1"/>
    <col min="54" max="54" width="43.5703125" style="14" customWidth="1"/>
    <col min="55" max="55" width="7.140625" style="14" hidden="1" customWidth="1"/>
    <col min="56" max="73" width="10.7109375" style="14" customWidth="1"/>
    <col min="74" max="74" width="40.85546875" style="14" hidden="1" customWidth="1"/>
    <col min="75" max="75" width="12" style="14" customWidth="1"/>
    <col min="76" max="76" width="41" style="14" bestFit="1" customWidth="1"/>
    <col min="77" max="16384" width="9.140625" style="14"/>
  </cols>
  <sheetData>
    <row r="1" spans="2:76" ht="27" hidden="1" customHeight="1" x14ac:dyDescent="0.25">
      <c r="D1" s="12" t="s">
        <v>71</v>
      </c>
      <c r="E1" s="12" t="s">
        <v>72</v>
      </c>
      <c r="F1" s="12" t="s">
        <v>73</v>
      </c>
    </row>
    <row r="2" spans="2:76" ht="27" hidden="1" customHeight="1" x14ac:dyDescent="0.3">
      <c r="B2" s="79" t="s">
        <v>23</v>
      </c>
      <c r="C2" s="366">
        <v>510</v>
      </c>
      <c r="D2" s="366">
        <f>+COS(($B$59*-1)*3.14159265358979/180)*C2</f>
        <v>510</v>
      </c>
      <c r="E2" s="366">
        <f>+COS(($B$59*-1)*3.14159265358979/180)*30</f>
        <v>30</v>
      </c>
      <c r="F2" s="346">
        <f>+COS((($B$59*-1)+28.5565949)*3.14159265358979/180)*45.5553</f>
        <v>40.013286477395795</v>
      </c>
    </row>
    <row r="3" spans="2:76" ht="27" hidden="1" customHeight="1" x14ac:dyDescent="0.35">
      <c r="B3" s="79" t="s">
        <v>107</v>
      </c>
      <c r="C3" s="367">
        <f>+C10-43.1868</f>
        <v>212.8166219380746</v>
      </c>
      <c r="D3" s="368">
        <f>+C10-F2</f>
        <v>215.9901354606788</v>
      </c>
    </row>
    <row r="4" spans="2:76" ht="27" hidden="1" customHeight="1" x14ac:dyDescent="0.35">
      <c r="B4" s="409" t="s">
        <v>75</v>
      </c>
      <c r="C4" s="412"/>
      <c r="D4" s="413"/>
      <c r="AP4" s="26"/>
    </row>
    <row r="5" spans="2:76" ht="27" hidden="1" customHeight="1" x14ac:dyDescent="0.35">
      <c r="B5" s="409" t="s">
        <v>76</v>
      </c>
      <c r="C5" s="412"/>
      <c r="D5" s="413"/>
      <c r="AP5" s="26"/>
    </row>
    <row r="6" spans="2:76" ht="27" hidden="1" customHeight="1" x14ac:dyDescent="0.3">
      <c r="B6" s="198"/>
      <c r="C6" s="47"/>
      <c r="AP6" s="26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</row>
    <row r="7" spans="2:76" ht="27" hidden="1" customHeight="1" x14ac:dyDescent="0.3">
      <c r="B7" s="199" t="s">
        <v>15</v>
      </c>
      <c r="C7" s="369">
        <f>+(B62*28)+3.3+5</f>
        <v>36.299999999999997</v>
      </c>
      <c r="AP7" s="26"/>
    </row>
    <row r="8" spans="2:76" ht="27" hidden="1" customHeight="1" x14ac:dyDescent="0.3">
      <c r="B8" s="199" t="s">
        <v>14</v>
      </c>
      <c r="C8" s="370"/>
      <c r="AP8" s="26"/>
    </row>
    <row r="9" spans="2:76" ht="27" hidden="1" customHeight="1" x14ac:dyDescent="0.3">
      <c r="B9" s="200"/>
      <c r="C9" s="200"/>
      <c r="AP9" s="26"/>
    </row>
    <row r="10" spans="2:76" ht="27" hidden="1" customHeight="1" x14ac:dyDescent="0.3">
      <c r="B10" s="199" t="s">
        <v>13</v>
      </c>
      <c r="C10" s="199">
        <f>+T59</f>
        <v>256.00342193807461</v>
      </c>
      <c r="AP10" s="26"/>
    </row>
    <row r="11" spans="2:76" ht="27" hidden="1" customHeight="1" x14ac:dyDescent="0.25">
      <c r="AP11" s="26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</row>
    <row r="12" spans="2:76" ht="27" hidden="1" customHeight="1" x14ac:dyDescent="0.25">
      <c r="E12" s="400"/>
      <c r="AP12" s="26"/>
    </row>
    <row r="13" spans="2:76" ht="27" hidden="1" customHeight="1" x14ac:dyDescent="0.25">
      <c r="E13" s="400"/>
      <c r="AP13" s="26"/>
    </row>
    <row r="14" spans="2:76" ht="27" hidden="1" customHeight="1" x14ac:dyDescent="0.25">
      <c r="E14" s="400"/>
      <c r="AP14" s="26"/>
    </row>
    <row r="15" spans="2:76" ht="31.5" hidden="1" customHeight="1" x14ac:dyDescent="0.25">
      <c r="E15" s="398"/>
      <c r="AP15" s="26"/>
    </row>
    <row r="16" spans="2:76" ht="13.5" hidden="1" customHeight="1" x14ac:dyDescent="0.25">
      <c r="E16" s="398"/>
      <c r="AP16" s="26"/>
    </row>
    <row r="17" spans="2:76" ht="32.25" hidden="1" customHeight="1" x14ac:dyDescent="0.25">
      <c r="E17" s="400"/>
      <c r="AP17" s="26"/>
    </row>
    <row r="18" spans="2:76" ht="32.25" hidden="1" customHeight="1" x14ac:dyDescent="0.25">
      <c r="E18" s="400"/>
      <c r="AP18" s="26"/>
    </row>
    <row r="19" spans="2:76" ht="23.25" hidden="1" customHeight="1" x14ac:dyDescent="0.35">
      <c r="E19" s="400"/>
      <c r="AP19" s="26"/>
      <c r="AQ19" s="49"/>
      <c r="AR19" s="49"/>
      <c r="AS19" s="49"/>
      <c r="AT19" s="49"/>
    </row>
    <row r="20" spans="2:76" ht="23.25" hidden="1" customHeight="1" x14ac:dyDescent="0.35">
      <c r="E20" s="400"/>
      <c r="AP20" s="26"/>
      <c r="AQ20" s="49"/>
      <c r="AR20" s="49"/>
      <c r="AS20" s="49"/>
      <c r="AT20" s="49"/>
      <c r="AY20" s="50"/>
    </row>
    <row r="21" spans="2:76" ht="28.5" customHeight="1" thickBot="1" x14ac:dyDescent="0.35">
      <c r="E21" s="400"/>
      <c r="AP21" s="26"/>
      <c r="BC21" s="42"/>
      <c r="BD21" s="46"/>
      <c r="BE21" s="44" t="s">
        <v>22</v>
      </c>
      <c r="BF21" s="702">
        <f>+C7</f>
        <v>36.299999999999997</v>
      </c>
      <c r="BG21" s="702"/>
      <c r="BH21" s="45" t="s">
        <v>16</v>
      </c>
      <c r="BI21" s="45"/>
      <c r="BJ21" s="394" t="s">
        <v>109</v>
      </c>
      <c r="BK21" s="46"/>
      <c r="BL21" s="46"/>
      <c r="BM21" s="46"/>
      <c r="BN21" s="46"/>
      <c r="BO21" s="46"/>
      <c r="BP21" s="46"/>
      <c r="BQ21" s="47"/>
      <c r="BR21" s="47"/>
      <c r="BS21" s="47"/>
      <c r="BT21" s="47"/>
      <c r="BU21" s="47"/>
      <c r="BV21" s="47"/>
    </row>
    <row r="22" spans="2:76" ht="23.25" hidden="1" customHeight="1" thickBot="1" x14ac:dyDescent="0.4">
      <c r="AP22" s="26"/>
      <c r="AZ22" s="52"/>
      <c r="BA22" s="4"/>
      <c r="BB22" s="59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1"/>
      <c r="BQ22" s="62"/>
      <c r="BR22" s="62"/>
      <c r="BS22" s="62"/>
      <c r="BT22" s="62"/>
      <c r="BU22" s="58"/>
      <c r="BV22" s="58"/>
      <c r="BW22" s="58"/>
    </row>
    <row r="23" spans="2:76" ht="39.950000000000003" customHeight="1" x14ac:dyDescent="0.3">
      <c r="AP23" s="26"/>
      <c r="AY23" s="50"/>
      <c r="BB23" s="326" t="s">
        <v>24</v>
      </c>
      <c r="BC23" s="699"/>
      <c r="BD23" s="381" t="s">
        <v>25</v>
      </c>
      <c r="BE23" s="382"/>
      <c r="BF23" s="383"/>
      <c r="BG23" s="383"/>
      <c r="BH23" s="383"/>
      <c r="BI23" s="383"/>
      <c r="BJ23" s="383"/>
      <c r="BK23" s="384"/>
      <c r="BL23" s="385"/>
      <c r="BM23" s="386"/>
      <c r="BN23" s="386"/>
      <c r="BO23" s="387"/>
      <c r="BP23" s="387"/>
      <c r="BQ23" s="387"/>
      <c r="BR23" s="387"/>
      <c r="BS23" s="51"/>
      <c r="BT23" s="382"/>
      <c r="BU23" s="388" t="s">
        <v>26</v>
      </c>
      <c r="BV23" s="46"/>
      <c r="BW23" s="46"/>
    </row>
    <row r="24" spans="2:76" ht="39.950000000000003" customHeight="1" thickBot="1" x14ac:dyDescent="0.4">
      <c r="AP24" s="26"/>
      <c r="BB24" s="327"/>
      <c r="BC24" s="700"/>
      <c r="BD24" s="715">
        <f>+((D2-D3)/D2)*C7</f>
        <v>20.926584476034037</v>
      </c>
      <c r="BE24" s="716"/>
      <c r="BF24" s="389"/>
      <c r="BG24" s="389"/>
      <c r="BH24" s="389"/>
      <c r="BI24" s="389"/>
      <c r="BJ24" s="389"/>
      <c r="BK24" s="390"/>
      <c r="BL24" s="391"/>
      <c r="BM24" s="392"/>
      <c r="BN24" s="392"/>
      <c r="BO24" s="393"/>
      <c r="BP24" s="393"/>
      <c r="BQ24" s="393"/>
      <c r="BR24" s="393"/>
      <c r="BS24" s="57"/>
      <c r="BT24" s="713">
        <f>+(D3/D2)*C7</f>
        <v>15.373415523965962</v>
      </c>
      <c r="BU24" s="714"/>
      <c r="BV24" s="46"/>
      <c r="BW24" s="46"/>
    </row>
    <row r="25" spans="2:76" ht="23.25" customHeight="1" thickBot="1" x14ac:dyDescent="0.35">
      <c r="AP25" s="202"/>
      <c r="BB25" s="59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59"/>
      <c r="BN25" s="60"/>
      <c r="BO25" s="60"/>
      <c r="BP25" s="61"/>
      <c r="BQ25" s="62"/>
      <c r="BR25" s="62"/>
      <c r="BS25" s="62"/>
      <c r="BT25" s="62"/>
      <c r="BU25" s="58"/>
      <c r="BV25" s="58"/>
      <c r="BW25" s="58"/>
    </row>
    <row r="26" spans="2:76" s="42" customFormat="1" ht="23.25" hidden="1" customHeight="1" x14ac:dyDescent="0.3">
      <c r="L26" s="203"/>
      <c r="M26" s="721"/>
      <c r="N26" s="721"/>
      <c r="O26" s="721"/>
      <c r="P26" s="204"/>
      <c r="Q26" s="204"/>
      <c r="R26" s="204"/>
      <c r="S26" s="204"/>
      <c r="T26" s="204"/>
      <c r="U26" s="204"/>
      <c r="V26" s="205"/>
      <c r="W26" s="205"/>
      <c r="X26" s="205"/>
      <c r="AP26" s="202"/>
      <c r="AQ26" s="74"/>
      <c r="AR26" s="74"/>
      <c r="AS26" s="74"/>
      <c r="AT26" s="74"/>
      <c r="AU26" s="14"/>
      <c r="AV26" s="14"/>
      <c r="AW26" s="14"/>
      <c r="AX26" s="14"/>
      <c r="AY26" s="14"/>
      <c r="AZ26" s="14"/>
      <c r="BA26" s="14"/>
      <c r="BB26" s="14"/>
      <c r="BC26" s="379"/>
      <c r="BD26" s="379">
        <v>1</v>
      </c>
      <c r="BE26" s="379">
        <v>2</v>
      </c>
      <c r="BF26" s="379">
        <v>3</v>
      </c>
      <c r="BG26" s="379">
        <v>4</v>
      </c>
      <c r="BH26" s="379">
        <v>5</v>
      </c>
      <c r="BI26" s="379">
        <v>6</v>
      </c>
      <c r="BJ26" s="380"/>
      <c r="BK26" s="380"/>
      <c r="BL26" s="379">
        <v>7</v>
      </c>
      <c r="BM26" s="379">
        <v>8</v>
      </c>
      <c r="BN26" s="379">
        <v>9</v>
      </c>
      <c r="BO26" s="379">
        <v>10</v>
      </c>
      <c r="BP26" s="379">
        <v>11</v>
      </c>
      <c r="BQ26" s="379">
        <v>12</v>
      </c>
      <c r="BR26" s="379">
        <v>13</v>
      </c>
      <c r="BS26" s="379">
        <v>14</v>
      </c>
      <c r="BT26" s="379">
        <v>15</v>
      </c>
      <c r="BU26" s="379">
        <v>16</v>
      </c>
      <c r="BV26" s="656"/>
      <c r="BW26" s="656"/>
      <c r="BX26" s="14"/>
    </row>
    <row r="27" spans="2:76" ht="23.25" hidden="1" customHeight="1" thickBot="1" x14ac:dyDescent="0.35">
      <c r="L27" s="191"/>
      <c r="M27" s="206"/>
      <c r="N27" s="206"/>
      <c r="O27" s="206"/>
      <c r="P27" s="106"/>
      <c r="Q27" s="106"/>
      <c r="R27" s="106"/>
      <c r="S27" s="106"/>
      <c r="T27" s="106"/>
      <c r="U27" s="106"/>
      <c r="V27" s="105"/>
      <c r="W27" s="105"/>
      <c r="X27" s="105"/>
      <c r="AP27" s="207"/>
      <c r="AQ27" s="74"/>
      <c r="AR27" s="74"/>
      <c r="AS27" s="74"/>
      <c r="AT27" s="74"/>
      <c r="BB27" s="85"/>
      <c r="BC27" s="90"/>
      <c r="BD27" s="87"/>
      <c r="BE27" s="87"/>
      <c r="BF27" s="87"/>
      <c r="BG27" s="87"/>
      <c r="BH27" s="87"/>
      <c r="BI27" s="87"/>
      <c r="BJ27" s="87"/>
      <c r="BK27" s="61"/>
      <c r="BL27" s="60"/>
      <c r="BO27" s="55"/>
      <c r="BR27" s="55"/>
      <c r="BS27" s="70" t="b">
        <f>IF(BT46=17,14)</f>
        <v>0</v>
      </c>
      <c r="BT27" s="55"/>
      <c r="BU27" s="72" t="b">
        <f>IF(BT46=17,16)</f>
        <v>0</v>
      </c>
      <c r="BV27" s="55"/>
    </row>
    <row r="28" spans="2:76" ht="21" hidden="1" thickBot="1" x14ac:dyDescent="0.35">
      <c r="B28" s="402"/>
      <c r="C28" s="322"/>
      <c r="D28" s="400"/>
      <c r="L28" s="191"/>
      <c r="M28" s="206"/>
      <c r="N28" s="206"/>
      <c r="O28" s="206"/>
      <c r="P28" s="106"/>
      <c r="Q28" s="106"/>
      <c r="R28" s="106"/>
      <c r="S28" s="106"/>
      <c r="T28" s="106"/>
      <c r="U28" s="106"/>
      <c r="V28" s="105"/>
      <c r="W28" s="105"/>
      <c r="X28" s="105"/>
      <c r="AP28" s="26"/>
      <c r="AQ28" s="74"/>
      <c r="AR28" s="74"/>
      <c r="AS28" s="74"/>
      <c r="AT28" s="74"/>
      <c r="BB28" s="85"/>
      <c r="BC28" s="90"/>
      <c r="BD28" s="87"/>
      <c r="BE28" s="87"/>
      <c r="BF28" s="87"/>
      <c r="BG28" s="87"/>
      <c r="BH28" s="87"/>
      <c r="BI28" s="87"/>
      <c r="BJ28" s="87"/>
      <c r="BK28" s="61"/>
      <c r="BM28" s="88"/>
      <c r="BN28" s="88"/>
      <c r="BO28" s="55"/>
      <c r="BP28" s="55"/>
      <c r="BQ28" s="68" t="b">
        <f>IF(BS46=16,12)</f>
        <v>0</v>
      </c>
      <c r="BS28" s="655"/>
      <c r="BU28" s="63" t="b">
        <f>IF(BS46=16,16)</f>
        <v>0</v>
      </c>
      <c r="BV28" s="55"/>
      <c r="BW28" s="55"/>
    </row>
    <row r="29" spans="2:76" ht="21" hidden="1" thickBot="1" x14ac:dyDescent="0.35">
      <c r="B29" s="402"/>
      <c r="C29" s="403" t="e">
        <f>IF(#REF!&gt;=10,"O K ","OVERLOAD")</f>
        <v>#REF!</v>
      </c>
      <c r="D29" s="400"/>
      <c r="L29" s="191"/>
      <c r="M29" s="206"/>
      <c r="N29" s="206"/>
      <c r="O29" s="206"/>
      <c r="P29" s="106"/>
      <c r="Q29" s="106"/>
      <c r="R29" s="106"/>
      <c r="S29" s="106"/>
      <c r="T29" s="106"/>
      <c r="U29" s="106"/>
      <c r="V29" s="105"/>
      <c r="W29" s="105"/>
      <c r="X29" s="105"/>
      <c r="AP29" s="26"/>
      <c r="AQ29" s="74"/>
      <c r="AR29" s="74"/>
      <c r="AS29" s="74"/>
      <c r="AT29" s="74"/>
      <c r="BB29" s="85"/>
      <c r="BC29" s="90"/>
      <c r="BD29" s="87"/>
      <c r="BE29" s="87"/>
      <c r="BF29" s="87"/>
      <c r="BG29" s="87"/>
      <c r="BH29" s="87"/>
      <c r="BI29" s="87"/>
      <c r="BK29" s="61"/>
      <c r="BL29" s="60"/>
      <c r="BM29" s="88"/>
      <c r="BN29" s="88"/>
      <c r="BO29" s="68" t="b">
        <f>IF(BR46=15,10)</f>
        <v>0</v>
      </c>
      <c r="BQ29" s="91"/>
      <c r="BR29" s="655"/>
      <c r="BS29" s="91"/>
      <c r="BU29" s="63" t="b">
        <f>IF(BR46=15,16)</f>
        <v>0</v>
      </c>
      <c r="BV29" s="55"/>
      <c r="BW29" s="55"/>
    </row>
    <row r="30" spans="2:76" ht="21" hidden="1" thickBot="1" x14ac:dyDescent="0.35">
      <c r="B30" s="322"/>
      <c r="C30" s="322"/>
      <c r="D30" s="400"/>
      <c r="L30" s="191"/>
      <c r="M30" s="206"/>
      <c r="N30" s="206"/>
      <c r="O30" s="206"/>
      <c r="P30" s="106"/>
      <c r="Q30" s="106"/>
      <c r="R30" s="106"/>
      <c r="S30" s="106"/>
      <c r="T30" s="106"/>
      <c r="U30" s="106"/>
      <c r="V30" s="105"/>
      <c r="W30" s="105"/>
      <c r="X30" s="105"/>
      <c r="AP30" s="54"/>
      <c r="AQ30" s="74"/>
      <c r="AR30" s="74"/>
      <c r="AS30" s="74"/>
      <c r="AT30" s="74"/>
      <c r="BB30" s="85"/>
      <c r="BC30" s="90"/>
      <c r="BD30" s="87"/>
      <c r="BE30" s="87"/>
      <c r="BF30" s="87"/>
      <c r="BG30" s="87"/>
      <c r="BI30" s="87"/>
      <c r="BJ30" s="87"/>
      <c r="BK30" s="61"/>
      <c r="BM30" s="68" t="b">
        <f>IF(BQ46=14,8)</f>
        <v>0</v>
      </c>
      <c r="BO30" s="652"/>
      <c r="BP30" s="653"/>
      <c r="BQ30" s="654"/>
      <c r="BR30" s="653"/>
      <c r="BS30" s="653"/>
      <c r="BU30" s="72" t="b">
        <f>IF(BQ46=14,16)</f>
        <v>0</v>
      </c>
      <c r="BV30" s="55"/>
      <c r="BW30" s="55"/>
    </row>
    <row r="31" spans="2:76" ht="21" hidden="1" thickBot="1" x14ac:dyDescent="0.35">
      <c r="B31" s="322">
        <v>5800</v>
      </c>
      <c r="C31" s="322">
        <v>5800</v>
      </c>
      <c r="D31" s="400"/>
      <c r="L31" s="191"/>
      <c r="M31" s="206"/>
      <c r="N31" s="206"/>
      <c r="O31" s="206"/>
      <c r="P31" s="106"/>
      <c r="Q31" s="106"/>
      <c r="R31" s="106"/>
      <c r="S31" s="106"/>
      <c r="T31" s="106"/>
      <c r="U31" s="106"/>
      <c r="V31" s="105"/>
      <c r="W31" s="105"/>
      <c r="X31" s="105"/>
      <c r="AP31" s="54"/>
      <c r="AQ31" s="74"/>
      <c r="AR31" s="74"/>
      <c r="AS31" s="74"/>
      <c r="AT31" s="74"/>
      <c r="BB31" s="85"/>
      <c r="BC31" s="90"/>
      <c r="BD31" s="86"/>
      <c r="BE31" s="85"/>
      <c r="BG31" s="85"/>
      <c r="BH31" s="85"/>
      <c r="BI31" s="85"/>
      <c r="BJ31" s="85"/>
      <c r="BK31" s="85"/>
      <c r="BL31" s="68" t="b">
        <f>IF(BP46=13,7)</f>
        <v>0</v>
      </c>
      <c r="BM31" s="93"/>
      <c r="BN31" s="93"/>
      <c r="BO31" s="69"/>
      <c r="BP31" s="646"/>
      <c r="BQ31" s="69"/>
      <c r="BR31" s="69"/>
      <c r="BS31" s="66"/>
      <c r="BT31" s="63" t="b">
        <f>IF(BP46=13,15)</f>
        <v>0</v>
      </c>
      <c r="BV31" s="47"/>
      <c r="BW31" s="47"/>
    </row>
    <row r="32" spans="2:76" ht="21" hidden="1" thickBot="1" x14ac:dyDescent="0.35">
      <c r="B32" s="322">
        <v>8000</v>
      </c>
      <c r="C32" s="322">
        <v>8000</v>
      </c>
      <c r="D32" s="349">
        <v>8000</v>
      </c>
      <c r="L32" s="191"/>
      <c r="M32" s="206"/>
      <c r="N32" s="206"/>
      <c r="O32" s="206"/>
      <c r="P32" s="106"/>
      <c r="Q32" s="106"/>
      <c r="R32" s="106"/>
      <c r="S32" s="106"/>
      <c r="T32" s="106"/>
      <c r="U32" s="106"/>
      <c r="V32" s="105"/>
      <c r="W32" s="105"/>
      <c r="X32" s="105"/>
      <c r="AP32" s="54"/>
      <c r="AQ32" s="74"/>
      <c r="AR32" s="74"/>
      <c r="AS32" s="74"/>
      <c r="AT32" s="74"/>
      <c r="BB32" s="85"/>
      <c r="BC32" s="90"/>
      <c r="BE32" s="85"/>
      <c r="BF32" s="85"/>
      <c r="BG32" s="85"/>
      <c r="BH32" s="85"/>
      <c r="BI32" s="68" t="b">
        <f>IF(BO46=12,6)</f>
        <v>0</v>
      </c>
      <c r="BK32" s="93"/>
      <c r="BL32" s="93"/>
      <c r="BM32" s="69"/>
      <c r="BN32" s="93"/>
      <c r="BO32" s="646"/>
      <c r="BP32" s="93"/>
      <c r="BQ32" s="69"/>
      <c r="BR32" s="69"/>
      <c r="BS32" s="66"/>
      <c r="BU32" s="63" t="b">
        <f>IF(BO46=12,16)</f>
        <v>0</v>
      </c>
      <c r="BV32" s="47"/>
      <c r="BW32" s="47"/>
    </row>
    <row r="33" spans="2:75" ht="21" hidden="1" thickBot="1" x14ac:dyDescent="0.35">
      <c r="B33" s="399" t="s">
        <v>18</v>
      </c>
      <c r="C33" s="399" t="s">
        <v>19</v>
      </c>
      <c r="D33" s="400"/>
      <c r="L33" s="191"/>
      <c r="M33" s="206"/>
      <c r="N33" s="206"/>
      <c r="O33" s="206"/>
      <c r="P33" s="106"/>
      <c r="Q33" s="106"/>
      <c r="R33" s="106"/>
      <c r="S33" s="106"/>
      <c r="T33" s="106"/>
      <c r="U33" s="106"/>
      <c r="V33" s="105"/>
      <c r="W33" s="105"/>
      <c r="X33" s="105"/>
      <c r="AP33" s="54"/>
      <c r="AQ33" s="74"/>
      <c r="AR33" s="74"/>
      <c r="AS33" s="74"/>
      <c r="AT33" s="74"/>
      <c r="BB33" s="85"/>
      <c r="BC33" s="90"/>
      <c r="BE33" s="85"/>
      <c r="BF33" s="85"/>
      <c r="BG33" s="68" t="b">
        <f>IF(BN46=11,4)</f>
        <v>0</v>
      </c>
      <c r="BI33" s="93"/>
      <c r="BJ33" s="93"/>
      <c r="BK33" s="69"/>
      <c r="BL33" s="93"/>
      <c r="BM33" s="69"/>
      <c r="BN33" s="651"/>
      <c r="BO33" s="69"/>
      <c r="BP33" s="93"/>
      <c r="BQ33" s="69"/>
      <c r="BR33" s="69"/>
      <c r="BS33" s="66"/>
      <c r="BU33" s="63" t="b">
        <f>IF(BN46=11,16)</f>
        <v>0</v>
      </c>
      <c r="BV33" s="47"/>
    </row>
    <row r="34" spans="2:75" ht="21" hidden="1" thickBot="1" x14ac:dyDescent="0.35">
      <c r="B34" s="404" t="e">
        <f>+((C8-C10)/C8)*C7</f>
        <v>#DIV/0!</v>
      </c>
      <c r="C34" s="405" t="e">
        <f>+(C10/C8)*C7</f>
        <v>#DIV/0!</v>
      </c>
      <c r="D34" s="400"/>
      <c r="L34" s="191"/>
      <c r="M34" s="206"/>
      <c r="N34" s="206"/>
      <c r="O34" s="206"/>
      <c r="P34" s="106"/>
      <c r="Q34" s="106"/>
      <c r="R34" s="106"/>
      <c r="S34" s="106"/>
      <c r="T34" s="106"/>
      <c r="U34" s="106"/>
      <c r="V34" s="105"/>
      <c r="W34" s="105"/>
      <c r="X34" s="105"/>
      <c r="AP34" s="202"/>
      <c r="AQ34" s="74"/>
      <c r="AR34" s="74"/>
      <c r="AS34" s="74"/>
      <c r="AT34" s="74"/>
      <c r="BB34" s="85"/>
      <c r="BC34" s="90"/>
      <c r="BE34" s="68" t="b">
        <f>IF(BM46=10,2)</f>
        <v>0</v>
      </c>
      <c r="BG34" s="93"/>
      <c r="BH34" s="93"/>
      <c r="BI34" s="69"/>
      <c r="BJ34" s="69"/>
      <c r="BK34" s="69"/>
      <c r="BL34" s="93"/>
      <c r="BM34" s="646"/>
      <c r="BN34" s="93"/>
      <c r="BO34" s="69"/>
      <c r="BP34" s="93"/>
      <c r="BQ34" s="69"/>
      <c r="BR34" s="69"/>
      <c r="BS34" s="66"/>
      <c r="BU34" s="63" t="b">
        <f>IF(BM46=10,16)</f>
        <v>0</v>
      </c>
      <c r="BW34" s="47"/>
    </row>
    <row r="35" spans="2:75" ht="21" hidden="1" thickBot="1" x14ac:dyDescent="0.35">
      <c r="B35" s="402"/>
      <c r="C35" s="400"/>
      <c r="D35" s="400"/>
      <c r="L35" s="191"/>
      <c r="M35" s="206"/>
      <c r="N35" s="206"/>
      <c r="O35" s="206"/>
      <c r="P35" s="106"/>
      <c r="Q35" s="106"/>
      <c r="R35" s="106"/>
      <c r="S35" s="106"/>
      <c r="T35" s="106"/>
      <c r="U35" s="106"/>
      <c r="V35" s="105"/>
      <c r="W35" s="105"/>
      <c r="X35" s="105"/>
      <c r="AP35" s="202"/>
      <c r="AQ35" s="74"/>
      <c r="AR35" s="74"/>
      <c r="AS35" s="74"/>
      <c r="AT35" s="74"/>
      <c r="BB35" s="85"/>
      <c r="BC35" s="90"/>
      <c r="BD35" s="68" t="b">
        <f>IF(BL46=9,1)</f>
        <v>0</v>
      </c>
      <c r="BE35" s="93"/>
      <c r="BF35" s="93"/>
      <c r="BG35" s="69"/>
      <c r="BH35" s="93"/>
      <c r="BI35" s="93"/>
      <c r="BJ35" s="93"/>
      <c r="BK35" s="93"/>
      <c r="BL35" s="646"/>
      <c r="BM35" s="93"/>
      <c r="BN35" s="93"/>
      <c r="BO35" s="93"/>
      <c r="BP35" s="93"/>
      <c r="BQ35" s="69"/>
      <c r="BR35" s="69"/>
      <c r="BS35" s="66"/>
      <c r="BT35" s="63" t="b">
        <f>IF(BL46=9,15)</f>
        <v>0</v>
      </c>
      <c r="BU35" s="47"/>
      <c r="BV35" s="47"/>
      <c r="BW35" s="47"/>
    </row>
    <row r="36" spans="2:75" ht="21" hidden="1" thickBot="1" x14ac:dyDescent="0.35">
      <c r="B36" s="402"/>
      <c r="C36" s="400"/>
      <c r="D36" s="400"/>
      <c r="L36" s="191"/>
      <c r="M36" s="206"/>
      <c r="N36" s="206"/>
      <c r="O36" s="206"/>
      <c r="P36" s="106"/>
      <c r="Q36" s="106"/>
      <c r="R36" s="106"/>
      <c r="S36" s="106"/>
      <c r="T36" s="106"/>
      <c r="U36" s="106"/>
      <c r="V36" s="105"/>
      <c r="W36" s="105"/>
      <c r="X36" s="105"/>
      <c r="AP36" s="202"/>
      <c r="AQ36" s="74"/>
      <c r="AR36" s="74"/>
      <c r="AS36" s="74"/>
      <c r="AT36" s="74"/>
      <c r="BB36" s="85"/>
      <c r="BC36" s="90"/>
      <c r="BD36" s="70">
        <f>IF(BK46=8,1)</f>
        <v>1</v>
      </c>
      <c r="BF36" s="94"/>
      <c r="BG36" s="94"/>
      <c r="BH36" s="94"/>
      <c r="BI36" s="94"/>
      <c r="BJ36" s="94"/>
      <c r="BK36" s="648"/>
      <c r="BL36" s="94"/>
      <c r="BM36" s="94"/>
      <c r="BN36" s="94"/>
      <c r="BO36" s="94"/>
      <c r="BP36" s="94"/>
      <c r="BQ36" s="71"/>
      <c r="BR36" s="72">
        <f>IF(BK46=8,13)</f>
        <v>13</v>
      </c>
      <c r="BS36" s="47"/>
      <c r="BT36" s="47"/>
      <c r="BU36" s="47"/>
      <c r="BV36" s="47"/>
      <c r="BW36" s="47"/>
    </row>
    <row r="37" spans="2:75" ht="21" hidden="1" thickBot="1" x14ac:dyDescent="0.35">
      <c r="B37" s="402"/>
      <c r="C37" s="400"/>
      <c r="D37" s="400"/>
      <c r="G37" s="20"/>
      <c r="H37" s="20"/>
      <c r="I37" s="20"/>
      <c r="J37" s="20"/>
      <c r="K37" s="20"/>
      <c r="L37" s="208"/>
      <c r="M37" s="209"/>
      <c r="N37" s="209"/>
      <c r="O37" s="209"/>
      <c r="P37" s="148"/>
      <c r="Q37" s="148"/>
      <c r="R37" s="148"/>
      <c r="S37" s="148"/>
      <c r="T37" s="148"/>
      <c r="U37" s="148"/>
      <c r="V37" s="53"/>
      <c r="W37" s="53"/>
      <c r="X37" s="53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54"/>
      <c r="AQ37" s="74"/>
      <c r="AR37" s="74"/>
      <c r="AS37" s="74"/>
      <c r="AT37" s="74"/>
      <c r="BB37" s="85"/>
      <c r="BC37" s="90"/>
      <c r="BD37" s="70" t="b">
        <f>IF(BJ46=7,1)</f>
        <v>0</v>
      </c>
      <c r="BE37" s="94"/>
      <c r="BF37" s="94"/>
      <c r="BH37" s="94"/>
      <c r="BI37" s="94"/>
      <c r="BJ37" s="647"/>
      <c r="BK37" s="94"/>
      <c r="BL37" s="94"/>
      <c r="BN37" s="94"/>
      <c r="BO37" s="94"/>
      <c r="BP37" s="72" t="b">
        <f>IF(BJ46=7,11)</f>
        <v>0</v>
      </c>
      <c r="BQ37" s="86"/>
      <c r="BS37" s="47"/>
      <c r="BT37" s="47"/>
      <c r="BU37" s="47"/>
      <c r="BV37" s="47"/>
      <c r="BW37" s="47"/>
    </row>
    <row r="38" spans="2:75" ht="21" hidden="1" thickBot="1" x14ac:dyDescent="0.35">
      <c r="G38" s="20"/>
      <c r="H38" s="20"/>
      <c r="I38" s="20"/>
      <c r="J38" s="20"/>
      <c r="K38" s="20"/>
      <c r="L38" s="208"/>
      <c r="M38" s="209"/>
      <c r="N38" s="209"/>
      <c r="O38" s="209"/>
      <c r="P38" s="148"/>
      <c r="Q38" s="148"/>
      <c r="R38" s="148"/>
      <c r="S38" s="148"/>
      <c r="T38" s="148"/>
      <c r="U38" s="148"/>
      <c r="V38" s="53"/>
      <c r="W38" s="53"/>
      <c r="X38" s="53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2"/>
      <c r="AQ38" s="74"/>
      <c r="AR38" s="74"/>
      <c r="AS38" s="74"/>
      <c r="AT38" s="74"/>
      <c r="BB38" s="85"/>
      <c r="BC38" s="90"/>
      <c r="BD38" s="70" t="b">
        <f>IF(BI46=6,1)</f>
        <v>0</v>
      </c>
      <c r="BF38" s="94"/>
      <c r="BG38" s="94"/>
      <c r="BH38" s="94"/>
      <c r="BI38" s="647"/>
      <c r="BJ38" s="94"/>
      <c r="BK38" s="94"/>
      <c r="BL38" s="94"/>
      <c r="BN38" s="72" t="b">
        <f>IF(BI46=6,9)</f>
        <v>0</v>
      </c>
      <c r="BO38" s="85"/>
      <c r="BP38" s="85"/>
      <c r="BQ38" s="86"/>
      <c r="BS38" s="47"/>
      <c r="BT38" s="47"/>
      <c r="BU38" s="47"/>
      <c r="BV38" s="47"/>
      <c r="BW38" s="47"/>
    </row>
    <row r="39" spans="2:75" ht="21" hidden="1" thickBot="1" x14ac:dyDescent="0.35">
      <c r="G39" s="20"/>
      <c r="H39" s="20"/>
      <c r="I39" s="20"/>
      <c r="J39" s="20"/>
      <c r="K39" s="20"/>
      <c r="L39" s="208"/>
      <c r="M39" s="209"/>
      <c r="N39" s="209"/>
      <c r="O39" s="209"/>
      <c r="P39" s="148"/>
      <c r="Q39" s="148"/>
      <c r="R39" s="148"/>
      <c r="S39" s="148"/>
      <c r="T39" s="148"/>
      <c r="U39" s="148"/>
      <c r="V39" s="53"/>
      <c r="W39" s="53"/>
      <c r="X39" s="53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2"/>
      <c r="AQ39" s="74"/>
      <c r="AR39" s="74"/>
      <c r="AS39" s="74"/>
      <c r="AT39" s="74"/>
      <c r="BB39" s="85"/>
      <c r="BC39" s="90"/>
      <c r="BD39" s="68" t="b">
        <f>IF(BH46=5,1)</f>
        <v>0</v>
      </c>
      <c r="BE39" s="93"/>
      <c r="BF39" s="93"/>
      <c r="BG39" s="69"/>
      <c r="BH39" s="646"/>
      <c r="BI39" s="69"/>
      <c r="BJ39" s="93"/>
      <c r="BK39" s="93"/>
      <c r="BL39" s="63" t="b">
        <f>IF(BH46=5,7)</f>
        <v>0</v>
      </c>
      <c r="BM39" s="85"/>
      <c r="BN39" s="85"/>
      <c r="BO39" s="85"/>
      <c r="BP39" s="85"/>
      <c r="BQ39" s="86"/>
      <c r="BS39" s="47"/>
      <c r="BT39" s="47"/>
      <c r="BU39" s="47"/>
      <c r="BV39" s="47"/>
      <c r="BW39" s="47"/>
    </row>
    <row r="40" spans="2:75" ht="21" hidden="1" thickBot="1" x14ac:dyDescent="0.35">
      <c r="G40" s="20"/>
      <c r="H40" s="20"/>
      <c r="I40" s="20"/>
      <c r="J40" s="20"/>
      <c r="K40" s="20"/>
      <c r="L40" s="208"/>
      <c r="M40" s="209"/>
      <c r="N40" s="209"/>
      <c r="O40" s="209"/>
      <c r="P40" s="148"/>
      <c r="Q40" s="148"/>
      <c r="R40" s="148"/>
      <c r="S40" s="148"/>
      <c r="T40" s="148"/>
      <c r="U40" s="148"/>
      <c r="V40" s="53"/>
      <c r="W40" s="53"/>
      <c r="X40" s="53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2"/>
      <c r="AQ40" s="74"/>
      <c r="AR40" s="74"/>
      <c r="AS40" s="74"/>
      <c r="AT40" s="74"/>
      <c r="BB40" s="85"/>
      <c r="BC40" s="90"/>
      <c r="BE40" s="68" t="b">
        <f>IF(BG46=4,2)</f>
        <v>0</v>
      </c>
      <c r="BF40" s="69"/>
      <c r="BG40" s="646"/>
      <c r="BH40" s="69"/>
      <c r="BI40" s="63" t="b">
        <f>IF(BG46=4,6)</f>
        <v>0</v>
      </c>
      <c r="BK40" s="85"/>
      <c r="BL40" s="85"/>
      <c r="BM40" s="85"/>
      <c r="BN40" s="85"/>
      <c r="BO40" s="85"/>
      <c r="BP40" s="85"/>
      <c r="BQ40" s="86"/>
      <c r="BS40" s="47"/>
      <c r="BT40" s="47"/>
      <c r="BU40" s="47"/>
      <c r="BV40" s="47"/>
      <c r="BW40" s="47"/>
    </row>
    <row r="41" spans="2:75" ht="21" hidden="1" thickBot="1" x14ac:dyDescent="0.35">
      <c r="G41" s="20"/>
      <c r="H41" s="20"/>
      <c r="I41" s="20"/>
      <c r="J41" s="20"/>
      <c r="K41" s="20"/>
      <c r="L41" s="208"/>
      <c r="M41" s="209"/>
      <c r="N41" s="209"/>
      <c r="O41" s="209"/>
      <c r="P41" s="148"/>
      <c r="Q41" s="148"/>
      <c r="R41" s="148"/>
      <c r="S41" s="148"/>
      <c r="T41" s="148"/>
      <c r="U41" s="148"/>
      <c r="V41" s="53"/>
      <c r="W41" s="53"/>
      <c r="X41" s="53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54"/>
      <c r="AQ41" s="74"/>
      <c r="AR41" s="74"/>
      <c r="AS41" s="74"/>
      <c r="AT41" s="74"/>
      <c r="BB41" s="85"/>
      <c r="BC41" s="90"/>
      <c r="BD41" s="70" t="b">
        <f>IF(BF46=3,1)</f>
        <v>0</v>
      </c>
      <c r="BE41" s="94"/>
      <c r="BF41" s="647"/>
      <c r="BG41" s="94"/>
      <c r="BH41" s="72" t="b">
        <f>IF(BF46=3,5)</f>
        <v>0</v>
      </c>
      <c r="BI41" s="85"/>
      <c r="BJ41" s="85"/>
      <c r="BK41" s="85"/>
      <c r="BL41" s="85"/>
      <c r="BM41" s="85"/>
      <c r="BN41" s="85"/>
      <c r="BO41" s="85"/>
      <c r="BP41" s="85"/>
      <c r="BQ41" s="86"/>
      <c r="BS41" s="47"/>
      <c r="BT41" s="47"/>
      <c r="BU41" s="47"/>
      <c r="BV41" s="47"/>
      <c r="BW41" s="47"/>
    </row>
    <row r="42" spans="2:75" ht="21" hidden="1" thickBot="1" x14ac:dyDescent="0.35">
      <c r="G42" s="20"/>
      <c r="H42" s="20"/>
      <c r="I42" s="20"/>
      <c r="J42" s="20"/>
      <c r="K42" s="20"/>
      <c r="L42" s="208"/>
      <c r="M42" s="209"/>
      <c r="N42" s="209"/>
      <c r="O42" s="209"/>
      <c r="P42" s="148"/>
      <c r="Q42" s="148"/>
      <c r="R42" s="148"/>
      <c r="S42" s="148"/>
      <c r="T42" s="148"/>
      <c r="U42" s="148"/>
      <c r="V42" s="53"/>
      <c r="W42" s="53"/>
      <c r="X42" s="53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2"/>
      <c r="AQ42" s="74"/>
      <c r="AR42" s="74"/>
      <c r="AS42" s="74"/>
      <c r="AT42" s="74"/>
      <c r="BB42" s="85"/>
      <c r="BC42" s="90"/>
      <c r="BD42" s="70" t="b">
        <f>IF(BE46=2,1)</f>
        <v>0</v>
      </c>
      <c r="BE42" s="94"/>
      <c r="BF42" s="72" t="b">
        <f>IF(BE46=2,3)</f>
        <v>0</v>
      </c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6"/>
      <c r="BS42" s="47"/>
      <c r="BT42" s="47"/>
      <c r="BU42" s="47"/>
      <c r="BV42" s="47"/>
      <c r="BW42" s="47"/>
    </row>
    <row r="43" spans="2:75" ht="32.25" hidden="1" customHeight="1" thickBot="1" x14ac:dyDescent="0.35">
      <c r="G43" s="20"/>
      <c r="H43" s="20"/>
      <c r="I43" s="20"/>
      <c r="J43" s="20"/>
      <c r="K43" s="20"/>
      <c r="L43" s="208"/>
      <c r="M43" s="209"/>
      <c r="N43" s="209"/>
      <c r="O43" s="209"/>
      <c r="P43" s="148"/>
      <c r="Q43" s="148"/>
      <c r="R43" s="148"/>
      <c r="S43" s="148"/>
      <c r="T43" s="148"/>
      <c r="U43" s="148"/>
      <c r="V43" s="53"/>
      <c r="W43" s="53"/>
      <c r="X43" s="53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2"/>
      <c r="AQ43" s="74"/>
      <c r="AR43" s="74"/>
      <c r="AS43" s="74"/>
      <c r="AT43" s="74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6"/>
      <c r="BO43" s="64"/>
      <c r="BP43" s="64"/>
      <c r="BQ43" s="64"/>
      <c r="BS43" s="47"/>
      <c r="BT43" s="47"/>
      <c r="BU43" s="47"/>
      <c r="BV43" s="47"/>
      <c r="BW43" s="47"/>
    </row>
    <row r="44" spans="2:75" ht="39.950000000000003" customHeight="1" thickBot="1" x14ac:dyDescent="0.4">
      <c r="G44" s="20"/>
      <c r="H44" s="20"/>
      <c r="I44" s="20"/>
      <c r="J44" s="20"/>
      <c r="K44" s="20"/>
      <c r="L44" s="208"/>
      <c r="M44" s="209"/>
      <c r="N44" s="209"/>
      <c r="O44" s="209"/>
      <c r="P44" s="148"/>
      <c r="Q44" s="148"/>
      <c r="R44" s="148"/>
      <c r="S44" s="148"/>
      <c r="T44" s="148"/>
      <c r="U44" s="148"/>
      <c r="V44" s="53"/>
      <c r="W44" s="53"/>
      <c r="X44" s="53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54"/>
      <c r="AQ44" s="74"/>
      <c r="AR44" s="74"/>
      <c r="AS44" s="74"/>
      <c r="AT44" s="74"/>
      <c r="AU44" s="74"/>
      <c r="AW44" s="74"/>
      <c r="AX44" s="74"/>
      <c r="AY44" s="74"/>
      <c r="BB44" s="467" t="s">
        <v>92</v>
      </c>
      <c r="BC44" s="47"/>
      <c r="BD44" s="81">
        <f t="shared" ref="BD44:BU44" si="0">SUM(BD27:BD43)</f>
        <v>1</v>
      </c>
      <c r="BE44" s="82">
        <f t="shared" si="0"/>
        <v>0</v>
      </c>
      <c r="BF44" s="82">
        <f t="shared" si="0"/>
        <v>0</v>
      </c>
      <c r="BG44" s="82">
        <f t="shared" si="0"/>
        <v>0</v>
      </c>
      <c r="BH44" s="82">
        <f t="shared" si="0"/>
        <v>0</v>
      </c>
      <c r="BI44" s="82">
        <f t="shared" si="0"/>
        <v>0</v>
      </c>
      <c r="BJ44" s="82">
        <f t="shared" si="0"/>
        <v>0</v>
      </c>
      <c r="BK44" s="82">
        <f t="shared" si="0"/>
        <v>0</v>
      </c>
      <c r="BL44" s="82">
        <f t="shared" si="0"/>
        <v>0</v>
      </c>
      <c r="BM44" s="82">
        <f t="shared" si="0"/>
        <v>0</v>
      </c>
      <c r="BN44" s="82">
        <f t="shared" si="0"/>
        <v>0</v>
      </c>
      <c r="BO44" s="82">
        <f t="shared" si="0"/>
        <v>0</v>
      </c>
      <c r="BP44" s="82">
        <f t="shared" si="0"/>
        <v>0</v>
      </c>
      <c r="BQ44" s="82">
        <f t="shared" si="0"/>
        <v>0</v>
      </c>
      <c r="BR44" s="82">
        <f t="shared" si="0"/>
        <v>13</v>
      </c>
      <c r="BS44" s="82">
        <f t="shared" si="0"/>
        <v>0</v>
      </c>
      <c r="BT44" s="82">
        <f t="shared" si="0"/>
        <v>0</v>
      </c>
      <c r="BU44" s="83">
        <f t="shared" si="0"/>
        <v>0</v>
      </c>
      <c r="BV44" s="84"/>
      <c r="BW44" s="84"/>
    </row>
    <row r="45" spans="2:75" ht="20.25" hidden="1" x14ac:dyDescent="0.3">
      <c r="G45" s="20"/>
      <c r="H45" s="20"/>
      <c r="I45" s="20"/>
      <c r="J45" s="20"/>
      <c r="K45" s="20"/>
      <c r="L45" s="208"/>
      <c r="M45" s="209"/>
      <c r="N45" s="209"/>
      <c r="O45" s="209"/>
      <c r="P45" s="148"/>
      <c r="Q45" s="148"/>
      <c r="R45" s="148"/>
      <c r="S45" s="148"/>
      <c r="T45" s="148"/>
      <c r="U45" s="148"/>
      <c r="V45" s="53"/>
      <c r="W45" s="53"/>
      <c r="X45" s="53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54"/>
      <c r="AQ45" s="74"/>
      <c r="AR45" s="74"/>
      <c r="AS45" s="74"/>
      <c r="AT45" s="74"/>
      <c r="AU45" s="74"/>
      <c r="AV45" s="74"/>
      <c r="AW45" s="74"/>
      <c r="AX45" s="74"/>
      <c r="BB45" s="97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47"/>
      <c r="BV45" s="47"/>
      <c r="BW45" s="47"/>
    </row>
    <row r="46" spans="2:75" ht="20.25" hidden="1" x14ac:dyDescent="0.3">
      <c r="G46" s="20"/>
      <c r="H46" s="20"/>
      <c r="I46" s="20"/>
      <c r="J46" s="20"/>
      <c r="K46" s="20"/>
      <c r="L46" s="208"/>
      <c r="M46" s="209"/>
      <c r="N46" s="209"/>
      <c r="O46" s="209"/>
      <c r="P46" s="148"/>
      <c r="Q46" s="148"/>
      <c r="R46" s="148"/>
      <c r="S46" s="148"/>
      <c r="T46" s="148"/>
      <c r="U46" s="148"/>
      <c r="V46" s="53"/>
      <c r="W46" s="53"/>
      <c r="X46" s="53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54"/>
      <c r="AQ46" s="74"/>
      <c r="AR46" s="74"/>
      <c r="AS46" s="74"/>
      <c r="AT46" s="74"/>
      <c r="AU46" s="74"/>
      <c r="AV46" s="74"/>
      <c r="AW46" s="74"/>
      <c r="AX46" s="74"/>
      <c r="AY46" s="74"/>
      <c r="BB46" s="45"/>
      <c r="BC46" s="47"/>
      <c r="BD46" s="98" t="b">
        <f>+AW80</f>
        <v>0</v>
      </c>
      <c r="BE46" s="98" t="b">
        <f>+AW81</f>
        <v>0</v>
      </c>
      <c r="BF46" s="98" t="b">
        <f>+AW82</f>
        <v>0</v>
      </c>
      <c r="BG46" s="98" t="b">
        <f>+AW83</f>
        <v>0</v>
      </c>
      <c r="BH46" s="98" t="b">
        <f>+AW84</f>
        <v>0</v>
      </c>
      <c r="BI46" s="98" t="b">
        <f>+AW85</f>
        <v>0</v>
      </c>
      <c r="BJ46" s="377" t="b">
        <f>+AW86</f>
        <v>0</v>
      </c>
      <c r="BK46" s="377">
        <f>+AW87</f>
        <v>8</v>
      </c>
      <c r="BL46" s="98" t="b">
        <f>+AW88</f>
        <v>0</v>
      </c>
      <c r="BM46" s="98" t="b">
        <f>+AW89</f>
        <v>0</v>
      </c>
      <c r="BN46" s="98" t="b">
        <f>+AW90</f>
        <v>0</v>
      </c>
      <c r="BO46" s="98" t="b">
        <f>+AW91</f>
        <v>0</v>
      </c>
      <c r="BP46" s="98" t="b">
        <f>+AW92</f>
        <v>0</v>
      </c>
      <c r="BQ46" s="98" t="b">
        <f>+AW93</f>
        <v>0</v>
      </c>
      <c r="BR46" s="98" t="b">
        <f>+AW94</f>
        <v>0</v>
      </c>
      <c r="BS46" s="98" t="b">
        <f>+AW95</f>
        <v>0</v>
      </c>
      <c r="BT46" s="98" t="b">
        <f>+AW96</f>
        <v>0</v>
      </c>
      <c r="BU46" s="649" t="b">
        <f>+AW97</f>
        <v>0</v>
      </c>
      <c r="BV46" s="99"/>
      <c r="BW46" s="99"/>
    </row>
    <row r="47" spans="2:75" ht="20.25" hidden="1" x14ac:dyDescent="0.3">
      <c r="G47" s="20"/>
      <c r="H47" s="20"/>
      <c r="I47" s="20"/>
      <c r="J47" s="20"/>
      <c r="K47" s="20"/>
      <c r="L47" s="208"/>
      <c r="M47" s="209"/>
      <c r="N47" s="209"/>
      <c r="O47" s="209"/>
      <c r="P47" s="148"/>
      <c r="Q47" s="148"/>
      <c r="R47" s="148"/>
      <c r="S47" s="148"/>
      <c r="T47" s="148"/>
      <c r="U47" s="148"/>
      <c r="V47" s="53"/>
      <c r="W47" s="53"/>
      <c r="X47" s="53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54"/>
      <c r="AQ47" s="74"/>
      <c r="AR47" s="74"/>
      <c r="AS47" s="74"/>
      <c r="AT47" s="74"/>
      <c r="AU47" s="74"/>
      <c r="AV47" s="74"/>
      <c r="AW47" s="74"/>
      <c r="AX47" s="74"/>
      <c r="AY47" s="74"/>
      <c r="BB47" s="46"/>
      <c r="BC47" s="99"/>
      <c r="BD47" s="99" t="b">
        <f>+BD46</f>
        <v>0</v>
      </c>
      <c r="BE47" s="99" t="b">
        <f>+BE46</f>
        <v>0</v>
      </c>
      <c r="BF47" s="99" t="b">
        <f>+BF46</f>
        <v>0</v>
      </c>
      <c r="BG47" s="99" t="b">
        <f>+BG46</f>
        <v>0</v>
      </c>
      <c r="BH47" s="99" t="b">
        <f>+BH46</f>
        <v>0</v>
      </c>
      <c r="BI47" s="99" t="b">
        <f t="shared" ref="BI47:BK47" si="1">+BI46</f>
        <v>0</v>
      </c>
      <c r="BJ47" s="378" t="b">
        <f t="shared" si="1"/>
        <v>0</v>
      </c>
      <c r="BK47" s="378">
        <f t="shared" si="1"/>
        <v>8</v>
      </c>
      <c r="BL47" s="99" t="b">
        <f>+BL46</f>
        <v>0</v>
      </c>
      <c r="BM47" s="99" t="b">
        <f>+BM46</f>
        <v>0</v>
      </c>
      <c r="BN47" s="99" t="b">
        <f t="shared" ref="BN47:BU47" si="2">+BN46</f>
        <v>0</v>
      </c>
      <c r="BO47" s="99" t="b">
        <f t="shared" si="2"/>
        <v>0</v>
      </c>
      <c r="BP47" s="99" t="b">
        <f t="shared" si="2"/>
        <v>0</v>
      </c>
      <c r="BQ47" s="99" t="b">
        <f t="shared" si="2"/>
        <v>0</v>
      </c>
      <c r="BR47" s="99" t="b">
        <f t="shared" si="2"/>
        <v>0</v>
      </c>
      <c r="BS47" s="99" t="b">
        <f t="shared" si="2"/>
        <v>0</v>
      </c>
      <c r="BT47" s="99" t="b">
        <f t="shared" si="2"/>
        <v>0</v>
      </c>
      <c r="BU47" s="99" t="b">
        <f t="shared" si="2"/>
        <v>0</v>
      </c>
      <c r="BV47" s="99"/>
      <c r="BW47" s="99"/>
    </row>
    <row r="48" spans="2:75" ht="32.25" customHeight="1" thickBot="1" x14ac:dyDescent="0.35">
      <c r="G48" s="20"/>
      <c r="H48" s="20"/>
      <c r="I48" s="20"/>
      <c r="J48" s="20"/>
      <c r="K48" s="20"/>
      <c r="L48" s="208"/>
      <c r="M48" s="209"/>
      <c r="N48" s="209"/>
      <c r="O48" s="209"/>
      <c r="P48" s="148"/>
      <c r="Q48" s="148"/>
      <c r="R48" s="148"/>
      <c r="S48" s="148"/>
      <c r="T48" s="148"/>
      <c r="U48" s="148"/>
      <c r="V48" s="53"/>
      <c r="W48" s="53"/>
      <c r="X48" s="53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54"/>
      <c r="AQ48" s="74"/>
      <c r="AR48" s="74"/>
      <c r="AS48" s="74"/>
      <c r="AT48" s="74"/>
      <c r="AU48" s="74"/>
      <c r="AV48" s="74"/>
      <c r="AW48" s="74"/>
      <c r="AX48" s="74"/>
      <c r="AY48" s="74"/>
      <c r="BB48" s="46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</row>
    <row r="49" spans="2:76" ht="39.950000000000003" customHeight="1" thickBot="1" x14ac:dyDescent="0.4">
      <c r="G49" s="20"/>
      <c r="H49" s="20"/>
      <c r="I49" s="20"/>
      <c r="J49" s="20"/>
      <c r="K49" s="20"/>
      <c r="L49" s="208"/>
      <c r="M49" s="209"/>
      <c r="N49" s="209"/>
      <c r="O49" s="209"/>
      <c r="P49" s="148"/>
      <c r="Q49" s="148"/>
      <c r="R49" s="148"/>
      <c r="S49" s="148"/>
      <c r="T49" s="148"/>
      <c r="U49" s="148"/>
      <c r="V49" s="53"/>
      <c r="W49" s="53"/>
      <c r="X49" s="53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54"/>
      <c r="AQ49" s="74"/>
      <c r="AR49" s="74"/>
      <c r="AS49" s="74"/>
      <c r="AT49" s="74"/>
      <c r="AU49" s="74"/>
      <c r="AV49" s="74"/>
      <c r="AW49" s="74"/>
      <c r="AX49" s="74"/>
      <c r="AY49" s="74"/>
      <c r="BB49" s="100" t="s">
        <v>80</v>
      </c>
      <c r="BC49" s="14" t="str">
        <f>IF(BC47=11,"7","")</f>
        <v/>
      </c>
      <c r="BD49" s="464" t="str">
        <f>IF(BD47=1,"1","")</f>
        <v/>
      </c>
      <c r="BE49" s="465" t="str">
        <f>IF(BE47=2,"2","")</f>
        <v/>
      </c>
      <c r="BF49" s="465" t="str">
        <f>IF(BF47=3,"3","")</f>
        <v/>
      </c>
      <c r="BG49" s="465" t="str">
        <f>IF(BG47=4,"4","")</f>
        <v/>
      </c>
      <c r="BH49" s="465" t="str">
        <f>IF(BH47=5,"5","")</f>
        <v/>
      </c>
      <c r="BI49" s="465" t="str">
        <f>IF(BI47=6,"6","")</f>
        <v/>
      </c>
      <c r="BJ49" s="465" t="str">
        <f>IF(BJ47=7,"X","")</f>
        <v/>
      </c>
      <c r="BK49" s="465" t="str">
        <f>IF(BK47=8,"X","")</f>
        <v>X</v>
      </c>
      <c r="BL49" s="465" t="str">
        <f>IF(BL47=9,"7","")</f>
        <v/>
      </c>
      <c r="BM49" s="465" t="str">
        <f>IF(BM47=10,"8","")</f>
        <v/>
      </c>
      <c r="BN49" s="465" t="str">
        <f>IF(BN47=11,"9","")</f>
        <v/>
      </c>
      <c r="BO49" s="465" t="str">
        <f>IF(BO47=12,"10","")</f>
        <v/>
      </c>
      <c r="BP49" s="465" t="str">
        <f>IF(BP47=13,"11","")</f>
        <v/>
      </c>
      <c r="BQ49" s="465" t="str">
        <f>IF(BQ47=14,"12","")</f>
        <v/>
      </c>
      <c r="BR49" s="465" t="str">
        <f>IF(BR47=15,"13","")</f>
        <v/>
      </c>
      <c r="BS49" s="465" t="str">
        <f>IF(BS47=16,"14","")</f>
        <v/>
      </c>
      <c r="BT49" s="465" t="str">
        <f>IF(BT47=17,"15","")</f>
        <v/>
      </c>
      <c r="BU49" s="466" t="str">
        <f>IF(BU47=18,"16","")</f>
        <v/>
      </c>
      <c r="BV49" s="650"/>
      <c r="BW49" s="650"/>
      <c r="BX49" s="47"/>
    </row>
    <row r="50" spans="2:76" ht="15.75" customHeight="1" x14ac:dyDescent="0.3">
      <c r="G50" s="20"/>
      <c r="H50" s="20"/>
      <c r="I50" s="20"/>
      <c r="J50" s="20"/>
      <c r="K50" s="20"/>
      <c r="L50" s="210"/>
      <c r="M50" s="722"/>
      <c r="N50" s="722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211"/>
      <c r="Z50" s="720"/>
      <c r="AA50" s="7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54"/>
      <c r="AQ50" s="74"/>
      <c r="AR50" s="74"/>
      <c r="AS50" s="74"/>
      <c r="AT50" s="74"/>
      <c r="AU50" s="74"/>
      <c r="AV50" s="74"/>
      <c r="AW50" s="74"/>
      <c r="AX50" s="74"/>
      <c r="BX50" s="47"/>
    </row>
    <row r="51" spans="2:76" x14ac:dyDescent="0.25">
      <c r="AQ51" s="74"/>
      <c r="AR51" s="74"/>
      <c r="AS51" s="74"/>
      <c r="AT51" s="74"/>
      <c r="AU51" s="74"/>
      <c r="AV51" s="74"/>
      <c r="AW51" s="74"/>
      <c r="AX51" s="74"/>
      <c r="AY51" s="74"/>
    </row>
    <row r="52" spans="2:76" ht="20.25" hidden="1" x14ac:dyDescent="0.3">
      <c r="B52" s="213"/>
      <c r="C52" s="148"/>
      <c r="D52" s="148"/>
      <c r="E52" s="212"/>
      <c r="AP52" s="216"/>
      <c r="AQ52" s="74"/>
      <c r="AR52" s="74"/>
      <c r="AS52" s="74"/>
      <c r="AT52" s="74"/>
      <c r="BX52" s="47"/>
    </row>
    <row r="53" spans="2:76" ht="20.25" hidden="1" x14ac:dyDescent="0.3">
      <c r="B53" s="213"/>
      <c r="C53" s="148"/>
      <c r="D53" s="148"/>
      <c r="E53" s="212"/>
      <c r="AQ53" s="74"/>
      <c r="AR53" s="74"/>
      <c r="AS53" s="74"/>
      <c r="AT53" s="74"/>
    </row>
    <row r="54" spans="2:76" ht="20.25" hidden="1" x14ac:dyDescent="0.3">
      <c r="B54" s="213"/>
      <c r="C54" s="148"/>
      <c r="D54" s="148"/>
      <c r="E54" s="212"/>
      <c r="AQ54" s="74"/>
      <c r="AR54" s="74"/>
      <c r="AS54" s="74"/>
      <c r="AT54" s="74"/>
      <c r="BB54" s="78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</row>
    <row r="55" spans="2:76" ht="21" thickBot="1" x14ac:dyDescent="0.35">
      <c r="B55" s="213"/>
      <c r="C55" s="148"/>
      <c r="D55" s="148"/>
      <c r="E55" s="212"/>
      <c r="AQ55" s="74"/>
      <c r="AR55" s="74"/>
      <c r="AS55" s="74"/>
      <c r="AT55" s="74"/>
    </row>
    <row r="56" spans="2:76" ht="49.5" customHeight="1" thickBot="1" x14ac:dyDescent="0.35">
      <c r="B56" s="717" t="s">
        <v>101</v>
      </c>
      <c r="C56" s="11"/>
      <c r="D56" s="706" t="str">
        <f>IF(AX61&gt;0," ","change the angle of frame")</f>
        <v xml:space="preserve"> </v>
      </c>
      <c r="E56" s="113"/>
      <c r="F56" s="113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95"/>
      <c r="S56" s="217"/>
      <c r="T56" s="217"/>
      <c r="U56" s="20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105"/>
      <c r="AN56" s="105"/>
      <c r="AO56" s="105"/>
      <c r="AQ56" s="74"/>
      <c r="AR56" s="74"/>
      <c r="AS56" s="74"/>
      <c r="AT56" s="74"/>
    </row>
    <row r="57" spans="2:76" ht="49.5" customHeight="1" thickBot="1" x14ac:dyDescent="0.4">
      <c r="B57" s="718"/>
      <c r="C57" s="11"/>
      <c r="D57" s="707"/>
      <c r="E57" s="113"/>
      <c r="F57" s="113"/>
      <c r="G57" s="105"/>
      <c r="H57" s="105"/>
      <c r="I57" s="105"/>
      <c r="J57" s="105"/>
      <c r="K57" s="105"/>
      <c r="L57" s="105"/>
      <c r="M57" s="105"/>
      <c r="N57" s="105"/>
      <c r="O57" s="105"/>
      <c r="P57" s="364" t="s">
        <v>102</v>
      </c>
      <c r="Q57" s="365"/>
      <c r="R57" s="365"/>
      <c r="S57" s="365"/>
      <c r="T57" s="334" t="s">
        <v>126</v>
      </c>
      <c r="U57" s="329"/>
      <c r="V57" s="329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Q57" s="74"/>
      <c r="AR57" s="74"/>
      <c r="AS57" s="74"/>
      <c r="AT57" s="74"/>
      <c r="AU57" s="74"/>
      <c r="AV57" s="74"/>
      <c r="AW57" s="74"/>
      <c r="AX57" s="74"/>
      <c r="AY57" s="74"/>
    </row>
    <row r="58" spans="2:76" ht="49.5" customHeight="1" thickBot="1" x14ac:dyDescent="0.35">
      <c r="B58" s="719"/>
      <c r="C58" s="118"/>
      <c r="D58" s="706" t="str">
        <f>IF(BV61&lt;0," ","change the angle of frame")</f>
        <v xml:space="preserve"> </v>
      </c>
      <c r="E58" s="113"/>
      <c r="F58" s="113"/>
      <c r="G58" s="105"/>
      <c r="H58" s="105"/>
      <c r="I58" s="105"/>
      <c r="J58" s="105"/>
      <c r="K58" s="105"/>
      <c r="L58" s="105"/>
      <c r="M58" s="105"/>
      <c r="N58" s="105"/>
      <c r="O58" s="105"/>
      <c r="P58" s="375" t="s">
        <v>85</v>
      </c>
      <c r="Q58" s="330" t="s">
        <v>86</v>
      </c>
      <c r="R58" s="330" t="s">
        <v>87</v>
      </c>
      <c r="S58" s="357" t="s">
        <v>103</v>
      </c>
      <c r="T58" s="331" t="s">
        <v>89</v>
      </c>
      <c r="U58" s="329"/>
      <c r="V58" s="329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105"/>
      <c r="AN58" s="105"/>
      <c r="AO58" s="105"/>
      <c r="AQ58" s="74"/>
      <c r="AR58" s="74"/>
      <c r="AS58" s="74"/>
      <c r="AT58" s="74"/>
      <c r="AU58" s="74"/>
      <c r="AV58" s="74"/>
      <c r="AW58" s="74"/>
      <c r="AX58" s="74"/>
      <c r="AY58" s="74"/>
    </row>
    <row r="59" spans="2:76" ht="49.5" customHeight="1" thickBot="1" x14ac:dyDescent="0.35">
      <c r="B59" s="3">
        <v>0</v>
      </c>
      <c r="C59" s="118"/>
      <c r="D59" s="707"/>
      <c r="E59" s="113"/>
      <c r="F59" s="113"/>
      <c r="P59" s="359">
        <v>3.1490949000000001</v>
      </c>
      <c r="Q59" s="341">
        <f>+$B$59-P59</f>
        <v>-3.1490949000000001</v>
      </c>
      <c r="R59" s="342">
        <f>COS(Q59*3.14159265358979/180)</f>
        <v>0.99848996537257584</v>
      </c>
      <c r="S59" s="358">
        <f>+R59*260.556</f>
        <v>260.16255141761684</v>
      </c>
      <c r="T59" s="356">
        <f>+((X65*AF65)+(S59*3.3))/(AF65+3.3)</f>
        <v>256.00342193807461</v>
      </c>
      <c r="U59" s="114" t="s">
        <v>105</v>
      </c>
      <c r="V59" s="329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105"/>
      <c r="AN59" s="105"/>
      <c r="AO59" s="105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J59" s="107"/>
      <c r="BK59" s="107"/>
      <c r="BL59" s="105"/>
    </row>
    <row r="60" spans="2:76" ht="31.5" customHeight="1" thickBot="1" x14ac:dyDescent="0.35">
      <c r="C60" s="11"/>
      <c r="D60" s="20"/>
      <c r="E60" s="20"/>
      <c r="F60" s="20"/>
      <c r="G60" s="218" t="s">
        <v>60</v>
      </c>
      <c r="H60" s="218" t="s">
        <v>61</v>
      </c>
      <c r="I60" s="218" t="s">
        <v>62</v>
      </c>
      <c r="O60" s="218" t="s">
        <v>63</v>
      </c>
      <c r="P60" s="218" t="s">
        <v>64</v>
      </c>
      <c r="Q60" s="213"/>
      <c r="R60" s="218" t="s">
        <v>65</v>
      </c>
      <c r="S60" s="20"/>
      <c r="T60" s="20"/>
      <c r="U60" s="219"/>
      <c r="V60" s="220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105"/>
      <c r="AN60" s="105"/>
      <c r="AO60" s="105"/>
      <c r="AQ60" s="74"/>
      <c r="AR60" s="74"/>
      <c r="AS60" s="74"/>
      <c r="AT60" s="74"/>
      <c r="AU60" s="74"/>
      <c r="AV60" s="74"/>
      <c r="AX60" s="108" t="s">
        <v>49</v>
      </c>
      <c r="AY60" s="74"/>
      <c r="AZ60" s="109"/>
      <c r="BA60" s="74"/>
      <c r="BJ60" s="107"/>
      <c r="BK60" s="107"/>
      <c r="BL60" s="105"/>
      <c r="BT60" s="110"/>
      <c r="BV60" s="108" t="s">
        <v>48</v>
      </c>
    </row>
    <row r="61" spans="2:76" ht="77.25" customHeight="1" thickBot="1" x14ac:dyDescent="0.35">
      <c r="B61" s="221" t="s">
        <v>108</v>
      </c>
      <c r="C61" s="222"/>
      <c r="F61" s="13"/>
      <c r="S61" s="73"/>
      <c r="T61" s="73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711" t="s">
        <v>44</v>
      </c>
      <c r="AO61" s="712"/>
      <c r="AQ61" s="74"/>
      <c r="AR61" s="74"/>
      <c r="AS61" s="74"/>
      <c r="AT61" s="74"/>
      <c r="AU61" s="74"/>
      <c r="AV61" s="74"/>
      <c r="AW61" s="117"/>
      <c r="AX61" s="108">
        <f>-+AT80</f>
        <v>215.9901354606788</v>
      </c>
      <c r="AY61" s="74"/>
      <c r="AZ61" s="109"/>
      <c r="BA61" s="74"/>
      <c r="BJ61" s="107"/>
      <c r="BK61" s="107"/>
      <c r="BL61" s="105"/>
      <c r="BR61" s="117"/>
      <c r="BT61" s="110"/>
      <c r="BV61" s="108">
        <f>+-AT97</f>
        <v>-294.0098645393212</v>
      </c>
    </row>
    <row r="62" spans="2:76" ht="41.25" customHeight="1" thickBot="1" x14ac:dyDescent="0.45">
      <c r="B62" s="9">
        <v>1</v>
      </c>
      <c r="C62" s="22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105"/>
      <c r="V62" s="105"/>
      <c r="W62" s="105"/>
      <c r="X62" s="105"/>
      <c r="Y62" s="105"/>
      <c r="Z62" s="425" t="s">
        <v>90</v>
      </c>
      <c r="AA62" s="425" t="s">
        <v>90</v>
      </c>
      <c r="AB62" s="425" t="s">
        <v>90</v>
      </c>
      <c r="AC62" s="425" t="s">
        <v>90</v>
      </c>
      <c r="AD62" s="425" t="s">
        <v>90</v>
      </c>
      <c r="AE62" s="425" t="s">
        <v>90</v>
      </c>
      <c r="AF62" s="105"/>
      <c r="AG62" s="105"/>
      <c r="AH62" s="105"/>
      <c r="AI62" s="105"/>
      <c r="AJ62" s="105"/>
      <c r="AK62" s="105"/>
      <c r="AL62" s="105"/>
      <c r="AM62" s="225"/>
      <c r="AN62" s="226" t="s">
        <v>20</v>
      </c>
      <c r="AO62" s="226" t="s">
        <v>21</v>
      </c>
      <c r="AY62" s="74"/>
      <c r="AZ62" s="74"/>
      <c r="BA62" s="74"/>
      <c r="BJ62" s="107"/>
      <c r="BK62" s="107"/>
      <c r="BL62" s="105"/>
    </row>
    <row r="63" spans="2:76" ht="18.75" hidden="1" thickBot="1" x14ac:dyDescent="0.3">
      <c r="B63" s="227"/>
      <c r="C63" s="228"/>
      <c r="D63" s="229"/>
      <c r="E63" s="230"/>
      <c r="F63" s="53"/>
      <c r="G63" s="248" t="s">
        <v>4</v>
      </c>
      <c r="H63" s="248" t="s">
        <v>1</v>
      </c>
      <c r="I63" s="659" t="s">
        <v>54</v>
      </c>
      <c r="J63" s="188" t="s">
        <v>2</v>
      </c>
      <c r="K63" s="188" t="s">
        <v>3</v>
      </c>
      <c r="L63" s="188" t="s">
        <v>8</v>
      </c>
      <c r="M63" s="188" t="s">
        <v>5</v>
      </c>
      <c r="N63" s="188" t="s">
        <v>6</v>
      </c>
      <c r="O63" s="188" t="s">
        <v>7</v>
      </c>
      <c r="P63" s="188" t="s">
        <v>9</v>
      </c>
      <c r="Q63" s="187" t="s">
        <v>10</v>
      </c>
      <c r="R63" s="188" t="s">
        <v>11</v>
      </c>
      <c r="S63" s="232" t="s">
        <v>12</v>
      </c>
      <c r="T63" s="233"/>
      <c r="U63" s="234"/>
      <c r="V63" s="137"/>
      <c r="W63" s="137"/>
      <c r="X63" s="137"/>
      <c r="Y63" s="137"/>
      <c r="Z63" s="415"/>
      <c r="AA63" s="415"/>
      <c r="AB63" s="415"/>
      <c r="AC63" s="415"/>
      <c r="AD63" s="415"/>
      <c r="AE63" s="415"/>
      <c r="AF63" s="137"/>
      <c r="AG63" s="137"/>
      <c r="AH63" s="137"/>
      <c r="AI63" s="137"/>
      <c r="AJ63" s="137"/>
      <c r="AK63" s="137"/>
      <c r="AL63" s="225"/>
      <c r="AM63" s="225"/>
      <c r="AN63" s="137"/>
      <c r="AO63" s="137"/>
      <c r="AY63" s="74"/>
      <c r="AZ63" s="74"/>
      <c r="BA63" s="74"/>
      <c r="BJ63" s="107"/>
      <c r="BK63" s="107"/>
      <c r="BL63" s="105"/>
    </row>
    <row r="64" spans="2:76" ht="47.25" hidden="1" thickBot="1" x14ac:dyDescent="0.35">
      <c r="B64" s="235"/>
      <c r="C64" s="236"/>
      <c r="D64" s="237"/>
      <c r="E64" s="238"/>
      <c r="F64" s="145"/>
      <c r="G64" s="248"/>
      <c r="H64" s="248"/>
      <c r="I64" s="659"/>
      <c r="J64" s="188"/>
      <c r="K64" s="188"/>
      <c r="L64" s="188"/>
      <c r="M64" s="188"/>
      <c r="N64" s="188"/>
      <c r="O64" s="188"/>
      <c r="P64" s="188"/>
      <c r="Q64" s="187"/>
      <c r="R64" s="188"/>
      <c r="S64" s="232"/>
      <c r="T64" s="233"/>
      <c r="U64" s="234"/>
      <c r="V64" s="137"/>
      <c r="W64" s="137"/>
      <c r="X64" s="233" t="s">
        <v>34</v>
      </c>
      <c r="Y64" s="239" t="s">
        <v>27</v>
      </c>
      <c r="Z64" s="416" t="s">
        <v>51</v>
      </c>
      <c r="AA64" s="417" t="s">
        <v>28</v>
      </c>
      <c r="AB64" s="418" t="s">
        <v>29</v>
      </c>
      <c r="AC64" s="419" t="s">
        <v>52</v>
      </c>
      <c r="AD64" s="420" t="s">
        <v>30</v>
      </c>
      <c r="AE64" s="421" t="s">
        <v>31</v>
      </c>
      <c r="AF64" s="396" t="s">
        <v>91</v>
      </c>
      <c r="AG64" s="240" t="s">
        <v>40</v>
      </c>
      <c r="AH64" s="240" t="s">
        <v>35</v>
      </c>
      <c r="AI64" s="240" t="s">
        <v>53</v>
      </c>
      <c r="AJ64" s="241" t="s">
        <v>37</v>
      </c>
      <c r="AK64" s="241" t="s">
        <v>38</v>
      </c>
      <c r="AL64" s="242" t="s">
        <v>20</v>
      </c>
      <c r="AM64" s="242" t="s">
        <v>21</v>
      </c>
      <c r="AN64" s="243"/>
      <c r="AO64" s="243"/>
      <c r="AY64" s="74"/>
      <c r="AZ64" s="74"/>
      <c r="BA64" s="74"/>
      <c r="BJ64" s="107"/>
      <c r="BK64" s="107"/>
      <c r="BL64" s="105"/>
    </row>
    <row r="65" spans="2:75" ht="39.75" hidden="1" customHeight="1" thickBot="1" x14ac:dyDescent="0.3">
      <c r="B65" s="244">
        <v>1</v>
      </c>
      <c r="C65" s="245">
        <f>+(B59*-1)+D65</f>
        <v>0</v>
      </c>
      <c r="D65" s="371">
        <v>0</v>
      </c>
      <c r="E65" s="246"/>
      <c r="F65" s="247"/>
      <c r="G65" s="657">
        <v>330.56150000000002</v>
      </c>
      <c r="H65" s="658">
        <v>39.378894899999999</v>
      </c>
      <c r="I65" s="218">
        <f>+H65-C65</f>
        <v>39.378894899999999</v>
      </c>
      <c r="J65" s="188"/>
      <c r="K65" s="188"/>
      <c r="L65" s="188"/>
      <c r="M65" s="188"/>
      <c r="N65" s="188"/>
      <c r="O65" s="218">
        <f>COS(I65*3.14159265358979/180)</f>
        <v>0.77296732626407749</v>
      </c>
      <c r="P65" s="218">
        <f>+O65*G65</f>
        <v>255.51323882084287</v>
      </c>
      <c r="Q65" s="187">
        <v>255.51323882084287</v>
      </c>
      <c r="R65" s="218">
        <f>+P65</f>
        <v>255.51323882084287</v>
      </c>
      <c r="S65" s="188">
        <f t="shared" ref="S65:S76" si="3">+R65</f>
        <v>255.51323882084287</v>
      </c>
      <c r="T65" s="134"/>
      <c r="U65" s="157" t="str">
        <f>IF(AM65&lt;0,"use the locking pin"," ")</f>
        <v xml:space="preserve"> </v>
      </c>
      <c r="V65" s="176">
        <f t="shared" ref="V65:V76" si="4">IF(B65&lt;($B$62+1),S65,0)</f>
        <v>255.51323882084287</v>
      </c>
      <c r="W65" s="249"/>
      <c r="X65" s="176">
        <f>SUM(V65:V76)/($B$62)</f>
        <v>255.51323882084287</v>
      </c>
      <c r="Y65" s="250">
        <f>+D65+C65</f>
        <v>0</v>
      </c>
      <c r="Z65" s="422">
        <f>54.5017821+Y65</f>
        <v>54.5017821</v>
      </c>
      <c r="AA65" s="423">
        <f>SIN(Z65*3.14159265358979/180)</f>
        <v>0.81413357986421619</v>
      </c>
      <c r="AB65" s="422">
        <f>+AA65*421.92</f>
        <v>343.49924001631013</v>
      </c>
      <c r="AC65" s="422">
        <f>58.7344156-Y65</f>
        <v>58.734415599999998</v>
      </c>
      <c r="AD65" s="424">
        <f>SIN(AC65*3.14159265358979/180)</f>
        <v>0.85477073319485097</v>
      </c>
      <c r="AE65" s="422">
        <f>+AD65*472.06</f>
        <v>403.50307231196138</v>
      </c>
      <c r="AF65" s="395">
        <f>28*B62</f>
        <v>28</v>
      </c>
      <c r="AG65" s="251">
        <f>+AE65+AB65</f>
        <v>747.0023123282715</v>
      </c>
      <c r="AH65" s="178">
        <f>+V65-AB65</f>
        <v>-87.986001195467253</v>
      </c>
      <c r="AI65" s="178">
        <f t="shared" ref="AI65:AI76" si="5">+X65-AH65</f>
        <v>343.49924001631013</v>
      </c>
      <c r="AJ65" s="179">
        <f>+((AG65-AI65)/AG65)*AF65</f>
        <v>15.124566334367589</v>
      </c>
      <c r="AK65" s="179">
        <f>+(AI65/AG65)*AF65</f>
        <v>12.875433665632411</v>
      </c>
      <c r="AL65" s="158">
        <f t="shared" ref="AL65:AL76" si="6">2*$B$31/AJ65</f>
        <v>766.96413923890771</v>
      </c>
      <c r="AM65" s="158">
        <f t="shared" ref="AM65:AM76" si="7">2*$C$31/AK65</f>
        <v>900.94052761602541</v>
      </c>
      <c r="AN65" s="252">
        <f>ABS(AL65)</f>
        <v>766.96413923890771</v>
      </c>
      <c r="AO65" s="252">
        <f>ABS(AM65)</f>
        <v>900.94052761602541</v>
      </c>
      <c r="AY65" s="74"/>
      <c r="AZ65" s="74"/>
      <c r="BA65" s="74"/>
      <c r="BJ65" s="107"/>
      <c r="BK65" s="107"/>
      <c r="BL65" s="105"/>
    </row>
    <row r="66" spans="2:75" ht="21" hidden="1" thickBot="1" x14ac:dyDescent="0.45">
      <c r="B66" s="253">
        <v>2</v>
      </c>
      <c r="C66" s="253"/>
      <c r="D66" s="371">
        <v>0</v>
      </c>
      <c r="E66" s="246"/>
      <c r="F66" s="254"/>
      <c r="G66" s="248">
        <v>330.56150000000002</v>
      </c>
      <c r="H66" s="248">
        <v>39.378894899999999</v>
      </c>
      <c r="I66" s="659">
        <f>+H66+D66</f>
        <v>39.378894899999999</v>
      </c>
      <c r="J66" s="188">
        <f t="shared" ref="J66:J76" si="8">+I66/2</f>
        <v>19.689447449999999</v>
      </c>
      <c r="K66" s="188">
        <f t="shared" ref="K66:K76" si="9">SIN(J66*3.14159265358979/180)</f>
        <v>0.33692185572913086</v>
      </c>
      <c r="L66" s="188">
        <f t="shared" ref="L66:L76" si="10">+K66*G66</f>
        <v>111.3733940126051</v>
      </c>
      <c r="M66" s="188">
        <f t="shared" ref="M66:M76" si="11">+L66*2</f>
        <v>222.74678802521021</v>
      </c>
      <c r="N66" s="188">
        <f>+C65+(D66/2)</f>
        <v>0</v>
      </c>
      <c r="O66" s="188">
        <f t="shared" ref="O66:O76" si="12">SIN(N66*3.14159265358979/180)</f>
        <v>0</v>
      </c>
      <c r="P66" s="188">
        <f t="shared" ref="P66:P76" si="13">+O66*M66</f>
        <v>0</v>
      </c>
      <c r="Q66" s="188">
        <f t="shared" ref="Q66:Q76" si="14">+S65</f>
        <v>255.51323882084287</v>
      </c>
      <c r="R66" s="188">
        <f>+Q66+P66</f>
        <v>255.51323882084287</v>
      </c>
      <c r="S66" s="188">
        <f t="shared" si="3"/>
        <v>255.51323882084287</v>
      </c>
      <c r="T66" s="134"/>
      <c r="U66" s="157" t="e">
        <f t="shared" ref="U66:U76" si="15">IF(AM66&lt;0,"use the locking pin"," ")</f>
        <v>#DIV/0!</v>
      </c>
      <c r="V66" s="176">
        <f t="shared" si="4"/>
        <v>0</v>
      </c>
      <c r="W66" s="249"/>
      <c r="X66" s="176" t="e">
        <f>SUM(V66:V76)/($B$62-B65)</f>
        <v>#DIV/0!</v>
      </c>
      <c r="Y66" s="177">
        <f>SUM(D66)+$C$65</f>
        <v>0</v>
      </c>
      <c r="Z66" s="422">
        <f t="shared" ref="Z66:Z76" si="16">54.5017821+Y66</f>
        <v>54.5017821</v>
      </c>
      <c r="AA66" s="423">
        <f>SIN(Z66*3.14159265358979/180)</f>
        <v>0.81413357986421619</v>
      </c>
      <c r="AB66" s="422">
        <f t="shared" ref="AB66:AB76" si="17">+AA66*421.92</f>
        <v>343.49924001631013</v>
      </c>
      <c r="AC66" s="422">
        <f t="shared" ref="AC66:AC76" si="18">58.7344156-Y66</f>
        <v>58.734415599999998</v>
      </c>
      <c r="AD66" s="424">
        <f t="shared" ref="AD66:AD76" si="19">SIN(AC66*3.14159265358979/180)</f>
        <v>0.85477073319485097</v>
      </c>
      <c r="AE66" s="422">
        <f t="shared" ref="AE66:AE76" si="20">+AD66*472.06</f>
        <v>403.50307231196138</v>
      </c>
      <c r="AF66" s="395">
        <f>28*($B$62-B65)</f>
        <v>0</v>
      </c>
      <c r="AG66" s="251">
        <f t="shared" ref="AG66:AG76" si="21">+AE66+AB66</f>
        <v>747.0023123282715</v>
      </c>
      <c r="AH66" s="178">
        <f t="shared" ref="AH66:AH76" si="22">+V66-AB66</f>
        <v>-343.49924001631013</v>
      </c>
      <c r="AI66" s="178" t="e">
        <f t="shared" si="5"/>
        <v>#DIV/0!</v>
      </c>
      <c r="AJ66" s="179" t="e">
        <f t="shared" ref="AJ66:AJ76" si="23">+((AG66-AI66)/AG66)*AF66</f>
        <v>#DIV/0!</v>
      </c>
      <c r="AK66" s="179" t="e">
        <f t="shared" ref="AK66:AK76" si="24">+(AI66/AG66)*AF66</f>
        <v>#DIV/0!</v>
      </c>
      <c r="AL66" s="158" t="e">
        <f t="shared" si="6"/>
        <v>#DIV/0!</v>
      </c>
      <c r="AM66" s="158" t="e">
        <f t="shared" si="7"/>
        <v>#DIV/0!</v>
      </c>
      <c r="AN66" s="252" t="e">
        <f t="shared" ref="AN66:AO76" si="25">ABS(AL66)</f>
        <v>#DIV/0!</v>
      </c>
      <c r="AO66" s="252" t="e">
        <f t="shared" si="25"/>
        <v>#DIV/0!</v>
      </c>
      <c r="AY66" s="120"/>
      <c r="AZ66" s="120"/>
      <c r="BA66" s="120"/>
      <c r="BJ66" s="107"/>
      <c r="BK66" s="107"/>
      <c r="BL66" s="105"/>
    </row>
    <row r="67" spans="2:75" ht="21" hidden="1" thickBot="1" x14ac:dyDescent="0.45">
      <c r="B67" s="253">
        <v>3</v>
      </c>
      <c r="C67" s="253"/>
      <c r="D67" s="371">
        <v>0</v>
      </c>
      <c r="E67" s="246"/>
      <c r="F67" s="254"/>
      <c r="G67" s="248">
        <v>330.56150000000002</v>
      </c>
      <c r="H67" s="248">
        <v>39.378894899999999</v>
      </c>
      <c r="I67" s="659">
        <f t="shared" ref="I67:I76" si="26">+H67+D67</f>
        <v>39.378894899999999</v>
      </c>
      <c r="J67" s="188">
        <f t="shared" si="8"/>
        <v>19.689447449999999</v>
      </c>
      <c r="K67" s="188">
        <f t="shared" si="9"/>
        <v>0.33692185572913086</v>
      </c>
      <c r="L67" s="188">
        <f t="shared" si="10"/>
        <v>111.3733940126051</v>
      </c>
      <c r="M67" s="188">
        <f t="shared" si="11"/>
        <v>222.74678802521021</v>
      </c>
      <c r="N67" s="188">
        <f>+C65+D66+(D67/2)</f>
        <v>0</v>
      </c>
      <c r="O67" s="188">
        <f t="shared" si="12"/>
        <v>0</v>
      </c>
      <c r="P67" s="188">
        <f t="shared" si="13"/>
        <v>0</v>
      </c>
      <c r="Q67" s="188">
        <f t="shared" si="14"/>
        <v>255.51323882084287</v>
      </c>
      <c r="R67" s="188">
        <f t="shared" ref="R67:R76" si="27">+R66+P67</f>
        <v>255.51323882084287</v>
      </c>
      <c r="S67" s="188">
        <f t="shared" si="3"/>
        <v>255.51323882084287</v>
      </c>
      <c r="T67" s="134"/>
      <c r="U67" s="157" t="str">
        <f t="shared" si="15"/>
        <v>use the locking pin</v>
      </c>
      <c r="V67" s="176">
        <f t="shared" si="4"/>
        <v>0</v>
      </c>
      <c r="W67" s="249"/>
      <c r="X67" s="176">
        <f>SUM(V67:V76)/($B$62-B66)</f>
        <v>0</v>
      </c>
      <c r="Y67" s="177">
        <f>SUM(D66:D67)+$C$65</f>
        <v>0</v>
      </c>
      <c r="Z67" s="422">
        <f t="shared" si="16"/>
        <v>54.5017821</v>
      </c>
      <c r="AA67" s="423">
        <f t="shared" ref="AA67:AA76" si="28">SIN(Z67*3.14159265358979/180)</f>
        <v>0.81413357986421619</v>
      </c>
      <c r="AB67" s="422">
        <f t="shared" si="17"/>
        <v>343.49924001631013</v>
      </c>
      <c r="AC67" s="422">
        <f t="shared" si="18"/>
        <v>58.734415599999998</v>
      </c>
      <c r="AD67" s="424">
        <f t="shared" si="19"/>
        <v>0.85477073319485097</v>
      </c>
      <c r="AE67" s="422">
        <f t="shared" si="20"/>
        <v>403.50307231196138</v>
      </c>
      <c r="AF67" s="395">
        <f t="shared" ref="AF67:AF76" si="29">28*($B$62-B66)</f>
        <v>-28</v>
      </c>
      <c r="AG67" s="251">
        <f t="shared" si="21"/>
        <v>747.0023123282715</v>
      </c>
      <c r="AH67" s="178">
        <f t="shared" si="22"/>
        <v>-343.49924001631013</v>
      </c>
      <c r="AI67" s="178">
        <f t="shared" si="5"/>
        <v>343.49924001631013</v>
      </c>
      <c r="AJ67" s="179">
        <f t="shared" si="23"/>
        <v>-15.124566334367589</v>
      </c>
      <c r="AK67" s="179">
        <f t="shared" si="24"/>
        <v>-12.875433665632411</v>
      </c>
      <c r="AL67" s="158">
        <f t="shared" si="6"/>
        <v>-766.96413923890771</v>
      </c>
      <c r="AM67" s="158">
        <f t="shared" si="7"/>
        <v>-900.94052761602541</v>
      </c>
      <c r="AN67" s="252">
        <f t="shared" si="25"/>
        <v>766.96413923890771</v>
      </c>
      <c r="AO67" s="252">
        <f t="shared" si="25"/>
        <v>900.94052761602541</v>
      </c>
      <c r="AY67" s="120"/>
      <c r="AZ67" s="120"/>
      <c r="BA67" s="120"/>
      <c r="BJ67" s="107"/>
      <c r="BK67" s="107"/>
      <c r="BL67" s="105"/>
    </row>
    <row r="68" spans="2:75" ht="21" hidden="1" thickBot="1" x14ac:dyDescent="0.45">
      <c r="B68" s="253">
        <v>4</v>
      </c>
      <c r="C68" s="253"/>
      <c r="D68" s="371">
        <v>0</v>
      </c>
      <c r="E68" s="246"/>
      <c r="F68" s="254"/>
      <c r="G68" s="248">
        <v>330.56150000000002</v>
      </c>
      <c r="H68" s="248">
        <v>39.378894899999999</v>
      </c>
      <c r="I68" s="659">
        <f t="shared" si="26"/>
        <v>39.378894899999999</v>
      </c>
      <c r="J68" s="188">
        <f t="shared" si="8"/>
        <v>19.689447449999999</v>
      </c>
      <c r="K68" s="188">
        <f t="shared" si="9"/>
        <v>0.33692185572913086</v>
      </c>
      <c r="L68" s="188">
        <f t="shared" si="10"/>
        <v>111.3733940126051</v>
      </c>
      <c r="M68" s="188">
        <f t="shared" si="11"/>
        <v>222.74678802521021</v>
      </c>
      <c r="N68" s="188">
        <f>+C65+D66+D67+(D68/2)</f>
        <v>0</v>
      </c>
      <c r="O68" s="188">
        <f t="shared" si="12"/>
        <v>0</v>
      </c>
      <c r="P68" s="188">
        <f t="shared" si="13"/>
        <v>0</v>
      </c>
      <c r="Q68" s="188">
        <f t="shared" si="14"/>
        <v>255.51323882084287</v>
      </c>
      <c r="R68" s="188">
        <f t="shared" si="27"/>
        <v>255.51323882084287</v>
      </c>
      <c r="S68" s="188">
        <f t="shared" si="3"/>
        <v>255.51323882084287</v>
      </c>
      <c r="T68" s="134"/>
      <c r="U68" s="157" t="str">
        <f t="shared" si="15"/>
        <v>use the locking pin</v>
      </c>
      <c r="V68" s="176">
        <f t="shared" si="4"/>
        <v>0</v>
      </c>
      <c r="W68" s="249"/>
      <c r="X68" s="176">
        <f>SUM(V68:V76)/($B$62-B67)</f>
        <v>0</v>
      </c>
      <c r="Y68" s="177">
        <f>SUM(D66:D68)+$C$65</f>
        <v>0</v>
      </c>
      <c r="Z68" s="422">
        <f t="shared" si="16"/>
        <v>54.5017821</v>
      </c>
      <c r="AA68" s="423">
        <f t="shared" si="28"/>
        <v>0.81413357986421619</v>
      </c>
      <c r="AB68" s="422">
        <f t="shared" si="17"/>
        <v>343.49924001631013</v>
      </c>
      <c r="AC68" s="422">
        <f t="shared" si="18"/>
        <v>58.734415599999998</v>
      </c>
      <c r="AD68" s="424">
        <f t="shared" si="19"/>
        <v>0.85477073319485097</v>
      </c>
      <c r="AE68" s="422">
        <f t="shared" si="20"/>
        <v>403.50307231196138</v>
      </c>
      <c r="AF68" s="395">
        <f t="shared" si="29"/>
        <v>-56</v>
      </c>
      <c r="AG68" s="251">
        <f t="shared" si="21"/>
        <v>747.0023123282715</v>
      </c>
      <c r="AH68" s="178">
        <f t="shared" si="22"/>
        <v>-343.49924001631013</v>
      </c>
      <c r="AI68" s="178">
        <f t="shared" si="5"/>
        <v>343.49924001631013</v>
      </c>
      <c r="AJ68" s="179">
        <f t="shared" si="23"/>
        <v>-30.249132668735179</v>
      </c>
      <c r="AK68" s="179">
        <f t="shared" si="24"/>
        <v>-25.750867331264821</v>
      </c>
      <c r="AL68" s="158">
        <f t="shared" si="6"/>
        <v>-383.48206961945385</v>
      </c>
      <c r="AM68" s="158">
        <f t="shared" si="7"/>
        <v>-450.4702638080127</v>
      </c>
      <c r="AN68" s="252">
        <f t="shared" si="25"/>
        <v>383.48206961945385</v>
      </c>
      <c r="AO68" s="252">
        <f t="shared" si="25"/>
        <v>450.4702638080127</v>
      </c>
      <c r="AY68" s="120"/>
      <c r="AZ68" s="120"/>
      <c r="BA68" s="120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</row>
    <row r="69" spans="2:75" ht="21" hidden="1" thickBot="1" x14ac:dyDescent="0.45">
      <c r="B69" s="253">
        <v>5</v>
      </c>
      <c r="C69" s="253"/>
      <c r="D69" s="371">
        <v>0</v>
      </c>
      <c r="E69" s="246"/>
      <c r="F69" s="254"/>
      <c r="G69" s="248">
        <v>330.56150000000002</v>
      </c>
      <c r="H69" s="248">
        <v>39.378894899999999</v>
      </c>
      <c r="I69" s="659">
        <f t="shared" si="26"/>
        <v>39.378894899999999</v>
      </c>
      <c r="J69" s="188">
        <f t="shared" si="8"/>
        <v>19.689447449999999</v>
      </c>
      <c r="K69" s="188">
        <f t="shared" si="9"/>
        <v>0.33692185572913086</v>
      </c>
      <c r="L69" s="188">
        <f t="shared" si="10"/>
        <v>111.3733940126051</v>
      </c>
      <c r="M69" s="188">
        <f t="shared" si="11"/>
        <v>222.74678802521021</v>
      </c>
      <c r="N69" s="188">
        <f>+C65+D66+D67+D68+(D69/2)</f>
        <v>0</v>
      </c>
      <c r="O69" s="188">
        <f t="shared" si="12"/>
        <v>0</v>
      </c>
      <c r="P69" s="188">
        <f t="shared" si="13"/>
        <v>0</v>
      </c>
      <c r="Q69" s="188">
        <f t="shared" si="14"/>
        <v>255.51323882084287</v>
      </c>
      <c r="R69" s="188">
        <f t="shared" si="27"/>
        <v>255.51323882084287</v>
      </c>
      <c r="S69" s="188">
        <f t="shared" si="3"/>
        <v>255.51323882084287</v>
      </c>
      <c r="T69" s="134"/>
      <c r="U69" s="157" t="str">
        <f t="shared" si="15"/>
        <v>use the locking pin</v>
      </c>
      <c r="V69" s="176">
        <f t="shared" si="4"/>
        <v>0</v>
      </c>
      <c r="W69" s="249"/>
      <c r="X69" s="176">
        <f>SUM(V69:V76)/($B$62-B68)</f>
        <v>0</v>
      </c>
      <c r="Y69" s="177">
        <f>SUM(D66:D69)+$C$65</f>
        <v>0</v>
      </c>
      <c r="Z69" s="422">
        <f t="shared" si="16"/>
        <v>54.5017821</v>
      </c>
      <c r="AA69" s="423">
        <f t="shared" si="28"/>
        <v>0.81413357986421619</v>
      </c>
      <c r="AB69" s="422">
        <f t="shared" si="17"/>
        <v>343.49924001631013</v>
      </c>
      <c r="AC69" s="422">
        <f t="shared" si="18"/>
        <v>58.734415599999998</v>
      </c>
      <c r="AD69" s="424">
        <f t="shared" si="19"/>
        <v>0.85477073319485097</v>
      </c>
      <c r="AE69" s="422">
        <f t="shared" si="20"/>
        <v>403.50307231196138</v>
      </c>
      <c r="AF69" s="395">
        <f t="shared" si="29"/>
        <v>-84</v>
      </c>
      <c r="AG69" s="251">
        <f t="shared" si="21"/>
        <v>747.0023123282715</v>
      </c>
      <c r="AH69" s="178">
        <f t="shared" si="22"/>
        <v>-343.49924001631013</v>
      </c>
      <c r="AI69" s="178">
        <f t="shared" si="5"/>
        <v>343.49924001631013</v>
      </c>
      <c r="AJ69" s="179">
        <f t="shared" si="23"/>
        <v>-45.373699003102772</v>
      </c>
      <c r="AK69" s="179">
        <f t="shared" si="24"/>
        <v>-38.626300996897228</v>
      </c>
      <c r="AL69" s="158">
        <f t="shared" si="6"/>
        <v>-255.65471307963588</v>
      </c>
      <c r="AM69" s="158">
        <f t="shared" si="7"/>
        <v>-300.3135092053418</v>
      </c>
      <c r="AN69" s="252">
        <f t="shared" si="25"/>
        <v>255.65471307963588</v>
      </c>
      <c r="AO69" s="252">
        <f t="shared" si="25"/>
        <v>300.3135092053418</v>
      </c>
      <c r="AY69" s="120"/>
      <c r="AZ69" s="120"/>
      <c r="BA69" s="120"/>
      <c r="BK69" s="142"/>
      <c r="BL69" s="142"/>
      <c r="BM69" s="142"/>
      <c r="BN69" s="142"/>
      <c r="BO69" s="142"/>
      <c r="BP69" s="142"/>
    </row>
    <row r="70" spans="2:75" ht="21" hidden="1" thickBot="1" x14ac:dyDescent="0.45">
      <c r="B70" s="253">
        <v>6</v>
      </c>
      <c r="C70" s="253"/>
      <c r="D70" s="371">
        <v>0</v>
      </c>
      <c r="E70" s="246"/>
      <c r="F70" s="254"/>
      <c r="G70" s="248">
        <v>330.56150000000002</v>
      </c>
      <c r="H70" s="248">
        <v>39.378894899999999</v>
      </c>
      <c r="I70" s="659">
        <f t="shared" si="26"/>
        <v>39.378894899999999</v>
      </c>
      <c r="J70" s="188">
        <f t="shared" si="8"/>
        <v>19.689447449999999</v>
      </c>
      <c r="K70" s="188">
        <f t="shared" si="9"/>
        <v>0.33692185572913086</v>
      </c>
      <c r="L70" s="188">
        <f t="shared" si="10"/>
        <v>111.3733940126051</v>
      </c>
      <c r="M70" s="188">
        <f t="shared" si="11"/>
        <v>222.74678802521021</v>
      </c>
      <c r="N70" s="188">
        <f>+C65+D66+D67+D68+D69+(D70/2)</f>
        <v>0</v>
      </c>
      <c r="O70" s="188">
        <f t="shared" si="12"/>
        <v>0</v>
      </c>
      <c r="P70" s="188">
        <f t="shared" si="13"/>
        <v>0</v>
      </c>
      <c r="Q70" s="188">
        <f t="shared" si="14"/>
        <v>255.51323882084287</v>
      </c>
      <c r="R70" s="188">
        <f t="shared" si="27"/>
        <v>255.51323882084287</v>
      </c>
      <c r="S70" s="188">
        <f t="shared" si="3"/>
        <v>255.51323882084287</v>
      </c>
      <c r="T70" s="134"/>
      <c r="U70" s="157" t="str">
        <f t="shared" si="15"/>
        <v>use the locking pin</v>
      </c>
      <c r="V70" s="176">
        <f t="shared" si="4"/>
        <v>0</v>
      </c>
      <c r="W70" s="249"/>
      <c r="X70" s="176">
        <f>SUM(V70:V76)/($B$62-B69)</f>
        <v>0</v>
      </c>
      <c r="Y70" s="177">
        <f>SUM(D66:D70)+$C$65</f>
        <v>0</v>
      </c>
      <c r="Z70" s="422">
        <f t="shared" si="16"/>
        <v>54.5017821</v>
      </c>
      <c r="AA70" s="423">
        <f t="shared" si="28"/>
        <v>0.81413357986421619</v>
      </c>
      <c r="AB70" s="422">
        <f t="shared" si="17"/>
        <v>343.49924001631013</v>
      </c>
      <c r="AC70" s="422">
        <f t="shared" si="18"/>
        <v>58.734415599999998</v>
      </c>
      <c r="AD70" s="424">
        <f t="shared" si="19"/>
        <v>0.85477073319485097</v>
      </c>
      <c r="AE70" s="422">
        <f t="shared" si="20"/>
        <v>403.50307231196138</v>
      </c>
      <c r="AF70" s="395">
        <f t="shared" si="29"/>
        <v>-112</v>
      </c>
      <c r="AG70" s="251">
        <f t="shared" si="21"/>
        <v>747.0023123282715</v>
      </c>
      <c r="AH70" s="178">
        <f t="shared" si="22"/>
        <v>-343.49924001631013</v>
      </c>
      <c r="AI70" s="178">
        <f t="shared" si="5"/>
        <v>343.49924001631013</v>
      </c>
      <c r="AJ70" s="179">
        <f t="shared" si="23"/>
        <v>-60.498265337470357</v>
      </c>
      <c r="AK70" s="179">
        <f t="shared" si="24"/>
        <v>-51.501734662529643</v>
      </c>
      <c r="AL70" s="158">
        <f t="shared" si="6"/>
        <v>-191.74103480972693</v>
      </c>
      <c r="AM70" s="158">
        <f t="shared" si="7"/>
        <v>-225.23513190400635</v>
      </c>
      <c r="AN70" s="252">
        <f t="shared" si="25"/>
        <v>191.74103480972693</v>
      </c>
      <c r="AO70" s="252">
        <f t="shared" si="25"/>
        <v>225.23513190400635</v>
      </c>
      <c r="AY70" s="120"/>
      <c r="AZ70" s="120"/>
      <c r="BA70" s="120"/>
    </row>
    <row r="71" spans="2:75" ht="21" hidden="1" thickBot="1" x14ac:dyDescent="0.45">
      <c r="B71" s="253">
        <v>7</v>
      </c>
      <c r="C71" s="253"/>
      <c r="D71" s="371">
        <v>0</v>
      </c>
      <c r="E71" s="246"/>
      <c r="F71" s="254"/>
      <c r="G71" s="248">
        <v>330.56150000000002</v>
      </c>
      <c r="H71" s="248">
        <v>39.378894899999999</v>
      </c>
      <c r="I71" s="659">
        <f t="shared" si="26"/>
        <v>39.378894899999999</v>
      </c>
      <c r="J71" s="188">
        <f t="shared" si="8"/>
        <v>19.689447449999999</v>
      </c>
      <c r="K71" s="188">
        <f t="shared" si="9"/>
        <v>0.33692185572913086</v>
      </c>
      <c r="L71" s="188">
        <f t="shared" si="10"/>
        <v>111.3733940126051</v>
      </c>
      <c r="M71" s="188">
        <f t="shared" si="11"/>
        <v>222.74678802521021</v>
      </c>
      <c r="N71" s="188">
        <f>+C65+D66+D67+D68+D69+D70+(D71/2)</f>
        <v>0</v>
      </c>
      <c r="O71" s="188">
        <f t="shared" si="12"/>
        <v>0</v>
      </c>
      <c r="P71" s="188">
        <f t="shared" si="13"/>
        <v>0</v>
      </c>
      <c r="Q71" s="188">
        <f t="shared" si="14"/>
        <v>255.51323882084287</v>
      </c>
      <c r="R71" s="188">
        <f t="shared" si="27"/>
        <v>255.51323882084287</v>
      </c>
      <c r="S71" s="188">
        <f t="shared" si="3"/>
        <v>255.51323882084287</v>
      </c>
      <c r="T71" s="134"/>
      <c r="U71" s="157" t="str">
        <f t="shared" si="15"/>
        <v>use the locking pin</v>
      </c>
      <c r="V71" s="176">
        <f t="shared" si="4"/>
        <v>0</v>
      </c>
      <c r="W71" s="249"/>
      <c r="X71" s="176">
        <f>SUM(V71:V76)/($B$62-B70)</f>
        <v>0</v>
      </c>
      <c r="Y71" s="177">
        <f>SUM(D66:D71)+$C$65</f>
        <v>0</v>
      </c>
      <c r="Z71" s="422">
        <f t="shared" si="16"/>
        <v>54.5017821</v>
      </c>
      <c r="AA71" s="423">
        <f t="shared" si="28"/>
        <v>0.81413357986421619</v>
      </c>
      <c r="AB71" s="422">
        <f t="shared" si="17"/>
        <v>343.49924001631013</v>
      </c>
      <c r="AC71" s="422">
        <f t="shared" si="18"/>
        <v>58.734415599999998</v>
      </c>
      <c r="AD71" s="424">
        <f t="shared" si="19"/>
        <v>0.85477073319485097</v>
      </c>
      <c r="AE71" s="422">
        <f t="shared" si="20"/>
        <v>403.50307231196138</v>
      </c>
      <c r="AF71" s="395">
        <f t="shared" si="29"/>
        <v>-140</v>
      </c>
      <c r="AG71" s="251">
        <f t="shared" si="21"/>
        <v>747.0023123282715</v>
      </c>
      <c r="AH71" s="178">
        <f t="shared" si="22"/>
        <v>-343.49924001631013</v>
      </c>
      <c r="AI71" s="178">
        <f t="shared" si="5"/>
        <v>343.49924001631013</v>
      </c>
      <c r="AJ71" s="179">
        <f t="shared" si="23"/>
        <v>-75.622831671837957</v>
      </c>
      <c r="AK71" s="179">
        <f t="shared" si="24"/>
        <v>-64.377168328162043</v>
      </c>
      <c r="AL71" s="158">
        <f t="shared" si="6"/>
        <v>-153.39282784778152</v>
      </c>
      <c r="AM71" s="158">
        <f t="shared" si="7"/>
        <v>-180.18810552320511</v>
      </c>
      <c r="AN71" s="252">
        <f t="shared" si="25"/>
        <v>153.39282784778152</v>
      </c>
      <c r="AO71" s="252">
        <f t="shared" si="25"/>
        <v>180.18810552320511</v>
      </c>
      <c r="AY71" s="120"/>
      <c r="AZ71" s="120"/>
      <c r="BA71" s="120"/>
    </row>
    <row r="72" spans="2:75" ht="21" hidden="1" thickBot="1" x14ac:dyDescent="0.45">
      <c r="B72" s="253">
        <v>8</v>
      </c>
      <c r="C72" s="253"/>
      <c r="D72" s="371">
        <v>0</v>
      </c>
      <c r="E72" s="246"/>
      <c r="F72" s="254"/>
      <c r="G72" s="248">
        <v>330.56150000000002</v>
      </c>
      <c r="H72" s="248">
        <v>39.378894899999999</v>
      </c>
      <c r="I72" s="659">
        <f t="shared" si="26"/>
        <v>39.378894899999999</v>
      </c>
      <c r="J72" s="188">
        <f t="shared" si="8"/>
        <v>19.689447449999999</v>
      </c>
      <c r="K72" s="188">
        <f t="shared" si="9"/>
        <v>0.33692185572913086</v>
      </c>
      <c r="L72" s="188">
        <f t="shared" si="10"/>
        <v>111.3733940126051</v>
      </c>
      <c r="M72" s="188">
        <f t="shared" si="11"/>
        <v>222.74678802521021</v>
      </c>
      <c r="N72" s="188">
        <f>+C65+D66+D67+D68+D69+D70+D71+(D72/2)</f>
        <v>0</v>
      </c>
      <c r="O72" s="188">
        <f t="shared" si="12"/>
        <v>0</v>
      </c>
      <c r="P72" s="188">
        <f t="shared" si="13"/>
        <v>0</v>
      </c>
      <c r="Q72" s="188">
        <f t="shared" si="14"/>
        <v>255.51323882084287</v>
      </c>
      <c r="R72" s="188">
        <f t="shared" si="27"/>
        <v>255.51323882084287</v>
      </c>
      <c r="S72" s="188">
        <f t="shared" si="3"/>
        <v>255.51323882084287</v>
      </c>
      <c r="T72" s="134"/>
      <c r="U72" s="157" t="str">
        <f t="shared" si="15"/>
        <v>use the locking pin</v>
      </c>
      <c r="V72" s="176">
        <f t="shared" si="4"/>
        <v>0</v>
      </c>
      <c r="W72" s="249"/>
      <c r="X72" s="176">
        <f>SUM(V72:V76)/($B$62-B71)</f>
        <v>0</v>
      </c>
      <c r="Y72" s="177">
        <f>SUM(D66:D72)+$C$65</f>
        <v>0</v>
      </c>
      <c r="Z72" s="422">
        <f t="shared" si="16"/>
        <v>54.5017821</v>
      </c>
      <c r="AA72" s="423">
        <f t="shared" si="28"/>
        <v>0.81413357986421619</v>
      </c>
      <c r="AB72" s="422">
        <f t="shared" si="17"/>
        <v>343.49924001631013</v>
      </c>
      <c r="AC72" s="422">
        <f t="shared" si="18"/>
        <v>58.734415599999998</v>
      </c>
      <c r="AD72" s="424">
        <f t="shared" si="19"/>
        <v>0.85477073319485097</v>
      </c>
      <c r="AE72" s="422">
        <f t="shared" si="20"/>
        <v>403.50307231196138</v>
      </c>
      <c r="AF72" s="395">
        <f t="shared" si="29"/>
        <v>-168</v>
      </c>
      <c r="AG72" s="251">
        <f t="shared" si="21"/>
        <v>747.0023123282715</v>
      </c>
      <c r="AH72" s="178">
        <f t="shared" si="22"/>
        <v>-343.49924001631013</v>
      </c>
      <c r="AI72" s="178">
        <f t="shared" si="5"/>
        <v>343.49924001631013</v>
      </c>
      <c r="AJ72" s="179">
        <f t="shared" si="23"/>
        <v>-90.747398006205543</v>
      </c>
      <c r="AK72" s="179">
        <f t="shared" si="24"/>
        <v>-77.252601993794457</v>
      </c>
      <c r="AL72" s="158">
        <f t="shared" si="6"/>
        <v>-127.82735653981794</v>
      </c>
      <c r="AM72" s="158">
        <f t="shared" si="7"/>
        <v>-150.1567546026709</v>
      </c>
      <c r="AN72" s="252">
        <f t="shared" si="25"/>
        <v>127.82735653981794</v>
      </c>
      <c r="AO72" s="252">
        <f t="shared" si="25"/>
        <v>150.1567546026709</v>
      </c>
      <c r="AY72" s="120"/>
      <c r="AZ72" s="120"/>
      <c r="BA72" s="120"/>
    </row>
    <row r="73" spans="2:75" ht="21" hidden="1" thickBot="1" x14ac:dyDescent="0.45">
      <c r="B73" s="253">
        <v>9</v>
      </c>
      <c r="C73" s="253"/>
      <c r="D73" s="371">
        <v>0</v>
      </c>
      <c r="E73" s="246"/>
      <c r="F73" s="254"/>
      <c r="G73" s="248">
        <v>330.56150000000002</v>
      </c>
      <c r="H73" s="248">
        <v>39.378894899999999</v>
      </c>
      <c r="I73" s="659">
        <f t="shared" si="26"/>
        <v>39.378894899999999</v>
      </c>
      <c r="J73" s="188">
        <f t="shared" si="8"/>
        <v>19.689447449999999</v>
      </c>
      <c r="K73" s="188">
        <f t="shared" si="9"/>
        <v>0.33692185572913086</v>
      </c>
      <c r="L73" s="188">
        <f t="shared" si="10"/>
        <v>111.3733940126051</v>
      </c>
      <c r="M73" s="188">
        <f t="shared" si="11"/>
        <v>222.74678802521021</v>
      </c>
      <c r="N73" s="188">
        <f>+C65+D66+D67+D68+D69+D70+D71+D72+(D73/2)</f>
        <v>0</v>
      </c>
      <c r="O73" s="188">
        <f t="shared" si="12"/>
        <v>0</v>
      </c>
      <c r="P73" s="188">
        <f t="shared" si="13"/>
        <v>0</v>
      </c>
      <c r="Q73" s="188">
        <f t="shared" si="14"/>
        <v>255.51323882084287</v>
      </c>
      <c r="R73" s="188">
        <f t="shared" si="27"/>
        <v>255.51323882084287</v>
      </c>
      <c r="S73" s="188">
        <f t="shared" si="3"/>
        <v>255.51323882084287</v>
      </c>
      <c r="T73" s="134"/>
      <c r="U73" s="157" t="str">
        <f t="shared" si="15"/>
        <v>use the locking pin</v>
      </c>
      <c r="V73" s="176">
        <f t="shared" si="4"/>
        <v>0</v>
      </c>
      <c r="W73" s="249"/>
      <c r="X73" s="176">
        <f>SUM(V73:V76)/($B$62-B72)</f>
        <v>0</v>
      </c>
      <c r="Y73" s="177">
        <f>SUM(D66:D73)+$C$65</f>
        <v>0</v>
      </c>
      <c r="Z73" s="422">
        <f t="shared" si="16"/>
        <v>54.5017821</v>
      </c>
      <c r="AA73" s="423">
        <f t="shared" si="28"/>
        <v>0.81413357986421619</v>
      </c>
      <c r="AB73" s="422">
        <f t="shared" si="17"/>
        <v>343.49924001631013</v>
      </c>
      <c r="AC73" s="422">
        <f t="shared" si="18"/>
        <v>58.734415599999998</v>
      </c>
      <c r="AD73" s="424">
        <f t="shared" si="19"/>
        <v>0.85477073319485097</v>
      </c>
      <c r="AE73" s="422">
        <f t="shared" si="20"/>
        <v>403.50307231196138</v>
      </c>
      <c r="AF73" s="395">
        <f t="shared" si="29"/>
        <v>-196</v>
      </c>
      <c r="AG73" s="251">
        <f t="shared" si="21"/>
        <v>747.0023123282715</v>
      </c>
      <c r="AH73" s="178">
        <f t="shared" si="22"/>
        <v>-343.49924001631013</v>
      </c>
      <c r="AI73" s="178">
        <f t="shared" si="5"/>
        <v>343.49924001631013</v>
      </c>
      <c r="AJ73" s="179">
        <f t="shared" si="23"/>
        <v>-105.87196434057313</v>
      </c>
      <c r="AK73" s="179">
        <f t="shared" si="24"/>
        <v>-90.128035659426871</v>
      </c>
      <c r="AL73" s="158">
        <f t="shared" si="6"/>
        <v>-109.56630560555824</v>
      </c>
      <c r="AM73" s="158">
        <f t="shared" si="7"/>
        <v>-128.70578965943221</v>
      </c>
      <c r="AN73" s="252">
        <f t="shared" si="25"/>
        <v>109.56630560555824</v>
      </c>
      <c r="AO73" s="252">
        <f t="shared" si="25"/>
        <v>128.70578965943221</v>
      </c>
      <c r="AY73" s="120"/>
      <c r="AZ73" s="120"/>
      <c r="BA73" s="120"/>
    </row>
    <row r="74" spans="2:75" ht="21" hidden="1" thickBot="1" x14ac:dyDescent="0.45">
      <c r="B74" s="253">
        <v>10</v>
      </c>
      <c r="C74" s="253"/>
      <c r="D74" s="371">
        <v>0</v>
      </c>
      <c r="E74" s="246"/>
      <c r="F74" s="254"/>
      <c r="G74" s="248">
        <v>330.56150000000002</v>
      </c>
      <c r="H74" s="248">
        <v>39.378894899999999</v>
      </c>
      <c r="I74" s="659">
        <f t="shared" si="26"/>
        <v>39.378894899999999</v>
      </c>
      <c r="J74" s="188">
        <f t="shared" si="8"/>
        <v>19.689447449999999</v>
      </c>
      <c r="K74" s="188">
        <f t="shared" si="9"/>
        <v>0.33692185572913086</v>
      </c>
      <c r="L74" s="188">
        <f t="shared" si="10"/>
        <v>111.3733940126051</v>
      </c>
      <c r="M74" s="188">
        <f t="shared" si="11"/>
        <v>222.74678802521021</v>
      </c>
      <c r="N74" s="188">
        <f>+C65+D66+D67+D68+D69+D70+D71+D72+D73+(D74/2)</f>
        <v>0</v>
      </c>
      <c r="O74" s="188">
        <f t="shared" si="12"/>
        <v>0</v>
      </c>
      <c r="P74" s="188">
        <f t="shared" si="13"/>
        <v>0</v>
      </c>
      <c r="Q74" s="188">
        <f t="shared" si="14"/>
        <v>255.51323882084287</v>
      </c>
      <c r="R74" s="188">
        <f t="shared" si="27"/>
        <v>255.51323882084287</v>
      </c>
      <c r="S74" s="188">
        <f t="shared" si="3"/>
        <v>255.51323882084287</v>
      </c>
      <c r="T74" s="134"/>
      <c r="U74" s="157" t="str">
        <f t="shared" si="15"/>
        <v>use the locking pin</v>
      </c>
      <c r="V74" s="176">
        <f t="shared" si="4"/>
        <v>0</v>
      </c>
      <c r="W74" s="249"/>
      <c r="X74" s="176">
        <f>SUM(V74:V76)/($B$62-B73)</f>
        <v>0</v>
      </c>
      <c r="Y74" s="177">
        <f>SUM(D66:D74)+$C$65</f>
        <v>0</v>
      </c>
      <c r="Z74" s="422">
        <f t="shared" si="16"/>
        <v>54.5017821</v>
      </c>
      <c r="AA74" s="423">
        <f t="shared" si="28"/>
        <v>0.81413357986421619</v>
      </c>
      <c r="AB74" s="422">
        <f t="shared" si="17"/>
        <v>343.49924001631013</v>
      </c>
      <c r="AC74" s="422">
        <f t="shared" si="18"/>
        <v>58.734415599999998</v>
      </c>
      <c r="AD74" s="424">
        <f t="shared" si="19"/>
        <v>0.85477073319485097</v>
      </c>
      <c r="AE74" s="422">
        <f t="shared" si="20"/>
        <v>403.50307231196138</v>
      </c>
      <c r="AF74" s="395">
        <f t="shared" si="29"/>
        <v>-224</v>
      </c>
      <c r="AG74" s="251">
        <f t="shared" si="21"/>
        <v>747.0023123282715</v>
      </c>
      <c r="AH74" s="178">
        <f t="shared" si="22"/>
        <v>-343.49924001631013</v>
      </c>
      <c r="AI74" s="178">
        <f t="shared" si="5"/>
        <v>343.49924001631013</v>
      </c>
      <c r="AJ74" s="179">
        <f t="shared" si="23"/>
        <v>-120.99653067494071</v>
      </c>
      <c r="AK74" s="179">
        <f t="shared" si="24"/>
        <v>-103.00346932505929</v>
      </c>
      <c r="AL74" s="158">
        <f t="shared" si="6"/>
        <v>-95.870517404863463</v>
      </c>
      <c r="AM74" s="158">
        <f t="shared" si="7"/>
        <v>-112.61756595200318</v>
      </c>
      <c r="AN74" s="252">
        <f t="shared" si="25"/>
        <v>95.870517404863463</v>
      </c>
      <c r="AO74" s="252">
        <f t="shared" si="25"/>
        <v>112.61756595200318</v>
      </c>
      <c r="AY74" s="120"/>
      <c r="AZ74" s="120"/>
      <c r="BA74" s="120"/>
    </row>
    <row r="75" spans="2:75" ht="21" hidden="1" thickBot="1" x14ac:dyDescent="0.45">
      <c r="B75" s="253">
        <v>11</v>
      </c>
      <c r="C75" s="253"/>
      <c r="D75" s="371">
        <v>0</v>
      </c>
      <c r="E75" s="246"/>
      <c r="F75" s="254"/>
      <c r="G75" s="248">
        <v>330.56150000000002</v>
      </c>
      <c r="H75" s="248">
        <v>39.378894899999999</v>
      </c>
      <c r="I75" s="659">
        <f t="shared" si="26"/>
        <v>39.378894899999999</v>
      </c>
      <c r="J75" s="188">
        <f t="shared" si="8"/>
        <v>19.689447449999999</v>
      </c>
      <c r="K75" s="188">
        <f t="shared" si="9"/>
        <v>0.33692185572913086</v>
      </c>
      <c r="L75" s="188">
        <f t="shared" si="10"/>
        <v>111.3733940126051</v>
      </c>
      <c r="M75" s="188">
        <f t="shared" si="11"/>
        <v>222.74678802521021</v>
      </c>
      <c r="N75" s="188">
        <f>+C65+D66+D67+D68+D69+D70+D71+D72+D73+D74+(D75/2)</f>
        <v>0</v>
      </c>
      <c r="O75" s="188">
        <f t="shared" si="12"/>
        <v>0</v>
      </c>
      <c r="P75" s="188">
        <f t="shared" si="13"/>
        <v>0</v>
      </c>
      <c r="Q75" s="188">
        <f t="shared" si="14"/>
        <v>255.51323882084287</v>
      </c>
      <c r="R75" s="188">
        <f t="shared" si="27"/>
        <v>255.51323882084287</v>
      </c>
      <c r="S75" s="188">
        <f t="shared" si="3"/>
        <v>255.51323882084287</v>
      </c>
      <c r="T75" s="134"/>
      <c r="U75" s="157" t="str">
        <f t="shared" si="15"/>
        <v>use the locking pin</v>
      </c>
      <c r="V75" s="176">
        <f t="shared" si="4"/>
        <v>0</v>
      </c>
      <c r="W75" s="249"/>
      <c r="X75" s="176">
        <f>SUM(V75:V76)/($B$62-B74)</f>
        <v>0</v>
      </c>
      <c r="Y75" s="177">
        <f>SUM(D66:D75)+$C$65</f>
        <v>0</v>
      </c>
      <c r="Z75" s="422">
        <f t="shared" si="16"/>
        <v>54.5017821</v>
      </c>
      <c r="AA75" s="423">
        <f t="shared" si="28"/>
        <v>0.81413357986421619</v>
      </c>
      <c r="AB75" s="422">
        <f t="shared" si="17"/>
        <v>343.49924001631013</v>
      </c>
      <c r="AC75" s="422">
        <f t="shared" si="18"/>
        <v>58.734415599999998</v>
      </c>
      <c r="AD75" s="424">
        <f t="shared" si="19"/>
        <v>0.85477073319485097</v>
      </c>
      <c r="AE75" s="422">
        <f t="shared" si="20"/>
        <v>403.50307231196138</v>
      </c>
      <c r="AF75" s="395">
        <f t="shared" si="29"/>
        <v>-252</v>
      </c>
      <c r="AG75" s="251">
        <f t="shared" si="21"/>
        <v>747.0023123282715</v>
      </c>
      <c r="AH75" s="178">
        <f t="shared" si="22"/>
        <v>-343.49924001631013</v>
      </c>
      <c r="AI75" s="178">
        <f t="shared" si="5"/>
        <v>343.49924001631013</v>
      </c>
      <c r="AJ75" s="179">
        <f t="shared" si="23"/>
        <v>-136.1210970093083</v>
      </c>
      <c r="AK75" s="179">
        <f t="shared" si="24"/>
        <v>-115.87890299069169</v>
      </c>
      <c r="AL75" s="158">
        <f t="shared" si="6"/>
        <v>-85.218237693211975</v>
      </c>
      <c r="AM75" s="158">
        <f t="shared" si="7"/>
        <v>-100.10450306844727</v>
      </c>
      <c r="AN75" s="252">
        <f t="shared" si="25"/>
        <v>85.218237693211975</v>
      </c>
      <c r="AO75" s="252">
        <f t="shared" si="25"/>
        <v>100.10450306844727</v>
      </c>
      <c r="AY75" s="120"/>
      <c r="AZ75" s="120"/>
      <c r="BA75" s="120"/>
    </row>
    <row r="76" spans="2:75" ht="21" hidden="1" thickBot="1" x14ac:dyDescent="0.45">
      <c r="B76" s="253">
        <v>12</v>
      </c>
      <c r="C76" s="253"/>
      <c r="D76" s="371">
        <v>0</v>
      </c>
      <c r="E76" s="246"/>
      <c r="F76" s="254"/>
      <c r="G76" s="248">
        <v>330.56150000000002</v>
      </c>
      <c r="H76" s="248">
        <v>39.378894899999999</v>
      </c>
      <c r="I76" s="659">
        <f t="shared" si="26"/>
        <v>39.378894899999999</v>
      </c>
      <c r="J76" s="188">
        <f t="shared" si="8"/>
        <v>19.689447449999999</v>
      </c>
      <c r="K76" s="188">
        <f t="shared" si="9"/>
        <v>0.33692185572913086</v>
      </c>
      <c r="L76" s="188">
        <f t="shared" si="10"/>
        <v>111.3733940126051</v>
      </c>
      <c r="M76" s="188">
        <f t="shared" si="11"/>
        <v>222.74678802521021</v>
      </c>
      <c r="N76" s="188">
        <f>+C65+D66+D67+D68+D69+D70+D71+D72+D73+D74+D75+(D76/2)</f>
        <v>0</v>
      </c>
      <c r="O76" s="188">
        <f t="shared" si="12"/>
        <v>0</v>
      </c>
      <c r="P76" s="188">
        <f t="shared" si="13"/>
        <v>0</v>
      </c>
      <c r="Q76" s="188">
        <f t="shared" si="14"/>
        <v>255.51323882084287</v>
      </c>
      <c r="R76" s="188">
        <f t="shared" si="27"/>
        <v>255.51323882084287</v>
      </c>
      <c r="S76" s="188">
        <f t="shared" si="3"/>
        <v>255.51323882084287</v>
      </c>
      <c r="T76" s="134"/>
      <c r="U76" s="157" t="str">
        <f t="shared" si="15"/>
        <v>use the locking pin</v>
      </c>
      <c r="V76" s="176">
        <f t="shared" si="4"/>
        <v>0</v>
      </c>
      <c r="W76" s="249"/>
      <c r="X76" s="176">
        <f>SUM(V76)/($B$62-B75)</f>
        <v>0</v>
      </c>
      <c r="Y76" s="177">
        <f>SUM(D66:D76)+$C$65</f>
        <v>0</v>
      </c>
      <c r="Z76" s="422">
        <f t="shared" si="16"/>
        <v>54.5017821</v>
      </c>
      <c r="AA76" s="423">
        <f t="shared" si="28"/>
        <v>0.81413357986421619</v>
      </c>
      <c r="AB76" s="422">
        <f t="shared" si="17"/>
        <v>343.49924001631013</v>
      </c>
      <c r="AC76" s="422">
        <f t="shared" si="18"/>
        <v>58.734415599999998</v>
      </c>
      <c r="AD76" s="424">
        <f t="shared" si="19"/>
        <v>0.85477073319485097</v>
      </c>
      <c r="AE76" s="422">
        <f t="shared" si="20"/>
        <v>403.50307231196138</v>
      </c>
      <c r="AF76" s="395">
        <f t="shared" si="29"/>
        <v>-280</v>
      </c>
      <c r="AG76" s="251">
        <f t="shared" si="21"/>
        <v>747.0023123282715</v>
      </c>
      <c r="AH76" s="178">
        <f t="shared" si="22"/>
        <v>-343.49924001631013</v>
      </c>
      <c r="AI76" s="178">
        <f t="shared" si="5"/>
        <v>343.49924001631013</v>
      </c>
      <c r="AJ76" s="179">
        <f t="shared" si="23"/>
        <v>-151.24566334367591</v>
      </c>
      <c r="AK76" s="179">
        <f t="shared" si="24"/>
        <v>-128.75433665632409</v>
      </c>
      <c r="AL76" s="158">
        <f t="shared" si="6"/>
        <v>-76.696413923890759</v>
      </c>
      <c r="AM76" s="158">
        <f t="shared" si="7"/>
        <v>-90.094052761602555</v>
      </c>
      <c r="AN76" s="252">
        <f t="shared" si="25"/>
        <v>76.696413923890759</v>
      </c>
      <c r="AO76" s="252">
        <f t="shared" si="25"/>
        <v>90.094052761602555</v>
      </c>
      <c r="AY76" s="120"/>
      <c r="AZ76" s="120"/>
      <c r="BA76" s="120"/>
    </row>
    <row r="77" spans="2:75" ht="19.5" hidden="1" x14ac:dyDescent="0.4">
      <c r="G77" s="105"/>
      <c r="H77" s="105"/>
      <c r="I77" s="105"/>
      <c r="AY77" s="120"/>
      <c r="AZ77" s="120"/>
      <c r="BA77" s="120"/>
    </row>
    <row r="78" spans="2:75" ht="19.5" hidden="1" x14ac:dyDescent="0.4">
      <c r="G78" s="105"/>
      <c r="H78" s="105"/>
      <c r="I78" s="105"/>
      <c r="AY78" s="120"/>
      <c r="AZ78" s="120"/>
      <c r="BA78" s="120"/>
    </row>
    <row r="79" spans="2:75" ht="20.25" x14ac:dyDescent="0.4">
      <c r="G79" s="105"/>
      <c r="H79" s="105"/>
      <c r="I79" s="105"/>
      <c r="AQ79" s="74"/>
      <c r="AR79" s="74"/>
      <c r="AS79" s="183" t="s">
        <v>79</v>
      </c>
      <c r="AT79" s="74"/>
      <c r="AU79" s="74"/>
      <c r="AV79" s="74"/>
      <c r="AW79" s="74"/>
      <c r="AX79" s="74"/>
      <c r="AY79" s="120"/>
      <c r="AZ79" s="120"/>
      <c r="BA79" s="120"/>
    </row>
    <row r="80" spans="2:75" ht="20.25" x14ac:dyDescent="0.4">
      <c r="B80" s="225"/>
      <c r="AQ80" s="184">
        <v>1</v>
      </c>
      <c r="AR80" s="376">
        <v>0</v>
      </c>
      <c r="AS80" s="186">
        <f>+COS(($B$59*-1)*3.14159265358979/180)*AR80</f>
        <v>0</v>
      </c>
      <c r="AT80" s="187">
        <f>+AS80-D$3</f>
        <v>-215.9901354606788</v>
      </c>
      <c r="AU80" s="188">
        <f t="shared" ref="AU80:AU97" si="30">ABS(AT80)</f>
        <v>215.9901354606788</v>
      </c>
      <c r="AV80" s="189">
        <f>MIN(AU80:AU118)</f>
        <v>5.9901354606788004</v>
      </c>
      <c r="AW80" s="188" t="b">
        <f>IF(AV80=AU80,AQ80)</f>
        <v>0</v>
      </c>
      <c r="AX80" s="190">
        <v>1</v>
      </c>
      <c r="AY80" s="120"/>
      <c r="AZ80" s="120"/>
      <c r="BA80" s="120"/>
    </row>
    <row r="81" spans="43:53" ht="20.25" x14ac:dyDescent="0.4">
      <c r="AQ81" s="184">
        <v>2</v>
      </c>
      <c r="AR81" s="376">
        <f>+AR80+30</f>
        <v>30</v>
      </c>
      <c r="AS81" s="17">
        <f>+AS80+$E$2</f>
        <v>30</v>
      </c>
      <c r="AT81" s="187">
        <f t="shared" ref="AT81:AT97" si="31">+AS81-D$3</f>
        <v>-185.9901354606788</v>
      </c>
      <c r="AU81" s="188">
        <f t="shared" si="30"/>
        <v>185.9901354606788</v>
      </c>
      <c r="AV81" s="188">
        <f>+AV80</f>
        <v>5.9901354606788004</v>
      </c>
      <c r="AW81" s="188" t="b">
        <f t="shared" ref="AW81:AW97" si="32">IF(AV81=AU81,AQ81)</f>
        <v>0</v>
      </c>
      <c r="AX81" s="190">
        <v>2</v>
      </c>
      <c r="AY81" s="120"/>
      <c r="AZ81" s="120"/>
      <c r="BA81" s="120"/>
    </row>
    <row r="82" spans="43:53" ht="20.25" x14ac:dyDescent="0.4">
      <c r="AQ82" s="184">
        <v>3</v>
      </c>
      <c r="AR82" s="376">
        <f t="shared" ref="AR82:AR97" si="33">+AR81+30</f>
        <v>60</v>
      </c>
      <c r="AS82" s="17">
        <f t="shared" ref="AS82:AS97" si="34">+AS81+$E$2</f>
        <v>60</v>
      </c>
      <c r="AT82" s="187">
        <f t="shared" si="31"/>
        <v>-155.9901354606788</v>
      </c>
      <c r="AU82" s="188">
        <f t="shared" si="30"/>
        <v>155.9901354606788</v>
      </c>
      <c r="AV82" s="188">
        <f t="shared" ref="AV82:AV97" si="35">+AV81</f>
        <v>5.9901354606788004</v>
      </c>
      <c r="AW82" s="188" t="b">
        <f t="shared" si="32"/>
        <v>0</v>
      </c>
      <c r="AX82" s="190">
        <v>3</v>
      </c>
      <c r="AY82" s="120"/>
      <c r="AZ82" s="120"/>
      <c r="BA82" s="120"/>
    </row>
    <row r="83" spans="43:53" ht="20.25" x14ac:dyDescent="0.4">
      <c r="AQ83" s="184">
        <v>4</v>
      </c>
      <c r="AR83" s="376">
        <f t="shared" si="33"/>
        <v>90</v>
      </c>
      <c r="AS83" s="17">
        <f t="shared" si="34"/>
        <v>90</v>
      </c>
      <c r="AT83" s="187">
        <f t="shared" si="31"/>
        <v>-125.9901354606788</v>
      </c>
      <c r="AU83" s="188">
        <f t="shared" si="30"/>
        <v>125.9901354606788</v>
      </c>
      <c r="AV83" s="188">
        <f t="shared" si="35"/>
        <v>5.9901354606788004</v>
      </c>
      <c r="AW83" s="188" t="b">
        <f t="shared" si="32"/>
        <v>0</v>
      </c>
      <c r="AX83" s="190">
        <v>4</v>
      </c>
      <c r="AY83" s="120"/>
      <c r="AZ83" s="120"/>
      <c r="BA83" s="120"/>
    </row>
    <row r="84" spans="43:53" ht="20.25" x14ac:dyDescent="0.4">
      <c r="AQ84" s="184">
        <v>5</v>
      </c>
      <c r="AR84" s="376">
        <f t="shared" si="33"/>
        <v>120</v>
      </c>
      <c r="AS84" s="17">
        <f t="shared" si="34"/>
        <v>120</v>
      </c>
      <c r="AT84" s="187">
        <f t="shared" si="31"/>
        <v>-95.9901354606788</v>
      </c>
      <c r="AU84" s="188">
        <f t="shared" si="30"/>
        <v>95.9901354606788</v>
      </c>
      <c r="AV84" s="188">
        <f t="shared" si="35"/>
        <v>5.9901354606788004</v>
      </c>
      <c r="AW84" s="188" t="b">
        <f t="shared" si="32"/>
        <v>0</v>
      </c>
      <c r="AX84" s="190">
        <v>5</v>
      </c>
      <c r="AY84" s="120"/>
      <c r="AZ84" s="120"/>
      <c r="BA84" s="120"/>
    </row>
    <row r="85" spans="43:53" ht="20.25" x14ac:dyDescent="0.4">
      <c r="AQ85" s="184">
        <v>6</v>
      </c>
      <c r="AR85" s="376">
        <f t="shared" si="33"/>
        <v>150</v>
      </c>
      <c r="AS85" s="17">
        <f t="shared" si="34"/>
        <v>150</v>
      </c>
      <c r="AT85" s="187">
        <f t="shared" si="31"/>
        <v>-65.9901354606788</v>
      </c>
      <c r="AU85" s="188">
        <f t="shared" si="30"/>
        <v>65.9901354606788</v>
      </c>
      <c r="AV85" s="188">
        <f t="shared" si="35"/>
        <v>5.9901354606788004</v>
      </c>
      <c r="AW85" s="188" t="b">
        <f t="shared" si="32"/>
        <v>0</v>
      </c>
      <c r="AX85" s="190">
        <v>6</v>
      </c>
      <c r="AY85" s="120"/>
      <c r="AZ85" s="120"/>
      <c r="BA85" s="120"/>
    </row>
    <row r="86" spans="43:53" ht="20.25" x14ac:dyDescent="0.4">
      <c r="AQ86" s="184">
        <v>7</v>
      </c>
      <c r="AR86" s="376">
        <f t="shared" si="33"/>
        <v>180</v>
      </c>
      <c r="AS86" s="17">
        <f t="shared" si="34"/>
        <v>180</v>
      </c>
      <c r="AT86" s="187">
        <f t="shared" si="31"/>
        <v>-35.9901354606788</v>
      </c>
      <c r="AU86" s="188">
        <f t="shared" si="30"/>
        <v>35.9901354606788</v>
      </c>
      <c r="AV86" s="188">
        <f t="shared" si="35"/>
        <v>5.9901354606788004</v>
      </c>
      <c r="AW86" s="188" t="b">
        <f t="shared" si="32"/>
        <v>0</v>
      </c>
      <c r="AX86" s="190">
        <v>7</v>
      </c>
      <c r="AY86" s="120"/>
      <c r="AZ86" s="120"/>
      <c r="BA86" s="120"/>
    </row>
    <row r="87" spans="43:53" ht="20.25" x14ac:dyDescent="0.4">
      <c r="AQ87" s="184">
        <v>8</v>
      </c>
      <c r="AR87" s="376">
        <f t="shared" si="33"/>
        <v>210</v>
      </c>
      <c r="AS87" s="17">
        <f t="shared" si="34"/>
        <v>210</v>
      </c>
      <c r="AT87" s="187">
        <f t="shared" si="31"/>
        <v>-5.9901354606788004</v>
      </c>
      <c r="AU87" s="188">
        <f t="shared" si="30"/>
        <v>5.9901354606788004</v>
      </c>
      <c r="AV87" s="188">
        <f t="shared" si="35"/>
        <v>5.9901354606788004</v>
      </c>
      <c r="AW87" s="188">
        <f t="shared" si="32"/>
        <v>8</v>
      </c>
      <c r="AX87" s="190">
        <v>8</v>
      </c>
      <c r="AY87" s="120"/>
      <c r="AZ87" s="120"/>
      <c r="BA87" s="120"/>
    </row>
    <row r="88" spans="43:53" ht="20.25" x14ac:dyDescent="0.4">
      <c r="AQ88" s="184">
        <v>9</v>
      </c>
      <c r="AR88" s="376">
        <f t="shared" si="33"/>
        <v>240</v>
      </c>
      <c r="AS88" s="17">
        <f t="shared" si="34"/>
        <v>240</v>
      </c>
      <c r="AT88" s="187">
        <f t="shared" si="31"/>
        <v>24.0098645393212</v>
      </c>
      <c r="AU88" s="188">
        <f t="shared" si="30"/>
        <v>24.0098645393212</v>
      </c>
      <c r="AV88" s="188">
        <f t="shared" si="35"/>
        <v>5.9901354606788004</v>
      </c>
      <c r="AW88" s="188" t="b">
        <f t="shared" si="32"/>
        <v>0</v>
      </c>
      <c r="AX88" s="190">
        <v>9</v>
      </c>
      <c r="AY88" s="120"/>
      <c r="AZ88" s="120"/>
      <c r="BA88" s="120"/>
    </row>
    <row r="89" spans="43:53" ht="20.25" x14ac:dyDescent="0.4">
      <c r="AQ89" s="184">
        <v>10</v>
      </c>
      <c r="AR89" s="376">
        <f t="shared" si="33"/>
        <v>270</v>
      </c>
      <c r="AS89" s="17">
        <f t="shared" si="34"/>
        <v>270</v>
      </c>
      <c r="AT89" s="187">
        <f t="shared" si="31"/>
        <v>54.0098645393212</v>
      </c>
      <c r="AU89" s="188">
        <f t="shared" si="30"/>
        <v>54.0098645393212</v>
      </c>
      <c r="AV89" s="188">
        <f t="shared" si="35"/>
        <v>5.9901354606788004</v>
      </c>
      <c r="AW89" s="188" t="b">
        <f t="shared" si="32"/>
        <v>0</v>
      </c>
      <c r="AX89" s="190">
        <v>10</v>
      </c>
      <c r="AY89" s="120"/>
      <c r="AZ89" s="120"/>
      <c r="BA89" s="120"/>
    </row>
    <row r="90" spans="43:53" ht="20.25" x14ac:dyDescent="0.4">
      <c r="AQ90" s="184">
        <v>11</v>
      </c>
      <c r="AR90" s="376">
        <f t="shared" si="33"/>
        <v>300</v>
      </c>
      <c r="AS90" s="17">
        <f t="shared" si="34"/>
        <v>300</v>
      </c>
      <c r="AT90" s="187">
        <f t="shared" si="31"/>
        <v>84.0098645393212</v>
      </c>
      <c r="AU90" s="188">
        <f t="shared" si="30"/>
        <v>84.0098645393212</v>
      </c>
      <c r="AV90" s="188">
        <f t="shared" si="35"/>
        <v>5.9901354606788004</v>
      </c>
      <c r="AW90" s="188" t="b">
        <f t="shared" si="32"/>
        <v>0</v>
      </c>
      <c r="AX90" s="190">
        <v>11</v>
      </c>
      <c r="AY90" s="120"/>
      <c r="AZ90" s="120"/>
      <c r="BA90" s="120"/>
    </row>
    <row r="91" spans="43:53" ht="20.25" x14ac:dyDescent="0.4">
      <c r="AQ91" s="184">
        <v>12</v>
      </c>
      <c r="AR91" s="376">
        <f t="shared" si="33"/>
        <v>330</v>
      </c>
      <c r="AS91" s="17">
        <f t="shared" si="34"/>
        <v>330</v>
      </c>
      <c r="AT91" s="187">
        <f t="shared" si="31"/>
        <v>114.0098645393212</v>
      </c>
      <c r="AU91" s="188">
        <f t="shared" si="30"/>
        <v>114.0098645393212</v>
      </c>
      <c r="AV91" s="188">
        <f t="shared" si="35"/>
        <v>5.9901354606788004</v>
      </c>
      <c r="AW91" s="188" t="b">
        <f t="shared" si="32"/>
        <v>0</v>
      </c>
      <c r="AX91" s="190">
        <v>12</v>
      </c>
      <c r="AY91" s="120"/>
      <c r="AZ91" s="120"/>
      <c r="BA91" s="120"/>
    </row>
    <row r="92" spans="43:53" ht="20.25" x14ac:dyDescent="0.4">
      <c r="AQ92" s="184">
        <v>13</v>
      </c>
      <c r="AR92" s="376">
        <f t="shared" si="33"/>
        <v>360</v>
      </c>
      <c r="AS92" s="17">
        <f t="shared" si="34"/>
        <v>360</v>
      </c>
      <c r="AT92" s="187">
        <f t="shared" si="31"/>
        <v>144.0098645393212</v>
      </c>
      <c r="AU92" s="188">
        <f t="shared" si="30"/>
        <v>144.0098645393212</v>
      </c>
      <c r="AV92" s="188">
        <f t="shared" si="35"/>
        <v>5.9901354606788004</v>
      </c>
      <c r="AW92" s="188" t="b">
        <f t="shared" si="32"/>
        <v>0</v>
      </c>
      <c r="AX92" s="190">
        <v>13</v>
      </c>
      <c r="AY92" s="120"/>
      <c r="AZ92" s="120"/>
      <c r="BA92" s="120"/>
    </row>
    <row r="93" spans="43:53" ht="20.25" x14ac:dyDescent="0.4">
      <c r="AQ93" s="184">
        <v>14</v>
      </c>
      <c r="AR93" s="376">
        <f t="shared" si="33"/>
        <v>390</v>
      </c>
      <c r="AS93" s="17">
        <f t="shared" si="34"/>
        <v>390</v>
      </c>
      <c r="AT93" s="187">
        <f t="shared" si="31"/>
        <v>174.0098645393212</v>
      </c>
      <c r="AU93" s="188">
        <f t="shared" si="30"/>
        <v>174.0098645393212</v>
      </c>
      <c r="AV93" s="188">
        <f t="shared" si="35"/>
        <v>5.9901354606788004</v>
      </c>
      <c r="AW93" s="188" t="b">
        <f t="shared" si="32"/>
        <v>0</v>
      </c>
      <c r="AX93" s="190">
        <v>14</v>
      </c>
      <c r="AY93" s="120"/>
      <c r="AZ93" s="120"/>
      <c r="BA93" s="120"/>
    </row>
    <row r="94" spans="43:53" ht="20.25" x14ac:dyDescent="0.4">
      <c r="AQ94" s="184">
        <v>15</v>
      </c>
      <c r="AR94" s="376">
        <f t="shared" si="33"/>
        <v>420</v>
      </c>
      <c r="AS94" s="17">
        <f t="shared" si="34"/>
        <v>420</v>
      </c>
      <c r="AT94" s="187">
        <f t="shared" si="31"/>
        <v>204.0098645393212</v>
      </c>
      <c r="AU94" s="188">
        <f t="shared" si="30"/>
        <v>204.0098645393212</v>
      </c>
      <c r="AV94" s="188">
        <f t="shared" si="35"/>
        <v>5.9901354606788004</v>
      </c>
      <c r="AW94" s="188" t="b">
        <f t="shared" si="32"/>
        <v>0</v>
      </c>
      <c r="AX94" s="190">
        <v>15</v>
      </c>
      <c r="AY94" s="120"/>
      <c r="AZ94" s="120"/>
      <c r="BA94" s="120"/>
    </row>
    <row r="95" spans="43:53" ht="20.25" x14ac:dyDescent="0.4">
      <c r="AQ95" s="184">
        <v>16</v>
      </c>
      <c r="AR95" s="376">
        <f t="shared" si="33"/>
        <v>450</v>
      </c>
      <c r="AS95" s="17">
        <f t="shared" si="34"/>
        <v>450</v>
      </c>
      <c r="AT95" s="187">
        <f t="shared" si="31"/>
        <v>234.0098645393212</v>
      </c>
      <c r="AU95" s="188">
        <f t="shared" si="30"/>
        <v>234.0098645393212</v>
      </c>
      <c r="AV95" s="188">
        <f t="shared" si="35"/>
        <v>5.9901354606788004</v>
      </c>
      <c r="AW95" s="188" t="b">
        <f t="shared" si="32"/>
        <v>0</v>
      </c>
      <c r="AX95" s="190">
        <v>16</v>
      </c>
      <c r="AY95" s="120"/>
      <c r="AZ95" s="120"/>
      <c r="BA95" s="120"/>
    </row>
    <row r="96" spans="43:53" ht="20.25" x14ac:dyDescent="0.4">
      <c r="AQ96" s="184">
        <v>17</v>
      </c>
      <c r="AR96" s="376">
        <f t="shared" si="33"/>
        <v>480</v>
      </c>
      <c r="AS96" s="17">
        <f t="shared" si="34"/>
        <v>480</v>
      </c>
      <c r="AT96" s="187">
        <f t="shared" si="31"/>
        <v>264.0098645393212</v>
      </c>
      <c r="AU96" s="188">
        <f t="shared" si="30"/>
        <v>264.0098645393212</v>
      </c>
      <c r="AV96" s="188">
        <f t="shared" si="35"/>
        <v>5.9901354606788004</v>
      </c>
      <c r="AW96" s="188" t="b">
        <f t="shared" si="32"/>
        <v>0</v>
      </c>
      <c r="AX96" s="190">
        <v>17</v>
      </c>
      <c r="AY96" s="120"/>
      <c r="AZ96" s="120"/>
      <c r="BA96" s="120"/>
    </row>
    <row r="97" spans="42:69" ht="20.25" x14ac:dyDescent="0.4">
      <c r="AQ97" s="184">
        <v>18</v>
      </c>
      <c r="AR97" s="376">
        <f t="shared" si="33"/>
        <v>510</v>
      </c>
      <c r="AS97" s="17">
        <f t="shared" si="34"/>
        <v>510</v>
      </c>
      <c r="AT97" s="187">
        <f t="shared" si="31"/>
        <v>294.0098645393212</v>
      </c>
      <c r="AU97" s="188">
        <f t="shared" si="30"/>
        <v>294.0098645393212</v>
      </c>
      <c r="AV97" s="188">
        <f t="shared" si="35"/>
        <v>5.9901354606788004</v>
      </c>
      <c r="AW97" s="188" t="b">
        <f t="shared" si="32"/>
        <v>0</v>
      </c>
      <c r="AX97" s="190">
        <v>18</v>
      </c>
      <c r="AY97" s="120"/>
      <c r="AZ97" s="120"/>
      <c r="BA97" s="120"/>
    </row>
    <row r="98" spans="42:69" ht="20.25" x14ac:dyDescent="0.4">
      <c r="AQ98" s="184"/>
      <c r="AR98" s="376"/>
      <c r="AS98" s="17"/>
      <c r="AT98" s="187"/>
      <c r="AU98" s="188"/>
      <c r="AV98" s="188"/>
      <c r="AW98" s="188"/>
      <c r="AX98" s="190"/>
      <c r="AY98" s="120"/>
      <c r="AZ98" s="120"/>
      <c r="BA98" s="120"/>
    </row>
    <row r="99" spans="42:69" ht="20.25" x14ac:dyDescent="0.4">
      <c r="AQ99" s="184"/>
      <c r="AR99" s="376"/>
      <c r="AS99" s="17"/>
      <c r="AT99" s="187"/>
      <c r="AU99" s="188"/>
      <c r="AV99" s="188"/>
      <c r="AW99" s="188"/>
      <c r="AX99" s="190"/>
    </row>
    <row r="100" spans="42:69" ht="20.25" x14ac:dyDescent="0.4">
      <c r="AQ100" s="184"/>
      <c r="AR100" s="376"/>
      <c r="AS100" s="17"/>
      <c r="AT100" s="187"/>
      <c r="AU100" s="188"/>
      <c r="AV100" s="188"/>
      <c r="AW100" s="188"/>
      <c r="AX100" s="190"/>
    </row>
    <row r="101" spans="42:69" ht="20.25" x14ac:dyDescent="0.4">
      <c r="AQ101" s="184"/>
      <c r="AR101" s="376"/>
      <c r="AS101" s="17"/>
      <c r="AT101" s="187"/>
      <c r="AU101" s="188"/>
      <c r="AV101" s="188"/>
      <c r="AW101" s="188"/>
      <c r="AX101" s="190"/>
    </row>
    <row r="102" spans="42:69" ht="20.25" x14ac:dyDescent="0.4">
      <c r="AQ102" s="184"/>
      <c r="AR102" s="376"/>
      <c r="AS102" s="17"/>
      <c r="AT102" s="187"/>
      <c r="AU102" s="188"/>
      <c r="AV102" s="188"/>
      <c r="AW102" s="188"/>
      <c r="AX102" s="190"/>
    </row>
    <row r="103" spans="42:69" x14ac:dyDescent="0.25">
      <c r="AP103" s="142"/>
    </row>
    <row r="111" spans="42:69" x14ac:dyDescent="0.25">
      <c r="BB111" s="191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</row>
    <row r="112" spans="42:69" x14ac:dyDescent="0.25"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92"/>
      <c r="BL112" s="105"/>
      <c r="BM112" s="105"/>
      <c r="BN112" s="105"/>
      <c r="BO112" s="105"/>
      <c r="BP112" s="105"/>
      <c r="BQ112" s="105"/>
    </row>
    <row r="113" spans="43:69" x14ac:dyDescent="0.25"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193"/>
      <c r="BC113" s="105"/>
      <c r="BD113" s="105"/>
      <c r="BE113" s="105"/>
      <c r="BF113" s="105"/>
      <c r="BG113" s="105"/>
      <c r="BH113" s="105"/>
      <c r="BI113" s="105"/>
      <c r="BJ113" s="701"/>
      <c r="BK113" s="701"/>
      <c r="BL113" s="105"/>
      <c r="BM113" s="105"/>
      <c r="BN113" s="105"/>
      <c r="BO113" s="105"/>
      <c r="BP113" s="105"/>
      <c r="BQ113" s="105"/>
    </row>
    <row r="114" spans="43:69" x14ac:dyDescent="0.25"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</row>
    <row r="115" spans="43:69" x14ac:dyDescent="0.25"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</row>
    <row r="116" spans="43:69" x14ac:dyDescent="0.25"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</row>
    <row r="117" spans="43:69" ht="20.25" x14ac:dyDescent="0.4">
      <c r="AQ117" s="663"/>
      <c r="AR117" s="255"/>
      <c r="AS117" s="664"/>
      <c r="AT117" s="234"/>
      <c r="AU117" s="234"/>
      <c r="AV117" s="234"/>
      <c r="AW117" s="234"/>
      <c r="AX117" s="120"/>
      <c r="AY117" s="53"/>
      <c r="AZ117" s="53"/>
      <c r="BA117" s="53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</row>
    <row r="118" spans="43:69" x14ac:dyDescent="0.25"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105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</row>
    <row r="119" spans="43:69" x14ac:dyDescent="0.25"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</row>
    <row r="120" spans="43:69" x14ac:dyDescent="0.25"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</row>
    <row r="121" spans="43:69" x14ac:dyDescent="0.25"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</row>
    <row r="122" spans="43:69" x14ac:dyDescent="0.25"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</row>
    <row r="123" spans="43:69" x14ac:dyDescent="0.25"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</row>
    <row r="124" spans="43:69" x14ac:dyDescent="0.25"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</row>
    <row r="125" spans="43:69" x14ac:dyDescent="0.25"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</row>
    <row r="126" spans="43:69" x14ac:dyDescent="0.25">
      <c r="BB126" s="105"/>
      <c r="BC126" s="53"/>
      <c r="BD126" s="53"/>
      <c r="BE126" s="53"/>
      <c r="BF126" s="53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</row>
    <row r="127" spans="43:69" x14ac:dyDescent="0.25">
      <c r="BB127" s="105"/>
      <c r="BC127" s="53"/>
      <c r="BD127" s="53"/>
      <c r="BE127" s="53"/>
      <c r="BF127" s="53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</row>
    <row r="128" spans="43:69" x14ac:dyDescent="0.25">
      <c r="BB128" s="105"/>
      <c r="BC128" s="53"/>
      <c r="BD128" s="53"/>
      <c r="BE128" s="53"/>
      <c r="BF128" s="53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</row>
    <row r="129" spans="54:69" x14ac:dyDescent="0.25">
      <c r="BB129" s="105"/>
      <c r="BC129" s="53"/>
      <c r="BD129" s="53"/>
      <c r="BE129" s="53"/>
      <c r="BF129" s="53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</row>
    <row r="130" spans="54:69" x14ac:dyDescent="0.25">
      <c r="BB130" s="106"/>
      <c r="BC130" s="53"/>
      <c r="BD130" s="53"/>
      <c r="BE130" s="53"/>
      <c r="BF130" s="53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</row>
    <row r="131" spans="54:69" x14ac:dyDescent="0.25">
      <c r="BB131" s="106"/>
      <c r="BC131" s="53"/>
      <c r="BD131" s="53"/>
      <c r="BE131" s="53"/>
      <c r="BF131" s="53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</row>
    <row r="132" spans="54:69" x14ac:dyDescent="0.25">
      <c r="BB132" s="106"/>
      <c r="BC132" s="194"/>
      <c r="BD132" s="194"/>
      <c r="BE132" s="194"/>
      <c r="BF132" s="194"/>
      <c r="BG132" s="194"/>
      <c r="BH132" s="194"/>
      <c r="BI132" s="194"/>
      <c r="BJ132" s="194"/>
      <c r="BK132" s="194"/>
      <c r="BL132" s="194"/>
      <c r="BM132" s="194"/>
      <c r="BN132" s="194"/>
      <c r="BO132" s="194"/>
      <c r="BP132" s="194"/>
      <c r="BQ132" s="105"/>
    </row>
    <row r="133" spans="54:69" x14ac:dyDescent="0.25">
      <c r="BB133" s="106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</row>
    <row r="134" spans="54:69" x14ac:dyDescent="0.25">
      <c r="BB134" s="195"/>
      <c r="BC134" s="196"/>
      <c r="BD134" s="196"/>
      <c r="BE134" s="196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05"/>
    </row>
    <row r="135" spans="54:69" x14ac:dyDescent="0.25">
      <c r="BB135" s="106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5"/>
    </row>
    <row r="136" spans="54:69" x14ac:dyDescent="0.25"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</row>
    <row r="137" spans="54:69" x14ac:dyDescent="0.25">
      <c r="BB137" s="105"/>
      <c r="BC137" s="106"/>
      <c r="BD137" s="197"/>
      <c r="BE137" s="197"/>
      <c r="BF137" s="197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5"/>
    </row>
    <row r="138" spans="54:69" x14ac:dyDescent="0.25">
      <c r="BB138" s="105"/>
      <c r="BC138" s="197"/>
      <c r="BD138" s="197"/>
      <c r="BE138" s="197"/>
      <c r="BF138" s="197"/>
      <c r="BG138" s="105"/>
      <c r="BH138" s="105"/>
      <c r="BI138" s="105"/>
      <c r="BJ138" s="105"/>
      <c r="BK138" s="197"/>
      <c r="BL138" s="197"/>
      <c r="BM138" s="197"/>
      <c r="BN138" s="197"/>
      <c r="BO138" s="197"/>
      <c r="BP138" s="197"/>
      <c r="BQ138" s="105"/>
    </row>
    <row r="139" spans="54:69" x14ac:dyDescent="0.25"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</row>
    <row r="140" spans="54:69" x14ac:dyDescent="0.25"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</row>
    <row r="183" spans="42:42" x14ac:dyDescent="0.25">
      <c r="AP183" s="105"/>
    </row>
    <row r="184" spans="42:42" x14ac:dyDescent="0.25">
      <c r="AP184" s="105"/>
    </row>
    <row r="185" spans="42:42" x14ac:dyDescent="0.25">
      <c r="AP185" s="105"/>
    </row>
    <row r="186" spans="42:42" x14ac:dyDescent="0.25">
      <c r="AP186" s="105"/>
    </row>
    <row r="187" spans="42:42" x14ac:dyDescent="0.25">
      <c r="AP187" s="105"/>
    </row>
    <row r="188" spans="42:42" x14ac:dyDescent="0.25">
      <c r="AP188" s="105"/>
    </row>
    <row r="189" spans="42:42" x14ac:dyDescent="0.25">
      <c r="AP189" s="105"/>
    </row>
    <row r="190" spans="42:42" x14ac:dyDescent="0.25">
      <c r="AP190" s="105"/>
    </row>
    <row r="191" spans="42:42" x14ac:dyDescent="0.25">
      <c r="AP191" s="105"/>
    </row>
    <row r="192" spans="42:42" x14ac:dyDescent="0.25">
      <c r="AP192" s="105"/>
    </row>
    <row r="193" spans="42:42" x14ac:dyDescent="0.25">
      <c r="AP193" s="105"/>
    </row>
    <row r="194" spans="42:42" x14ac:dyDescent="0.25">
      <c r="AP194" s="105"/>
    </row>
    <row r="195" spans="42:42" x14ac:dyDescent="0.25">
      <c r="AP195" s="105"/>
    </row>
    <row r="196" spans="42:42" x14ac:dyDescent="0.25">
      <c r="AP196" s="105"/>
    </row>
    <row r="197" spans="42:42" x14ac:dyDescent="0.25">
      <c r="AP197" s="105"/>
    </row>
    <row r="198" spans="42:42" x14ac:dyDescent="0.25">
      <c r="AP198" s="105"/>
    </row>
    <row r="199" spans="42:42" x14ac:dyDescent="0.25">
      <c r="AP199" s="105"/>
    </row>
    <row r="200" spans="42:42" x14ac:dyDescent="0.25">
      <c r="AP200" s="105"/>
    </row>
    <row r="201" spans="42:42" x14ac:dyDescent="0.25">
      <c r="AP201" s="105"/>
    </row>
    <row r="202" spans="42:42" x14ac:dyDescent="0.25">
      <c r="AP202" s="105"/>
    </row>
    <row r="203" spans="42:42" x14ac:dyDescent="0.25">
      <c r="AP203" s="105"/>
    </row>
    <row r="204" spans="42:42" x14ac:dyDescent="0.25">
      <c r="AP204" s="194"/>
    </row>
    <row r="205" spans="42:42" x14ac:dyDescent="0.25">
      <c r="AP205" s="105"/>
    </row>
    <row r="206" spans="42:42" x14ac:dyDescent="0.25">
      <c r="AP206" s="196"/>
    </row>
    <row r="207" spans="42:42" x14ac:dyDescent="0.25">
      <c r="AP207" s="107"/>
    </row>
    <row r="208" spans="42:42" x14ac:dyDescent="0.25">
      <c r="AP208" s="105"/>
    </row>
    <row r="209" spans="42:42" x14ac:dyDescent="0.25">
      <c r="AP209" s="106"/>
    </row>
    <row r="210" spans="42:42" x14ac:dyDescent="0.25">
      <c r="AP210" s="197"/>
    </row>
    <row r="211" spans="42:42" x14ac:dyDescent="0.25">
      <c r="AP211" s="105"/>
    </row>
    <row r="212" spans="42:42" x14ac:dyDescent="0.25">
      <c r="AP212" s="105"/>
    </row>
  </sheetData>
  <sheetProtection algorithmName="SHA-512" hashValue="NeU30Nl0KiDy3NRoBFwUAMcmV3gJFJMOhgsctiZ5coG8LulbSe+xs6EbgGBR4i18ZsUL1XBekFiIfYk0MkKuRw==" saltValue="g9Feo2uNPqZpwigptzT2AQ==" spinCount="100000" sheet="1" objects="1" scenarios="1"/>
  <protectedRanges>
    <protectedRange sqref="B59 B62" name="Range1"/>
  </protectedRanges>
  <mergeCells count="12">
    <mergeCell ref="B56:B58"/>
    <mergeCell ref="D56:D57"/>
    <mergeCell ref="D58:D59"/>
    <mergeCell ref="BF21:BG21"/>
    <mergeCell ref="Z50:AA50"/>
    <mergeCell ref="M26:O26"/>
    <mergeCell ref="M50:N50"/>
    <mergeCell ref="BJ113:BK113"/>
    <mergeCell ref="AN61:AO61"/>
    <mergeCell ref="BT24:BU24"/>
    <mergeCell ref="BD24:BE24"/>
    <mergeCell ref="BC23:BC24"/>
  </mergeCells>
  <phoneticPr fontId="2" type="noConversion"/>
  <conditionalFormatting sqref="AP206:AP207">
    <cfRule type="cellIs" dxfId="234" priority="39" stopIfTrue="1" operator="equal">
      <formula>FALSE</formula>
    </cfRule>
  </conditionalFormatting>
  <conditionalFormatting sqref="AP204">
    <cfRule type="cellIs" dxfId="233" priority="123" stopIfTrue="1" operator="equal">
      <formula>0</formula>
    </cfRule>
  </conditionalFormatting>
  <conditionalFormatting sqref="E56:F57">
    <cfRule type="cellIs" dxfId="232" priority="156" stopIfTrue="1" operator="equal">
      <formula>"change the angle of frame or of cabinets"</formula>
    </cfRule>
  </conditionalFormatting>
  <conditionalFormatting sqref="E59:F59 E58:E59">
    <cfRule type="cellIs" dxfId="231" priority="157" stopIfTrue="1" operator="equal">
      <formula>"USE EXBAR VR AT THE BACK"</formula>
    </cfRule>
  </conditionalFormatting>
  <conditionalFormatting sqref="E58:F58 E58:E59">
    <cfRule type="cellIs" dxfId="230" priority="158" stopIfTrue="1" operator="equal">
      <formula>"USE EXBAR VR AT THE FRONT"</formula>
    </cfRule>
  </conditionalFormatting>
  <conditionalFormatting sqref="B65:B76">
    <cfRule type="cellIs" dxfId="229" priority="119" stopIfTrue="1" operator="greaterThan">
      <formula>$B$62</formula>
    </cfRule>
  </conditionalFormatting>
  <conditionalFormatting sqref="U65 AL65:AO65 D65:E65">
    <cfRule type="expression" dxfId="228" priority="118" stopIfTrue="1">
      <formula>$B$62&lt;1</formula>
    </cfRule>
  </conditionalFormatting>
  <conditionalFormatting sqref="U66 AL66:AO66 D66:E66">
    <cfRule type="expression" dxfId="227" priority="117" stopIfTrue="1">
      <formula>$B$62&lt;2</formula>
    </cfRule>
  </conditionalFormatting>
  <conditionalFormatting sqref="U67 AL67:AO67 D67:E67">
    <cfRule type="expression" dxfId="226" priority="116" stopIfTrue="1">
      <formula>$B$62&lt;3</formula>
    </cfRule>
  </conditionalFormatting>
  <conditionalFormatting sqref="U68 AL68:AO68 D68:E68">
    <cfRule type="expression" dxfId="225" priority="115" stopIfTrue="1">
      <formula>$B$62&lt;4</formula>
    </cfRule>
  </conditionalFormatting>
  <conditionalFormatting sqref="U69 AL69:AO69 D69:E69">
    <cfRule type="expression" dxfId="224" priority="114" stopIfTrue="1">
      <formula>$B$62&lt;5</formula>
    </cfRule>
  </conditionalFormatting>
  <conditionalFormatting sqref="D70 U70 AL70:AO70 E70:E71">
    <cfRule type="expression" dxfId="223" priority="113" stopIfTrue="1">
      <formula>$B$62&lt;6</formula>
    </cfRule>
  </conditionalFormatting>
  <conditionalFormatting sqref="U71 AL71:AO71 D71:E71">
    <cfRule type="expression" dxfId="222" priority="112" stopIfTrue="1">
      <formula>$B$62&lt;7</formula>
    </cfRule>
  </conditionalFormatting>
  <conditionalFormatting sqref="U72 AL72:AO72 D72:E72">
    <cfRule type="expression" dxfId="221" priority="111" stopIfTrue="1">
      <formula>$B$62&lt;8</formula>
    </cfRule>
  </conditionalFormatting>
  <conditionalFormatting sqref="U73 AL73:AO73 D73:E73">
    <cfRule type="expression" dxfId="220" priority="110" stopIfTrue="1">
      <formula>$B$62&lt;9</formula>
    </cfRule>
  </conditionalFormatting>
  <conditionalFormatting sqref="U74 AL74:AO74 D74:E74">
    <cfRule type="expression" dxfId="219" priority="85" stopIfTrue="1">
      <formula>$B$62&lt;10</formula>
    </cfRule>
  </conditionalFormatting>
  <conditionalFormatting sqref="U75 AL75:AO75 D75:E75">
    <cfRule type="expression" dxfId="218" priority="48" stopIfTrue="1">
      <formula>$B$62&lt;11</formula>
    </cfRule>
  </conditionalFormatting>
  <conditionalFormatting sqref="U76 AL76:AO76 D76:E76">
    <cfRule type="expression" dxfId="217" priority="45" stopIfTrue="1">
      <formula>$B$62&lt;12</formula>
    </cfRule>
  </conditionalFormatting>
  <conditionalFormatting sqref="D56 D58">
    <cfRule type="cellIs" dxfId="216" priority="183" stopIfTrue="1" operator="equal">
      <formula>"change the angle of frame"</formula>
    </cfRule>
  </conditionalFormatting>
  <conditionalFormatting sqref="AN65:AO76">
    <cfRule type="cellIs" dxfId="215" priority="122" stopIfTrue="1" operator="lessThan">
      <formula>10</formula>
    </cfRule>
  </conditionalFormatting>
  <conditionalFormatting sqref="D65:D76">
    <cfRule type="cellIs" dxfId="214" priority="120" stopIfTrue="1" operator="notEqual">
      <formula>0</formula>
    </cfRule>
  </conditionalFormatting>
  <conditionalFormatting sqref="BD44:BW44">
    <cfRule type="cellIs" dxfId="213" priority="1" operator="equal">
      <formula>0</formula>
    </cfRule>
  </conditionalFormatting>
  <conditionalFormatting sqref="BD44:BU44">
    <cfRule type="expression" dxfId="212" priority="2">
      <formula>$B$59=0</formula>
    </cfRule>
  </conditionalFormatting>
  <dataValidations count="5">
    <dataValidation type="whole" allowBlank="1" showInputMessage="1" showErrorMessage="1" errorTitle="Coda Audio" error="YOU HAVE ENTERED A WRONG NUMBER OF CABINETS" promptTitle="Coda Audio" prompt="ENTER THE NUMBER OF CABINETS FROM 1 UP TO 3" sqref="B62" xr:uid="{00000000-0002-0000-0100-000000000000}">
      <formula1>1</formula1>
      <formula2>3</formula2>
    </dataValidation>
    <dataValidation type="decimal" allowBlank="1" showInputMessage="1" showErrorMessage="1" sqref="F66:F76" xr:uid="{00000000-0002-0000-0100-000001000000}">
      <formula1>0</formula1>
      <formula2>8</formula2>
    </dataValidation>
    <dataValidation type="decimal" allowBlank="1" showInputMessage="1" showErrorMessage="1" sqref="F65" xr:uid="{00000000-0002-0000-0100-000002000000}">
      <formula1>0</formula1>
      <formula2>4</formula2>
    </dataValidation>
    <dataValidation type="custom" allowBlank="1" showInputMessage="1" showErrorMessage="1" sqref="D65:D76" xr:uid="{00000000-0002-0000-0100-000003000000}">
      <formula1>OR(D65=0,D65=2.5,D65=5)</formula1>
    </dataValidation>
    <dataValidation type="decimal" allowBlank="1" showInputMessage="1" showErrorMessage="1" sqref="B59" xr:uid="{00000000-0002-0000-0100-000004000000}">
      <formula1>-89.9</formula1>
      <formula2>89.9</formula2>
    </dataValidation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Q180"/>
  <sheetViews>
    <sheetView topLeftCell="A31" zoomScale="50" zoomScaleNormal="50" workbookViewId="0">
      <selection activeCell="BO111" sqref="BO111"/>
    </sheetView>
  </sheetViews>
  <sheetFormatPr baseColWidth="10" defaultColWidth="9.140625" defaultRowHeight="18" x14ac:dyDescent="0.25"/>
  <cols>
    <col min="1" max="1" width="1.5703125" style="14" customWidth="1"/>
    <col min="2" max="2" width="40.28515625" style="11" customWidth="1"/>
    <col min="3" max="3" width="35.85546875" style="11" hidden="1" customWidth="1"/>
    <col min="4" max="4" width="38.5703125" style="20" customWidth="1"/>
    <col min="5" max="5" width="27.140625" style="20" hidden="1" customWidth="1"/>
    <col min="6" max="6" width="19.42578125" style="20" hidden="1" customWidth="1"/>
    <col min="7" max="7" width="12.85546875" style="20" hidden="1" customWidth="1"/>
    <col min="8" max="8" width="13.42578125" style="110" hidden="1" customWidth="1"/>
    <col min="9" max="9" width="16.7109375" style="110" hidden="1" customWidth="1"/>
    <col min="10" max="11" width="17.5703125" style="110" hidden="1" customWidth="1"/>
    <col min="12" max="15" width="8.28515625" style="110" hidden="1" customWidth="1"/>
    <col min="16" max="20" width="14.28515625" style="110" hidden="1" customWidth="1"/>
    <col min="21" max="21" width="8.28515625" style="110" hidden="1" customWidth="1"/>
    <col min="22" max="22" width="17.42578125" style="110" hidden="1" customWidth="1"/>
    <col min="23" max="27" width="15.5703125" style="110" hidden="1" customWidth="1"/>
    <col min="28" max="28" width="29.5703125" style="110" hidden="1" customWidth="1"/>
    <col min="29" max="39" width="19.140625" style="110" hidden="1" customWidth="1"/>
    <col min="40" max="40" width="37.7109375" style="110" hidden="1" customWidth="1"/>
    <col min="41" max="41" width="24" style="110" hidden="1" customWidth="1"/>
    <col min="42" max="42" width="18.85546875" style="110" hidden="1" customWidth="1"/>
    <col min="43" max="43" width="32.85546875" style="110" hidden="1" customWidth="1"/>
    <col min="44" max="45" width="18.85546875" style="110" hidden="1" customWidth="1"/>
    <col min="46" max="46" width="34.85546875" style="110" hidden="1" customWidth="1"/>
    <col min="47" max="47" width="18.85546875" style="110" hidden="1" customWidth="1"/>
    <col min="48" max="48" width="19.85546875" style="110" hidden="1" customWidth="1"/>
    <col min="49" max="49" width="19.7109375" style="110" hidden="1" customWidth="1"/>
    <col min="50" max="50" width="10.7109375" style="110" hidden="1" customWidth="1"/>
    <col min="51" max="53" width="14.42578125" style="110" hidden="1" customWidth="1"/>
    <col min="54" max="54" width="4.42578125" style="14" hidden="1" customWidth="1"/>
    <col min="55" max="55" width="6.42578125" style="14" hidden="1" customWidth="1"/>
    <col min="56" max="56" width="46.28515625" style="14" hidden="1" customWidth="1"/>
    <col min="57" max="57" width="16.28515625" style="14" hidden="1" customWidth="1"/>
    <col min="58" max="59" width="15.5703125" style="14" hidden="1" customWidth="1"/>
    <col min="60" max="60" width="8.7109375" style="14" hidden="1" customWidth="1"/>
    <col min="61" max="61" width="38.85546875" style="14" hidden="1" customWidth="1"/>
    <col min="62" max="62" width="8.85546875" style="14" hidden="1" customWidth="1"/>
    <col min="63" max="63" width="14.5703125" style="14" hidden="1" customWidth="1"/>
    <col min="64" max="64" width="3" style="14" hidden="1" customWidth="1"/>
    <col min="65" max="65" width="26.85546875" style="14" customWidth="1"/>
    <col min="66" max="66" width="7.140625" style="14" hidden="1" customWidth="1"/>
    <col min="67" max="84" width="11.140625" style="14" customWidth="1"/>
    <col min="85" max="85" width="40.85546875" style="14" customWidth="1"/>
    <col min="86" max="93" width="6.5703125" style="14" customWidth="1"/>
    <col min="94" max="96" width="9.140625" style="14"/>
    <col min="97" max="97" width="11.42578125" style="14" customWidth="1"/>
    <col min="98" max="98" width="9.28515625" style="14" customWidth="1"/>
    <col min="99" max="16384" width="9.140625" style="14"/>
  </cols>
  <sheetData>
    <row r="1" spans="2:85" ht="25.5" hidden="1" customHeight="1" x14ac:dyDescent="0.25">
      <c r="D1" s="12" t="s">
        <v>71</v>
      </c>
      <c r="E1" s="12" t="s">
        <v>72</v>
      </c>
      <c r="F1" s="12" t="s">
        <v>73</v>
      </c>
    </row>
    <row r="2" spans="2:85" ht="25.5" hidden="1" customHeight="1" x14ac:dyDescent="0.3">
      <c r="B2" s="256" t="s">
        <v>23</v>
      </c>
      <c r="C2" s="366">
        <v>510</v>
      </c>
      <c r="D2" s="366">
        <f>+COS(($B$88*-1)*3.14159265358979/180)*C2</f>
        <v>510</v>
      </c>
      <c r="E2" s="366">
        <f>+COS(($B$88*-1)*3.14159265358979/180)*30</f>
        <v>30</v>
      </c>
      <c r="F2" s="346">
        <f>+COS((($B$88*-1)+28.5565949)*3.14159265358979/180)*45.5553</f>
        <v>40.013286477395795</v>
      </c>
    </row>
    <row r="3" spans="2:85" ht="25.5" hidden="1" customHeight="1" x14ac:dyDescent="0.35">
      <c r="B3" s="79" t="s">
        <v>107</v>
      </c>
      <c r="C3" s="367">
        <f>+C9-43.1868</f>
        <v>192.46315296902358</v>
      </c>
      <c r="D3" s="368">
        <f>+C9-F2</f>
        <v>195.63666649162781</v>
      </c>
    </row>
    <row r="4" spans="2:85" ht="25.5" hidden="1" customHeight="1" x14ac:dyDescent="0.3">
      <c r="B4" s="409" t="s">
        <v>75</v>
      </c>
      <c r="C4" s="410"/>
      <c r="D4" s="411"/>
    </row>
    <row r="5" spans="2:85" ht="25.5" hidden="1" customHeight="1" x14ac:dyDescent="0.3">
      <c r="B5" s="409" t="s">
        <v>76</v>
      </c>
      <c r="C5" s="410"/>
      <c r="D5" s="411"/>
    </row>
    <row r="6" spans="2:85" ht="25.5" hidden="1" customHeight="1" x14ac:dyDescent="0.25">
      <c r="B6" s="95"/>
      <c r="C6" s="95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</row>
    <row r="7" spans="2:85" ht="25.5" hidden="1" customHeight="1" x14ac:dyDescent="0.35">
      <c r="B7" s="257" t="s">
        <v>17</v>
      </c>
      <c r="C7" s="665">
        <f>+C11+C14+3.3+5</f>
        <v>48.5</v>
      </c>
    </row>
    <row r="8" spans="2:85" ht="25.5" hidden="1" customHeight="1" x14ac:dyDescent="0.35">
      <c r="B8" s="257"/>
      <c r="C8" s="666"/>
    </row>
    <row r="9" spans="2:85" ht="25.5" hidden="1" customHeight="1" x14ac:dyDescent="0.35">
      <c r="B9" s="257" t="s">
        <v>13</v>
      </c>
      <c r="C9" s="666">
        <f>+AO90</f>
        <v>235.64995296902359</v>
      </c>
    </row>
    <row r="10" spans="2:85" ht="25.5" hidden="1" customHeight="1" x14ac:dyDescent="0.35">
      <c r="C10" s="667"/>
    </row>
    <row r="11" spans="2:85" ht="25.5" hidden="1" customHeight="1" x14ac:dyDescent="0.35">
      <c r="B11" s="397" t="s">
        <v>93</v>
      </c>
      <c r="C11" s="368">
        <f>+B91*28</f>
        <v>28</v>
      </c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</row>
    <row r="12" spans="2:85" ht="25.5" hidden="1" customHeight="1" x14ac:dyDescent="0.35">
      <c r="B12" s="258"/>
      <c r="C12" s="668"/>
      <c r="D12" s="260"/>
    </row>
    <row r="13" spans="2:85" ht="25.5" hidden="1" customHeight="1" x14ac:dyDescent="0.35">
      <c r="C13" s="667"/>
      <c r="D13" s="260"/>
    </row>
    <row r="14" spans="2:85" ht="25.5" hidden="1" customHeight="1" x14ac:dyDescent="0.35">
      <c r="B14" s="397" t="s">
        <v>94</v>
      </c>
      <c r="C14" s="368">
        <f>(+B112*12.2)</f>
        <v>12.2</v>
      </c>
      <c r="D14" s="260"/>
    </row>
    <row r="15" spans="2:85" ht="25.5" hidden="1" customHeight="1" x14ac:dyDescent="0.25">
      <c r="B15" s="261"/>
      <c r="C15" s="259"/>
      <c r="D15" s="260"/>
    </row>
    <row r="16" spans="2:85" ht="25.5" hidden="1" customHeight="1" x14ac:dyDescent="0.25">
      <c r="B16" s="690"/>
      <c r="C16" s="691"/>
      <c r="D16" s="260"/>
    </row>
    <row r="17" spans="2:85" ht="25.5" hidden="1" customHeight="1" x14ac:dyDescent="0.25">
      <c r="B17" s="690"/>
      <c r="C17" s="691"/>
      <c r="D17" s="260"/>
    </row>
    <row r="18" spans="2:85" ht="25.5" hidden="1" customHeight="1" x14ac:dyDescent="0.25">
      <c r="B18" s="398" t="s">
        <v>55</v>
      </c>
      <c r="C18" s="399">
        <v>5800</v>
      </c>
      <c r="D18" s="399">
        <v>10000</v>
      </c>
      <c r="E18" s="400"/>
    </row>
    <row r="19" spans="2:85" ht="25.5" hidden="1" customHeight="1" x14ac:dyDescent="0.25">
      <c r="B19" s="398" t="s">
        <v>56</v>
      </c>
      <c r="C19" s="399">
        <v>5800</v>
      </c>
      <c r="D19" s="399">
        <v>5800</v>
      </c>
      <c r="E19" s="400"/>
    </row>
    <row r="20" spans="2:85" ht="25.5" hidden="1" customHeight="1" x14ac:dyDescent="0.25">
      <c r="B20" s="398" t="s">
        <v>59</v>
      </c>
      <c r="C20" s="399">
        <v>8000</v>
      </c>
      <c r="D20" s="399">
        <v>8000</v>
      </c>
      <c r="E20" s="349">
        <v>8000</v>
      </c>
    </row>
    <row r="21" spans="2:85" ht="25.5" hidden="1" customHeight="1" x14ac:dyDescent="0.25">
      <c r="B21" s="399"/>
      <c r="C21" s="399" t="s">
        <v>18</v>
      </c>
      <c r="D21" s="399" t="s">
        <v>19</v>
      </c>
      <c r="E21" s="400"/>
    </row>
    <row r="22" spans="2:85" ht="25.5" hidden="1" customHeight="1" x14ac:dyDescent="0.25">
      <c r="B22" s="401" t="s">
        <v>50</v>
      </c>
      <c r="C22" s="399" t="e">
        <f>+((C8-C9)/C8)*C7</f>
        <v>#DIV/0!</v>
      </c>
      <c r="D22" s="399" t="e">
        <f>+(C9/C8)*C7</f>
        <v>#DIV/0!</v>
      </c>
      <c r="E22" s="400"/>
    </row>
    <row r="23" spans="2:85" ht="25.5" hidden="1" customHeight="1" x14ac:dyDescent="0.25">
      <c r="B23" s="402"/>
      <c r="C23" s="402"/>
      <c r="D23" s="400"/>
      <c r="E23" s="400"/>
    </row>
    <row r="24" spans="2:85" ht="25.5" hidden="1" customHeight="1" x14ac:dyDescent="0.25">
      <c r="B24" s="690"/>
      <c r="C24" s="691"/>
      <c r="D24" s="260"/>
    </row>
    <row r="25" spans="2:85" ht="25.5" hidden="1" customHeight="1" x14ac:dyDescent="0.25">
      <c r="B25" s="262"/>
      <c r="C25" s="262"/>
      <c r="D25" s="260"/>
    </row>
    <row r="26" spans="2:85" hidden="1" x14ac:dyDescent="0.25">
      <c r="B26" s="262"/>
      <c r="C26" s="262"/>
      <c r="D26" s="260"/>
    </row>
    <row r="27" spans="2:85" hidden="1" x14ac:dyDescent="0.25">
      <c r="B27" s="14"/>
      <c r="C27" s="14"/>
      <c r="D27" s="14"/>
      <c r="E27" s="14"/>
    </row>
    <row r="28" spans="2:85" ht="25.5" hidden="1" x14ac:dyDescent="0.35">
      <c r="B28" s="14"/>
      <c r="C28" s="14"/>
      <c r="D28" s="14"/>
      <c r="E28" s="14"/>
      <c r="BB28" s="49"/>
      <c r="BC28" s="49"/>
      <c r="BD28" s="49"/>
      <c r="BE28" s="49"/>
    </row>
    <row r="29" spans="2:85" ht="25.5" hidden="1" x14ac:dyDescent="0.35">
      <c r="B29" s="14"/>
      <c r="C29" s="14"/>
      <c r="D29" s="14"/>
      <c r="E29" s="14"/>
      <c r="BB29" s="49"/>
      <c r="BC29" s="49"/>
      <c r="BD29" s="49"/>
      <c r="BE29" s="49"/>
      <c r="BJ29" s="50"/>
    </row>
    <row r="30" spans="2:85" ht="25.5" hidden="1" x14ac:dyDescent="0.35">
      <c r="B30" s="14"/>
      <c r="C30" s="14"/>
      <c r="D30" s="14"/>
      <c r="E30" s="14"/>
      <c r="BB30" s="49"/>
      <c r="BC30" s="49"/>
      <c r="BD30" s="49"/>
      <c r="BE30" s="49"/>
      <c r="BJ30" s="50"/>
    </row>
    <row r="31" spans="2:85" ht="25.5" customHeight="1" thickBot="1" x14ac:dyDescent="0.35">
      <c r="B31" s="14"/>
      <c r="C31" s="14"/>
      <c r="D31" s="14"/>
      <c r="E31" s="14"/>
      <c r="BN31" s="42"/>
      <c r="BO31" s="46"/>
      <c r="BP31" s="44" t="s">
        <v>22</v>
      </c>
      <c r="BQ31" s="702">
        <f>+C7</f>
        <v>48.5</v>
      </c>
      <c r="BR31" s="702"/>
      <c r="BS31" s="45" t="s">
        <v>16</v>
      </c>
      <c r="BT31" s="45"/>
      <c r="BU31" s="394" t="s">
        <v>131</v>
      </c>
      <c r="BV31" s="46"/>
      <c r="BW31" s="46"/>
      <c r="BX31" s="46"/>
      <c r="BY31" s="46"/>
      <c r="BZ31" s="46"/>
      <c r="CA31" s="46"/>
      <c r="CB31" s="47"/>
      <c r="CC31" s="47"/>
      <c r="CD31" s="47"/>
      <c r="CE31" s="47"/>
      <c r="CF31" s="47"/>
      <c r="CG31" s="47"/>
    </row>
    <row r="32" spans="2:85" ht="24" hidden="1" thickBot="1" x14ac:dyDescent="0.4">
      <c r="B32" s="14"/>
      <c r="C32" s="14"/>
      <c r="D32" s="14"/>
      <c r="E32" s="14"/>
      <c r="BK32" s="52"/>
      <c r="BL32" s="4"/>
      <c r="BM32" s="59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1"/>
      <c r="CB32" s="62"/>
      <c r="CC32" s="62"/>
      <c r="CD32" s="62"/>
      <c r="CE32" s="62"/>
      <c r="CF32" s="58"/>
      <c r="CG32" s="58"/>
    </row>
    <row r="33" spans="2:95" ht="39.950000000000003" customHeight="1" x14ac:dyDescent="0.3">
      <c r="B33" s="14"/>
      <c r="C33" s="14"/>
      <c r="D33" s="14"/>
      <c r="E33" s="14"/>
      <c r="BJ33" s="50"/>
      <c r="BM33" s="326" t="s">
        <v>24</v>
      </c>
      <c r="BN33" s="699"/>
      <c r="BO33" s="381" t="s">
        <v>25</v>
      </c>
      <c r="BP33" s="382"/>
      <c r="BQ33" s="383"/>
      <c r="BR33" s="383"/>
      <c r="BS33" s="383"/>
      <c r="BT33" s="383"/>
      <c r="BU33" s="383"/>
      <c r="BV33" s="384"/>
      <c r="BW33" s="385"/>
      <c r="BX33" s="386"/>
      <c r="BY33" s="386"/>
      <c r="BZ33" s="387"/>
      <c r="CA33" s="387"/>
      <c r="CB33" s="387"/>
      <c r="CC33" s="387"/>
      <c r="CD33" s="51"/>
      <c r="CE33" s="382"/>
      <c r="CF33" s="388" t="s">
        <v>26</v>
      </c>
      <c r="CG33" s="46"/>
    </row>
    <row r="34" spans="2:95" ht="39.950000000000003" customHeight="1" thickBot="1" x14ac:dyDescent="0.4">
      <c r="E34" s="260"/>
      <c r="F34" s="260"/>
      <c r="G34" s="260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  <c r="BM34" s="327"/>
      <c r="BN34" s="700"/>
      <c r="BO34" s="715">
        <f>+((D2-D3)/D2)*C7</f>
        <v>29.895336617953046</v>
      </c>
      <c r="BP34" s="716"/>
      <c r="BQ34" s="389"/>
      <c r="BR34" s="389"/>
      <c r="BS34" s="389"/>
      <c r="BT34" s="389"/>
      <c r="BU34" s="389"/>
      <c r="BV34" s="390"/>
      <c r="BW34" s="391"/>
      <c r="BX34" s="392"/>
      <c r="BY34" s="392"/>
      <c r="BZ34" s="393"/>
      <c r="CA34" s="393"/>
      <c r="CB34" s="393"/>
      <c r="CC34" s="393"/>
      <c r="CD34" s="57"/>
      <c r="CE34" s="713">
        <f>+(D3/D2)*C7</f>
        <v>18.604663382046958</v>
      </c>
      <c r="CF34" s="714"/>
      <c r="CG34" s="46"/>
    </row>
    <row r="35" spans="2:95" ht="20.25" x14ac:dyDescent="0.3">
      <c r="E35" s="260"/>
      <c r="F35" s="260"/>
      <c r="G35" s="260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3"/>
      <c r="AT35" s="263"/>
      <c r="AU35" s="263"/>
      <c r="AV35" s="263"/>
      <c r="AW35" s="263"/>
      <c r="AX35" s="263"/>
      <c r="AY35" s="263"/>
      <c r="AZ35" s="263"/>
      <c r="BA35" s="263"/>
      <c r="BM35" s="59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59"/>
      <c r="BY35" s="60"/>
      <c r="BZ35" s="60"/>
      <c r="CA35" s="61"/>
      <c r="CB35" s="62"/>
      <c r="CC35" s="62"/>
      <c r="CD35" s="62"/>
      <c r="CE35" s="62"/>
      <c r="CF35" s="58"/>
      <c r="CG35" s="58"/>
    </row>
    <row r="36" spans="2:95" ht="39" hidden="1" customHeight="1" x14ac:dyDescent="0.25">
      <c r="E36" s="260"/>
      <c r="F36" s="260"/>
      <c r="G36" s="260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67"/>
      <c r="V36" s="263"/>
      <c r="W36" s="263"/>
      <c r="X36" s="263"/>
      <c r="Y36" s="263"/>
      <c r="Z36" s="263"/>
      <c r="AA36" s="263"/>
      <c r="AB36" s="67"/>
      <c r="AC36" s="67"/>
      <c r="AD36" s="67"/>
      <c r="AE36" s="67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  <c r="AS36" s="263"/>
      <c r="AT36" s="263"/>
      <c r="AU36" s="263"/>
      <c r="AV36" s="263"/>
      <c r="AW36" s="263"/>
      <c r="AX36" s="263"/>
      <c r="AY36" s="263"/>
      <c r="AZ36" s="263"/>
      <c r="BA36" s="263"/>
      <c r="BB36" s="74"/>
      <c r="BC36" s="74"/>
      <c r="BD36" s="74"/>
      <c r="BE36" s="74"/>
      <c r="BN36" s="379"/>
      <c r="BO36" s="379">
        <v>1</v>
      </c>
      <c r="BP36" s="379">
        <v>2</v>
      </c>
      <c r="BQ36" s="379">
        <v>3</v>
      </c>
      <c r="BR36" s="379">
        <v>4</v>
      </c>
      <c r="BS36" s="379">
        <v>5</v>
      </c>
      <c r="BT36" s="379">
        <v>6</v>
      </c>
      <c r="BU36" s="380"/>
      <c r="BV36" s="380"/>
      <c r="BW36" s="379">
        <v>7</v>
      </c>
      <c r="BX36" s="379">
        <v>8</v>
      </c>
      <c r="BY36" s="379">
        <v>9</v>
      </c>
      <c r="BZ36" s="379">
        <v>10</v>
      </c>
      <c r="CA36" s="379">
        <v>11</v>
      </c>
      <c r="CB36" s="379">
        <v>12</v>
      </c>
      <c r="CC36" s="379">
        <v>13</v>
      </c>
      <c r="CD36" s="379">
        <v>14</v>
      </c>
      <c r="CE36" s="379">
        <v>15</v>
      </c>
      <c r="CF36" s="379">
        <v>16</v>
      </c>
      <c r="CG36" s="656"/>
    </row>
    <row r="37" spans="2:95" ht="45" hidden="1" customHeight="1" thickBot="1" x14ac:dyDescent="0.35">
      <c r="E37" s="260"/>
      <c r="F37" s="260"/>
      <c r="G37" s="260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32"/>
      <c r="T37" s="264"/>
      <c r="U37" s="264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3"/>
      <c r="AY37" s="263"/>
      <c r="AZ37" s="263"/>
      <c r="BA37" s="263"/>
      <c r="BB37" s="74"/>
      <c r="BC37" s="74"/>
      <c r="BD37" s="74"/>
      <c r="BE37" s="74"/>
      <c r="BM37" s="85"/>
      <c r="BN37" s="90"/>
      <c r="BO37" s="87"/>
      <c r="BP37" s="87"/>
      <c r="BQ37" s="87"/>
      <c r="BR37" s="87"/>
      <c r="BS37" s="87"/>
      <c r="BT37" s="87"/>
      <c r="BU37" s="87"/>
      <c r="BV37" s="61"/>
      <c r="BW37" s="60"/>
      <c r="BZ37" s="55"/>
      <c r="CC37" s="55"/>
      <c r="CD37" s="70" t="b">
        <f>IF(CE56=17,14)</f>
        <v>0</v>
      </c>
      <c r="CE37" s="55"/>
      <c r="CF37" s="72" t="b">
        <f>IF(CE56=17,16)</f>
        <v>0</v>
      </c>
      <c r="CG37" s="55"/>
    </row>
    <row r="38" spans="2:95" ht="31.5" hidden="1" customHeight="1" thickBot="1" x14ac:dyDescent="0.35">
      <c r="E38" s="260"/>
      <c r="F38" s="260"/>
      <c r="G38" s="260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32"/>
      <c r="T38" s="265"/>
      <c r="U38" s="264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74"/>
      <c r="BC38" s="74"/>
      <c r="BD38" s="74"/>
      <c r="BE38" s="74"/>
      <c r="BM38" s="85"/>
      <c r="BN38" s="90"/>
      <c r="BO38" s="87"/>
      <c r="BP38" s="87"/>
      <c r="BQ38" s="87"/>
      <c r="BR38" s="87"/>
      <c r="BS38" s="87"/>
      <c r="BT38" s="87"/>
      <c r="BU38" s="87"/>
      <c r="BV38" s="61"/>
      <c r="BX38" s="88"/>
      <c r="BY38" s="88"/>
      <c r="BZ38" s="55"/>
      <c r="CA38" s="55"/>
      <c r="CB38" s="68" t="b">
        <f>IF(CD56=16,12)</f>
        <v>0</v>
      </c>
      <c r="CD38" s="655"/>
      <c r="CF38" s="63" t="b">
        <f>IF(CD56=16,16)</f>
        <v>0</v>
      </c>
      <c r="CG38" s="55"/>
    </row>
    <row r="39" spans="2:95" ht="31.5" hidden="1" customHeight="1" thickBot="1" x14ac:dyDescent="0.35">
      <c r="E39" s="260"/>
      <c r="F39" s="260"/>
      <c r="G39" s="260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32"/>
      <c r="T39" s="32"/>
      <c r="U39" s="67"/>
      <c r="V39" s="263"/>
      <c r="W39" s="263"/>
      <c r="X39" s="263"/>
      <c r="Y39" s="263"/>
      <c r="Z39" s="263"/>
      <c r="AA39" s="263"/>
      <c r="AB39" s="67"/>
      <c r="AC39" s="67"/>
      <c r="AD39" s="67"/>
      <c r="AE39" s="67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74"/>
      <c r="BC39" s="74"/>
      <c r="BD39" s="74"/>
      <c r="BE39" s="74"/>
      <c r="BM39" s="85"/>
      <c r="BN39" s="90"/>
      <c r="BO39" s="87"/>
      <c r="BP39" s="87"/>
      <c r="BQ39" s="87"/>
      <c r="BR39" s="87"/>
      <c r="BS39" s="87"/>
      <c r="BT39" s="87"/>
      <c r="BV39" s="61"/>
      <c r="BW39" s="60"/>
      <c r="BX39" s="88"/>
      <c r="BY39" s="88"/>
      <c r="BZ39" s="68" t="b">
        <f>IF(CC56=15,10)</f>
        <v>0</v>
      </c>
      <c r="CB39" s="91"/>
      <c r="CC39" s="655"/>
      <c r="CD39" s="91"/>
      <c r="CF39" s="63" t="b">
        <f>IF(CC56=15,16)</f>
        <v>0</v>
      </c>
      <c r="CG39" s="55"/>
    </row>
    <row r="40" spans="2:95" ht="45" hidden="1" customHeight="1" thickBot="1" x14ac:dyDescent="0.35">
      <c r="E40" s="260"/>
      <c r="F40" s="260"/>
      <c r="G40" s="260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U40" s="67"/>
      <c r="V40" s="263"/>
      <c r="W40" s="263"/>
      <c r="X40" s="263"/>
      <c r="Y40" s="263"/>
      <c r="Z40" s="263"/>
      <c r="AA40" s="263"/>
      <c r="AB40" s="67"/>
      <c r="AC40" s="67"/>
      <c r="AD40" s="67"/>
      <c r="AE40" s="67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  <c r="AS40" s="263"/>
      <c r="AT40" s="263"/>
      <c r="AU40" s="263"/>
      <c r="AV40" s="263"/>
      <c r="AW40" s="263"/>
      <c r="AX40" s="263"/>
      <c r="AY40" s="263"/>
      <c r="AZ40" s="263"/>
      <c r="BA40" s="263"/>
      <c r="BB40" s="74"/>
      <c r="BC40" s="74"/>
      <c r="BD40" s="74"/>
      <c r="BE40" s="74"/>
      <c r="BM40" s="85"/>
      <c r="BN40" s="90"/>
      <c r="BO40" s="87"/>
      <c r="BP40" s="87"/>
      <c r="BQ40" s="87"/>
      <c r="BR40" s="87"/>
      <c r="BT40" s="87"/>
      <c r="BU40" s="87"/>
      <c r="BV40" s="61"/>
      <c r="BX40" s="68" t="b">
        <f>IF(CB56=14,8)</f>
        <v>0</v>
      </c>
      <c r="BZ40" s="652"/>
      <c r="CA40" s="653"/>
      <c r="CB40" s="654"/>
      <c r="CC40" s="653"/>
      <c r="CD40" s="653"/>
      <c r="CF40" s="72" t="b">
        <f>IF(CB56=14,16)</f>
        <v>0</v>
      </c>
      <c r="CG40" s="55"/>
    </row>
    <row r="41" spans="2:95" ht="29.25" hidden="1" customHeight="1" thickBot="1" x14ac:dyDescent="0.35">
      <c r="E41" s="260"/>
      <c r="F41" s="260"/>
      <c r="G41" s="260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U41" s="67"/>
      <c r="V41" s="263"/>
      <c r="W41" s="263"/>
      <c r="X41" s="263"/>
      <c r="Y41" s="263"/>
      <c r="Z41" s="263"/>
      <c r="AA41" s="263"/>
      <c r="AB41" s="67"/>
      <c r="AC41" s="67"/>
      <c r="AD41" s="67"/>
      <c r="AE41" s="67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74"/>
      <c r="BC41" s="74"/>
      <c r="BD41" s="74"/>
      <c r="BE41" s="74"/>
      <c r="BM41" s="85"/>
      <c r="BN41" s="90"/>
      <c r="BO41" s="86"/>
      <c r="BP41" s="85"/>
      <c r="BR41" s="85"/>
      <c r="BS41" s="85"/>
      <c r="BT41" s="85"/>
      <c r="BU41" s="85"/>
      <c r="BV41" s="85"/>
      <c r="BW41" s="68" t="b">
        <f>IF(CA56=13,7)</f>
        <v>0</v>
      </c>
      <c r="BX41" s="93"/>
      <c r="BY41" s="93"/>
      <c r="BZ41" s="69"/>
      <c r="CA41" s="646"/>
      <c r="CB41" s="69"/>
      <c r="CC41" s="69"/>
      <c r="CD41" s="66"/>
      <c r="CE41" s="63" t="b">
        <f>IF(CA56=13,15)</f>
        <v>0</v>
      </c>
      <c r="CG41" s="47"/>
    </row>
    <row r="42" spans="2:95" ht="44.25" hidden="1" customHeight="1" thickBot="1" x14ac:dyDescent="0.35">
      <c r="E42" s="260"/>
      <c r="F42" s="260"/>
      <c r="G42" s="260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U42" s="67"/>
      <c r="V42" s="263"/>
      <c r="W42" s="263"/>
      <c r="X42" s="263"/>
      <c r="Y42" s="263"/>
      <c r="Z42" s="263"/>
      <c r="AA42" s="263"/>
      <c r="AB42" s="67"/>
      <c r="AC42" s="67"/>
      <c r="AD42" s="67"/>
      <c r="AE42" s="67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74"/>
      <c r="BC42" s="74"/>
      <c r="BD42" s="74"/>
      <c r="BE42" s="74"/>
      <c r="BM42" s="85"/>
      <c r="BN42" s="90"/>
      <c r="BP42" s="85"/>
      <c r="BQ42" s="85"/>
      <c r="BR42" s="85"/>
      <c r="BS42" s="85"/>
      <c r="BT42" s="68" t="b">
        <f>IF(BZ56=12,6)</f>
        <v>0</v>
      </c>
      <c r="BV42" s="93"/>
      <c r="BW42" s="93"/>
      <c r="BX42" s="69"/>
      <c r="BY42" s="93"/>
      <c r="BZ42" s="646"/>
      <c r="CA42" s="93"/>
      <c r="CB42" s="69"/>
      <c r="CC42" s="69"/>
      <c r="CD42" s="66"/>
      <c r="CF42" s="63" t="b">
        <f>IF(BZ56=12,16)</f>
        <v>0</v>
      </c>
      <c r="CG42" s="47"/>
    </row>
    <row r="43" spans="2:95" ht="45" hidden="1" customHeight="1" thickBot="1" x14ac:dyDescent="0.35">
      <c r="E43" s="260"/>
      <c r="F43" s="260"/>
      <c r="G43" s="260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67"/>
      <c r="V43" s="263"/>
      <c r="W43" s="263"/>
      <c r="X43" s="263"/>
      <c r="Y43" s="263"/>
      <c r="Z43" s="263"/>
      <c r="AA43" s="263"/>
      <c r="AB43" s="67"/>
      <c r="AC43" s="67"/>
      <c r="AD43" s="67"/>
      <c r="AE43" s="67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74"/>
      <c r="BC43" s="74"/>
      <c r="BD43" s="74"/>
      <c r="BE43" s="74"/>
      <c r="BM43" s="85"/>
      <c r="BN43" s="90"/>
      <c r="BP43" s="85"/>
      <c r="BQ43" s="85"/>
      <c r="BR43" s="68" t="b">
        <f>IF(BY56=11,4)</f>
        <v>0</v>
      </c>
      <c r="BT43" s="93"/>
      <c r="BU43" s="93"/>
      <c r="BV43" s="69"/>
      <c r="BW43" s="93"/>
      <c r="BX43" s="69"/>
      <c r="BY43" s="651"/>
      <c r="BZ43" s="69"/>
      <c r="CA43" s="93"/>
      <c r="CB43" s="69"/>
      <c r="CC43" s="69"/>
      <c r="CD43" s="66"/>
      <c r="CF43" s="63" t="b">
        <f>IF(BY56=11,16)</f>
        <v>0</v>
      </c>
      <c r="CG43" s="47"/>
    </row>
    <row r="44" spans="2:95" ht="15.95" hidden="1" customHeight="1" thickBot="1" x14ac:dyDescent="0.35">
      <c r="E44" s="260"/>
      <c r="F44" s="260"/>
      <c r="G44" s="260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67"/>
      <c r="V44" s="263"/>
      <c r="W44" s="263"/>
      <c r="X44" s="263"/>
      <c r="Y44" s="263"/>
      <c r="Z44" s="263"/>
      <c r="AA44" s="263"/>
      <c r="AB44" s="67"/>
      <c r="AC44" s="67"/>
      <c r="AD44" s="67"/>
      <c r="AE44" s="67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74"/>
      <c r="BC44" s="74"/>
      <c r="BD44" s="74"/>
      <c r="BE44" s="74"/>
      <c r="BM44" s="85"/>
      <c r="BN44" s="90"/>
      <c r="BP44" s="68" t="b">
        <f>IF(BX56=10,2)</f>
        <v>0</v>
      </c>
      <c r="BR44" s="93"/>
      <c r="BS44" s="93"/>
      <c r="BT44" s="69"/>
      <c r="BU44" s="69"/>
      <c r="BV44" s="69"/>
      <c r="BW44" s="93"/>
      <c r="BX44" s="646"/>
      <c r="BY44" s="93"/>
      <c r="BZ44" s="69"/>
      <c r="CA44" s="93"/>
      <c r="CB44" s="69"/>
      <c r="CC44" s="69"/>
      <c r="CD44" s="66"/>
      <c r="CF44" s="63" t="b">
        <f>IF(BX56=10,16)</f>
        <v>0</v>
      </c>
    </row>
    <row r="45" spans="2:95" ht="47.25" hidden="1" customHeight="1" thickBot="1" x14ac:dyDescent="0.35">
      <c r="BB45" s="74"/>
      <c r="BC45" s="74"/>
      <c r="BD45" s="74"/>
      <c r="BE45" s="74"/>
      <c r="BM45" s="85"/>
      <c r="BN45" s="90"/>
      <c r="BO45" s="68" t="b">
        <f>IF(BW56=9,1)</f>
        <v>0</v>
      </c>
      <c r="BP45" s="93"/>
      <c r="BQ45" s="93"/>
      <c r="BR45" s="69"/>
      <c r="BS45" s="93"/>
      <c r="BT45" s="93"/>
      <c r="BU45" s="93"/>
      <c r="BV45" s="93"/>
      <c r="BW45" s="646"/>
      <c r="BX45" s="93"/>
      <c r="BY45" s="93"/>
      <c r="BZ45" s="93"/>
      <c r="CA45" s="93"/>
      <c r="CB45" s="69"/>
      <c r="CC45" s="69"/>
      <c r="CD45" s="66"/>
      <c r="CE45" s="63" t="b">
        <f>IF(BW56=9,15)</f>
        <v>0</v>
      </c>
      <c r="CF45" s="47"/>
      <c r="CG45" s="47"/>
      <c r="CP45" s="47"/>
      <c r="CQ45" s="47"/>
    </row>
    <row r="46" spans="2:95" ht="47.25" hidden="1" customHeight="1" thickBot="1" x14ac:dyDescent="0.35">
      <c r="BB46" s="74"/>
      <c r="BC46" s="74"/>
      <c r="BD46" s="74"/>
      <c r="BE46" s="74"/>
      <c r="BM46" s="85"/>
      <c r="BN46" s="90"/>
      <c r="BO46" s="70">
        <f>IF(BV56=8,1)</f>
        <v>1</v>
      </c>
      <c r="BQ46" s="94"/>
      <c r="BR46" s="94"/>
      <c r="BS46" s="94"/>
      <c r="BT46" s="94"/>
      <c r="BU46" s="94"/>
      <c r="BV46" s="648"/>
      <c r="BW46" s="94"/>
      <c r="BX46" s="94"/>
      <c r="BY46" s="94"/>
      <c r="BZ46" s="94"/>
      <c r="CA46" s="94"/>
      <c r="CB46" s="71"/>
      <c r="CC46" s="72">
        <f>IF(BV56=8,13)</f>
        <v>13</v>
      </c>
      <c r="CD46" s="47"/>
      <c r="CE46" s="47"/>
      <c r="CF46" s="47"/>
      <c r="CG46" s="47"/>
      <c r="CP46" s="47"/>
      <c r="CQ46" s="47"/>
    </row>
    <row r="47" spans="2:95" ht="21" hidden="1" thickBot="1" x14ac:dyDescent="0.35">
      <c r="BB47" s="74"/>
      <c r="BC47" s="74"/>
      <c r="BD47" s="74"/>
      <c r="BE47" s="74"/>
      <c r="BM47" s="85"/>
      <c r="BN47" s="90"/>
      <c r="BO47" s="70" t="b">
        <f>IF(BU56=7,1)</f>
        <v>0</v>
      </c>
      <c r="BP47" s="94"/>
      <c r="BQ47" s="94"/>
      <c r="BS47" s="94"/>
      <c r="BT47" s="94"/>
      <c r="BU47" s="647"/>
      <c r="BV47" s="94"/>
      <c r="BW47" s="94"/>
      <c r="BY47" s="94"/>
      <c r="BZ47" s="94"/>
      <c r="CA47" s="72" t="b">
        <f>IF(BU56=7,11)</f>
        <v>0</v>
      </c>
      <c r="CB47" s="86"/>
      <c r="CD47" s="47"/>
      <c r="CE47" s="47"/>
      <c r="CF47" s="47"/>
      <c r="CG47" s="47"/>
      <c r="CP47" s="47"/>
      <c r="CQ47" s="47"/>
    </row>
    <row r="48" spans="2:95" ht="48" hidden="1" customHeight="1" thickBot="1" x14ac:dyDescent="0.35">
      <c r="BB48" s="74"/>
      <c r="BC48" s="74"/>
      <c r="BD48" s="74"/>
      <c r="BE48" s="74"/>
      <c r="BM48" s="85"/>
      <c r="BN48" s="90"/>
      <c r="BO48" s="70" t="b">
        <f>IF(BT56=6,1)</f>
        <v>0</v>
      </c>
      <c r="BQ48" s="94"/>
      <c r="BR48" s="94"/>
      <c r="BS48" s="94"/>
      <c r="BT48" s="647"/>
      <c r="BU48" s="94"/>
      <c r="BV48" s="94"/>
      <c r="BW48" s="94"/>
      <c r="BY48" s="72" t="b">
        <f>IF(BT56=6,9)</f>
        <v>0</v>
      </c>
      <c r="BZ48" s="85"/>
      <c r="CA48" s="85"/>
      <c r="CB48" s="86"/>
      <c r="CD48" s="47"/>
      <c r="CE48" s="47"/>
      <c r="CF48" s="47"/>
      <c r="CG48" s="47"/>
      <c r="CP48" s="47"/>
      <c r="CQ48" s="47"/>
    </row>
    <row r="49" spans="54:95" ht="36" hidden="1" customHeight="1" thickBot="1" x14ac:dyDescent="0.35">
      <c r="BB49" s="74"/>
      <c r="BC49" s="74"/>
      <c r="BD49" s="74"/>
      <c r="BE49" s="74"/>
      <c r="BM49" s="85"/>
      <c r="BN49" s="90"/>
      <c r="BO49" s="68" t="b">
        <f>IF(BS56=5,1)</f>
        <v>0</v>
      </c>
      <c r="BP49" s="93"/>
      <c r="BQ49" s="93"/>
      <c r="BR49" s="69"/>
      <c r="BS49" s="646"/>
      <c r="BT49" s="69"/>
      <c r="BU49" s="93"/>
      <c r="BV49" s="93"/>
      <c r="BW49" s="63" t="b">
        <f>IF(BS56=5,7)</f>
        <v>0</v>
      </c>
      <c r="BX49" s="85"/>
      <c r="BY49" s="85"/>
      <c r="BZ49" s="85"/>
      <c r="CA49" s="85"/>
      <c r="CB49" s="86"/>
      <c r="CD49" s="47"/>
      <c r="CE49" s="47"/>
      <c r="CF49" s="47"/>
      <c r="CG49" s="47"/>
      <c r="CP49" s="47"/>
      <c r="CQ49" s="47"/>
    </row>
    <row r="50" spans="54:95" ht="21" hidden="1" thickBot="1" x14ac:dyDescent="0.35">
      <c r="BB50" s="74"/>
      <c r="BC50" s="74"/>
      <c r="BD50" s="74"/>
      <c r="BE50" s="74"/>
      <c r="BM50" s="85"/>
      <c r="BN50" s="90"/>
      <c r="BP50" s="68" t="b">
        <f>IF(BR56=4,2)</f>
        <v>0</v>
      </c>
      <c r="BQ50" s="69"/>
      <c r="BR50" s="646"/>
      <c r="BS50" s="69"/>
      <c r="BT50" s="63" t="b">
        <f>IF(BR56=4,6)</f>
        <v>0</v>
      </c>
      <c r="BV50" s="85"/>
      <c r="BW50" s="85"/>
      <c r="BX50" s="85"/>
      <c r="BY50" s="85"/>
      <c r="BZ50" s="85"/>
      <c r="CA50" s="85"/>
      <c r="CB50" s="86"/>
      <c r="CD50" s="47"/>
      <c r="CE50" s="47"/>
      <c r="CF50" s="47"/>
      <c r="CG50" s="47"/>
      <c r="CP50" s="47"/>
      <c r="CQ50" s="47"/>
    </row>
    <row r="51" spans="54:95" ht="21" hidden="1" thickBot="1" x14ac:dyDescent="0.35">
      <c r="BB51" s="74"/>
      <c r="BC51" s="74"/>
      <c r="BD51" s="74"/>
      <c r="BE51" s="74"/>
      <c r="BM51" s="85"/>
      <c r="BN51" s="90"/>
      <c r="BO51" s="70" t="b">
        <f>IF(BQ56=3,1)</f>
        <v>0</v>
      </c>
      <c r="BP51" s="94"/>
      <c r="BQ51" s="647"/>
      <c r="BR51" s="94"/>
      <c r="BS51" s="72" t="b">
        <f>IF(BQ56=3,5)</f>
        <v>0</v>
      </c>
      <c r="BT51" s="85"/>
      <c r="BU51" s="85"/>
      <c r="BV51" s="85"/>
      <c r="BW51" s="85"/>
      <c r="BX51" s="85"/>
      <c r="BY51" s="85"/>
      <c r="BZ51" s="85"/>
      <c r="CA51" s="85"/>
      <c r="CB51" s="86"/>
      <c r="CD51" s="47"/>
      <c r="CE51" s="47"/>
      <c r="CF51" s="47"/>
      <c r="CG51" s="47"/>
      <c r="CP51" s="47"/>
      <c r="CQ51" s="47"/>
    </row>
    <row r="52" spans="54:95" ht="21" hidden="1" thickBot="1" x14ac:dyDescent="0.35">
      <c r="BB52" s="74"/>
      <c r="BC52" s="74"/>
      <c r="BD52" s="74"/>
      <c r="BE52" s="74"/>
      <c r="BM52" s="85"/>
      <c r="BN52" s="90"/>
      <c r="BO52" s="70" t="b">
        <f>IF(BP56=2,1)</f>
        <v>0</v>
      </c>
      <c r="BP52" s="94"/>
      <c r="BQ52" s="72" t="b">
        <f>IF(BP56=2,3)</f>
        <v>0</v>
      </c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6"/>
      <c r="CD52" s="47"/>
      <c r="CE52" s="47"/>
      <c r="CF52" s="47"/>
      <c r="CG52" s="47"/>
      <c r="CP52" s="47"/>
      <c r="CQ52" s="47"/>
    </row>
    <row r="53" spans="54:95" ht="21" customHeight="1" thickBot="1" x14ac:dyDescent="0.35">
      <c r="BB53" s="74"/>
      <c r="BC53" s="74"/>
      <c r="BD53" s="74"/>
      <c r="BE53" s="74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6"/>
      <c r="BZ53" s="64"/>
      <c r="CA53" s="64"/>
      <c r="CB53" s="64"/>
      <c r="CD53" s="47"/>
      <c r="CE53" s="47"/>
      <c r="CF53" s="47"/>
      <c r="CG53" s="47"/>
      <c r="CP53" s="47"/>
      <c r="CQ53" s="47"/>
    </row>
    <row r="54" spans="54:95" ht="39.950000000000003" customHeight="1" thickBot="1" x14ac:dyDescent="0.4">
      <c r="BB54" s="74"/>
      <c r="BC54" s="74"/>
      <c r="BD54" s="74"/>
      <c r="BE54" s="74"/>
      <c r="BF54" s="74"/>
      <c r="BH54" s="74"/>
      <c r="BI54" s="74"/>
      <c r="BJ54" s="74"/>
      <c r="BM54" s="467" t="s">
        <v>92</v>
      </c>
      <c r="BN54" s="47"/>
      <c r="BO54" s="81">
        <f t="shared" ref="BO54:CF54" si="0">SUM(BO37:BO53)</f>
        <v>1</v>
      </c>
      <c r="BP54" s="82">
        <f t="shared" si="0"/>
        <v>0</v>
      </c>
      <c r="BQ54" s="82">
        <f t="shared" si="0"/>
        <v>0</v>
      </c>
      <c r="BR54" s="82">
        <f t="shared" si="0"/>
        <v>0</v>
      </c>
      <c r="BS54" s="82">
        <f t="shared" si="0"/>
        <v>0</v>
      </c>
      <c r="BT54" s="82">
        <f t="shared" si="0"/>
        <v>0</v>
      </c>
      <c r="BU54" s="82">
        <f t="shared" si="0"/>
        <v>0</v>
      </c>
      <c r="BV54" s="82">
        <f t="shared" si="0"/>
        <v>0</v>
      </c>
      <c r="BW54" s="82">
        <f t="shared" si="0"/>
        <v>0</v>
      </c>
      <c r="BX54" s="82">
        <f t="shared" si="0"/>
        <v>0</v>
      </c>
      <c r="BY54" s="82">
        <f t="shared" si="0"/>
        <v>0</v>
      </c>
      <c r="BZ54" s="82">
        <f t="shared" si="0"/>
        <v>0</v>
      </c>
      <c r="CA54" s="82">
        <f t="shared" si="0"/>
        <v>0</v>
      </c>
      <c r="CB54" s="82">
        <f t="shared" si="0"/>
        <v>0</v>
      </c>
      <c r="CC54" s="82">
        <f t="shared" si="0"/>
        <v>13</v>
      </c>
      <c r="CD54" s="82">
        <f t="shared" si="0"/>
        <v>0</v>
      </c>
      <c r="CE54" s="82">
        <f t="shared" si="0"/>
        <v>0</v>
      </c>
      <c r="CF54" s="83">
        <f t="shared" si="0"/>
        <v>0</v>
      </c>
      <c r="CG54" s="84"/>
      <c r="CP54" s="47"/>
      <c r="CQ54" s="47"/>
    </row>
    <row r="55" spans="54:95" ht="21" customHeight="1" thickBot="1" x14ac:dyDescent="0.35">
      <c r="BB55" s="74"/>
      <c r="BC55" s="74"/>
      <c r="BD55" s="74"/>
      <c r="BE55" s="74"/>
      <c r="BF55" s="74"/>
      <c r="BG55" s="74"/>
      <c r="BH55" s="74"/>
      <c r="BI55" s="74"/>
      <c r="BM55" s="97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47"/>
      <c r="CG55" s="47"/>
      <c r="CP55" s="47"/>
      <c r="CQ55" s="47"/>
    </row>
    <row r="56" spans="54:95" ht="21" hidden="1" customHeight="1" x14ac:dyDescent="0.3">
      <c r="BB56" s="74"/>
      <c r="BC56" s="74"/>
      <c r="BD56" s="74"/>
      <c r="BE56" s="74"/>
      <c r="BF56" s="74"/>
      <c r="BG56" s="74"/>
      <c r="BH56" s="74"/>
      <c r="BI56" s="74"/>
      <c r="BJ56" s="74"/>
      <c r="BM56" s="45"/>
      <c r="BN56" s="47"/>
      <c r="BO56" s="98" t="b">
        <f>+BV154</f>
        <v>0</v>
      </c>
      <c r="BP56" s="98" t="b">
        <f>+BV155</f>
        <v>0</v>
      </c>
      <c r="BQ56" s="98" t="b">
        <f>+BV156</f>
        <v>0</v>
      </c>
      <c r="BR56" s="98" t="b">
        <f>+BV157</f>
        <v>0</v>
      </c>
      <c r="BS56" s="98" t="b">
        <f>+BV158</f>
        <v>0</v>
      </c>
      <c r="BT56" s="98" t="b">
        <f>+BV159</f>
        <v>0</v>
      </c>
      <c r="BU56" s="377" t="b">
        <f>+BV160</f>
        <v>0</v>
      </c>
      <c r="BV56" s="377">
        <f>+BV161</f>
        <v>8</v>
      </c>
      <c r="BW56" s="98" t="b">
        <f>+BV162</f>
        <v>0</v>
      </c>
      <c r="BX56" s="98" t="b">
        <f>+BV163</f>
        <v>0</v>
      </c>
      <c r="BY56" s="98" t="b">
        <f>+BV164</f>
        <v>0</v>
      </c>
      <c r="BZ56" s="98" t="b">
        <f>+BV165</f>
        <v>0</v>
      </c>
      <c r="CA56" s="98" t="b">
        <f>+BV166</f>
        <v>0</v>
      </c>
      <c r="CB56" s="98" t="b">
        <f>+BV167</f>
        <v>0</v>
      </c>
      <c r="CC56" s="98" t="b">
        <f>+BV168</f>
        <v>0</v>
      </c>
      <c r="CD56" s="98" t="b">
        <f>+BV169</f>
        <v>0</v>
      </c>
      <c r="CE56" s="98" t="b">
        <f>+BV170</f>
        <v>0</v>
      </c>
      <c r="CF56" s="649" t="b">
        <f>+BV171</f>
        <v>0</v>
      </c>
      <c r="CG56" s="99"/>
      <c r="CP56" s="47"/>
      <c r="CQ56" s="47"/>
    </row>
    <row r="57" spans="54:95" ht="21" hidden="1" customHeight="1" x14ac:dyDescent="0.3">
      <c r="BB57" s="74"/>
      <c r="BC57" s="74"/>
      <c r="BD57" s="74"/>
      <c r="BE57" s="74"/>
      <c r="BF57" s="74"/>
      <c r="BG57" s="74"/>
      <c r="BH57" s="74"/>
      <c r="BI57" s="74"/>
      <c r="BJ57" s="74"/>
      <c r="BM57" s="46"/>
      <c r="BN57" s="99"/>
      <c r="BO57" s="99" t="b">
        <f>+BO56</f>
        <v>0</v>
      </c>
      <c r="BP57" s="99" t="b">
        <f>+BP56</f>
        <v>0</v>
      </c>
      <c r="BQ57" s="99" t="b">
        <f>+BQ56</f>
        <v>0</v>
      </c>
      <c r="BR57" s="99" t="b">
        <f>+BR56</f>
        <v>0</v>
      </c>
      <c r="BS57" s="99" t="b">
        <f>+BS56</f>
        <v>0</v>
      </c>
      <c r="BT57" s="99" t="b">
        <f t="shared" ref="BT57:BV57" si="1">+BT56</f>
        <v>0</v>
      </c>
      <c r="BU57" s="378" t="b">
        <f t="shared" si="1"/>
        <v>0</v>
      </c>
      <c r="BV57" s="378">
        <f t="shared" si="1"/>
        <v>8</v>
      </c>
      <c r="BW57" s="99" t="b">
        <f>+BW56</f>
        <v>0</v>
      </c>
      <c r="BX57" s="99" t="b">
        <f>+BX56</f>
        <v>0</v>
      </c>
      <c r="BY57" s="99" t="b">
        <f t="shared" ref="BY57:CF57" si="2">+BY56</f>
        <v>0</v>
      </c>
      <c r="BZ57" s="99" t="b">
        <f t="shared" si="2"/>
        <v>0</v>
      </c>
      <c r="CA57" s="99" t="b">
        <f t="shared" si="2"/>
        <v>0</v>
      </c>
      <c r="CB57" s="99" t="b">
        <f t="shared" si="2"/>
        <v>0</v>
      </c>
      <c r="CC57" s="99" t="b">
        <f t="shared" si="2"/>
        <v>0</v>
      </c>
      <c r="CD57" s="99" t="b">
        <f t="shared" si="2"/>
        <v>0</v>
      </c>
      <c r="CE57" s="99" t="b">
        <f t="shared" si="2"/>
        <v>0</v>
      </c>
      <c r="CF57" s="99" t="b">
        <f t="shared" si="2"/>
        <v>0</v>
      </c>
      <c r="CG57" s="99"/>
      <c r="CP57" s="47"/>
      <c r="CQ57" s="47"/>
    </row>
    <row r="58" spans="54:95" ht="21" hidden="1" customHeight="1" thickBot="1" x14ac:dyDescent="0.35">
      <c r="BB58" s="74"/>
      <c r="BC58" s="74"/>
      <c r="BD58" s="74"/>
      <c r="BE58" s="74"/>
      <c r="BF58" s="74"/>
      <c r="BG58" s="74"/>
      <c r="BH58" s="74"/>
      <c r="BI58" s="74"/>
      <c r="BJ58" s="74"/>
      <c r="BM58" s="46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P58" s="47"/>
      <c r="CQ58" s="47"/>
    </row>
    <row r="59" spans="54:95" ht="39.950000000000003" customHeight="1" thickBot="1" x14ac:dyDescent="0.4">
      <c r="BB59" s="74"/>
      <c r="BC59" s="74"/>
      <c r="BD59" s="74"/>
      <c r="BE59" s="74"/>
      <c r="BF59" s="74"/>
      <c r="BG59" s="74"/>
      <c r="BH59" s="74"/>
      <c r="BI59" s="74"/>
      <c r="BJ59" s="74"/>
      <c r="BM59" s="100" t="s">
        <v>80</v>
      </c>
      <c r="BN59" s="14" t="str">
        <f>IF(BN57=11,"7","")</f>
        <v/>
      </c>
      <c r="BO59" s="464" t="str">
        <f>IF(BO57=1,"1","")</f>
        <v/>
      </c>
      <c r="BP59" s="465" t="str">
        <f>IF(BP57=2,"2","")</f>
        <v/>
      </c>
      <c r="BQ59" s="465" t="str">
        <f>IF(BQ57=3,"3","")</f>
        <v/>
      </c>
      <c r="BR59" s="465" t="str">
        <f>IF(BR57=4,"4","")</f>
        <v/>
      </c>
      <c r="BS59" s="465" t="str">
        <f>IF(BS57=5,"5","")</f>
        <v/>
      </c>
      <c r="BT59" s="465" t="str">
        <f>IF(BT57=6,"6","")</f>
        <v/>
      </c>
      <c r="BU59" s="465" t="str">
        <f>IF(BU57=7,"X","")</f>
        <v/>
      </c>
      <c r="BV59" s="465" t="str">
        <f>IF(BV57=8,"X","")</f>
        <v>X</v>
      </c>
      <c r="BW59" s="465" t="str">
        <f>IF(BW57=9,"7","")</f>
        <v/>
      </c>
      <c r="BX59" s="465" t="str">
        <f>IF(BX57=10,"8","")</f>
        <v/>
      </c>
      <c r="BY59" s="465" t="str">
        <f>IF(BY57=11,"9","")</f>
        <v/>
      </c>
      <c r="BZ59" s="465" t="str">
        <f>IF(BZ57=12,"10","")</f>
        <v/>
      </c>
      <c r="CA59" s="465" t="str">
        <f>IF(CA57=13,"11","")</f>
        <v/>
      </c>
      <c r="CB59" s="465" t="str">
        <f>IF(CB57=14,"12","")</f>
        <v/>
      </c>
      <c r="CC59" s="465" t="str">
        <f>IF(CC57=15,"13","")</f>
        <v/>
      </c>
      <c r="CD59" s="465" t="str">
        <f>IF(CD57=16,"14","")</f>
        <v/>
      </c>
      <c r="CE59" s="465" t="str">
        <f>IF(CE57=17,"15","")</f>
        <v/>
      </c>
      <c r="CF59" s="466" t="str">
        <f>IF(CF57=18,"16","")</f>
        <v/>
      </c>
      <c r="CG59" s="650"/>
      <c r="CP59" s="47"/>
      <c r="CQ59" s="47"/>
    </row>
    <row r="60" spans="54:95" ht="21" customHeight="1" x14ac:dyDescent="0.3">
      <c r="BB60" s="74"/>
      <c r="BC60" s="74"/>
      <c r="BD60" s="74"/>
      <c r="BE60" s="74"/>
      <c r="BF60" s="74"/>
      <c r="BG60" s="74"/>
      <c r="BH60" s="74"/>
      <c r="BI60" s="74"/>
      <c r="CP60" s="47"/>
      <c r="CQ60" s="47"/>
    </row>
    <row r="61" spans="54:95" ht="21" customHeight="1" x14ac:dyDescent="0.3">
      <c r="BB61" s="74"/>
      <c r="BC61" s="74"/>
      <c r="BD61" s="74"/>
      <c r="BE61" s="74"/>
      <c r="BF61" s="74"/>
      <c r="BG61" s="74"/>
      <c r="BH61" s="74"/>
      <c r="BI61" s="74"/>
      <c r="BJ61" s="74"/>
      <c r="CP61" s="47"/>
      <c r="CQ61" s="47"/>
    </row>
    <row r="62" spans="54:95" ht="21" customHeight="1" x14ac:dyDescent="0.3">
      <c r="BB62" s="74"/>
      <c r="BC62" s="74"/>
      <c r="BD62" s="74"/>
      <c r="BE62" s="74"/>
      <c r="CP62" s="47"/>
      <c r="CQ62" s="47"/>
    </row>
    <row r="63" spans="54:95" ht="21" customHeight="1" thickBot="1" x14ac:dyDescent="0.35">
      <c r="BB63" s="74"/>
      <c r="BC63" s="74"/>
      <c r="BD63" s="74"/>
      <c r="BE63" s="74"/>
      <c r="CP63" s="47"/>
      <c r="CQ63" s="47"/>
    </row>
    <row r="64" spans="54:95" ht="31.5" hidden="1" customHeight="1" x14ac:dyDescent="0.3">
      <c r="BB64" s="74"/>
      <c r="BC64" s="74"/>
      <c r="BD64" s="74"/>
      <c r="BE64" s="74"/>
      <c r="BM64" s="78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P64" s="47"/>
      <c r="CQ64" s="47"/>
    </row>
    <row r="65" spans="2:95" ht="50.25" hidden="1" customHeight="1" x14ac:dyDescent="0.25">
      <c r="BB65" s="74"/>
      <c r="BC65" s="74"/>
      <c r="BD65" s="74"/>
      <c r="BE65" s="74"/>
    </row>
    <row r="66" spans="2:95" ht="22.5" hidden="1" customHeight="1" x14ac:dyDescent="0.25">
      <c r="BB66" s="74"/>
      <c r="BC66" s="74"/>
      <c r="BD66" s="74"/>
      <c r="BE66" s="74"/>
    </row>
    <row r="67" spans="2:95" ht="22.5" hidden="1" customHeight="1" x14ac:dyDescent="0.25">
      <c r="BB67" s="74"/>
      <c r="BC67" s="74"/>
      <c r="BD67" s="74"/>
      <c r="BE67" s="74"/>
      <c r="BF67" s="74"/>
      <c r="BG67" s="74"/>
      <c r="BH67" s="74"/>
      <c r="BI67" s="74"/>
      <c r="BJ67" s="74"/>
    </row>
    <row r="68" spans="2:95" ht="22.5" hidden="1" customHeight="1" x14ac:dyDescent="0.25">
      <c r="BB68" s="74"/>
      <c r="BC68" s="74"/>
      <c r="BD68" s="74"/>
      <c r="BE68" s="74"/>
      <c r="BF68" s="74"/>
      <c r="BG68" s="74"/>
      <c r="BH68" s="74"/>
      <c r="BI68" s="74"/>
      <c r="BJ68" s="74"/>
    </row>
    <row r="69" spans="2:95" ht="31.5" hidden="1" customHeight="1" x14ac:dyDescent="0.25"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U69" s="107"/>
      <c r="BV69" s="107"/>
      <c r="BW69" s="105"/>
    </row>
    <row r="70" spans="2:95" ht="20.25" hidden="1" x14ac:dyDescent="0.3">
      <c r="B70" s="266"/>
      <c r="C70" s="266"/>
      <c r="D70" s="215"/>
      <c r="E70" s="215"/>
      <c r="F70" s="260"/>
      <c r="G70" s="260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67"/>
      <c r="V70" s="263"/>
      <c r="W70" s="263"/>
      <c r="X70" s="263"/>
      <c r="Y70" s="263"/>
      <c r="Z70" s="263"/>
      <c r="AA70" s="263"/>
      <c r="AB70" s="67"/>
      <c r="AC70" s="67"/>
      <c r="AD70" s="67"/>
      <c r="AE70" s="67"/>
      <c r="AF70" s="263"/>
      <c r="AG70" s="263"/>
      <c r="AH70" s="263"/>
      <c r="AI70" s="263"/>
      <c r="AJ70" s="263"/>
      <c r="AK70" s="263"/>
      <c r="AL70" s="263"/>
      <c r="AM70" s="263"/>
      <c r="AN70" s="263"/>
      <c r="AO70" s="263"/>
      <c r="AP70" s="263"/>
      <c r="AQ70" s="263"/>
      <c r="AR70" s="263"/>
      <c r="AS70" s="263"/>
      <c r="AT70" s="263"/>
      <c r="AU70" s="263"/>
      <c r="AV70" s="263"/>
      <c r="AW70" s="263"/>
      <c r="AX70" s="263"/>
      <c r="AY70" s="263"/>
      <c r="AZ70" s="263"/>
      <c r="BA70" s="263"/>
      <c r="BB70" s="74"/>
      <c r="BC70" s="74"/>
      <c r="BD70" s="74"/>
      <c r="BE70" s="74"/>
      <c r="BF70" s="74"/>
      <c r="BG70" s="74"/>
      <c r="BI70" s="108" t="s">
        <v>49</v>
      </c>
      <c r="BJ70" s="74"/>
      <c r="BK70" s="109"/>
      <c r="BL70" s="74"/>
      <c r="BU70" s="107"/>
      <c r="BV70" s="107"/>
      <c r="BW70" s="105"/>
      <c r="CE70" s="110"/>
      <c r="CG70" s="108" t="s">
        <v>48</v>
      </c>
      <c r="CH70" s="64"/>
      <c r="CI70" s="65"/>
      <c r="CJ70" s="47"/>
      <c r="CK70" s="47"/>
      <c r="CL70" s="47"/>
      <c r="CM70" s="47"/>
      <c r="CN70" s="47"/>
      <c r="CO70" s="47"/>
      <c r="CP70" s="47"/>
      <c r="CQ70" s="47"/>
    </row>
    <row r="71" spans="2:95" ht="20.25" hidden="1" x14ac:dyDescent="0.3">
      <c r="B71" s="214"/>
      <c r="C71" s="266"/>
      <c r="D71" s="214"/>
      <c r="E71" s="5"/>
      <c r="F71" s="260"/>
      <c r="G71" s="260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67"/>
      <c r="V71" s="263"/>
      <c r="W71" s="263"/>
      <c r="X71" s="263"/>
      <c r="Y71" s="263"/>
      <c r="Z71" s="263"/>
      <c r="AA71" s="263"/>
      <c r="AB71" s="67"/>
      <c r="AC71" s="67"/>
      <c r="AD71" s="67"/>
      <c r="AE71" s="67"/>
      <c r="AF71" s="263"/>
      <c r="AG71" s="263"/>
      <c r="AH71" s="263"/>
      <c r="AI71" s="263"/>
      <c r="AJ71" s="263"/>
      <c r="AK71" s="263"/>
      <c r="AL71" s="263"/>
      <c r="AM71" s="263"/>
      <c r="AN71" s="263"/>
      <c r="AO71" s="263"/>
      <c r="AP71" s="263"/>
      <c r="AQ71" s="263"/>
      <c r="AR71" s="263"/>
      <c r="AS71" s="263"/>
      <c r="AT71" s="263"/>
      <c r="AU71" s="263"/>
      <c r="AV71" s="263"/>
      <c r="AW71" s="263"/>
      <c r="AX71" s="263"/>
      <c r="AY71" s="263"/>
      <c r="AZ71" s="263"/>
      <c r="BA71" s="263"/>
      <c r="BB71" s="74"/>
      <c r="BC71" s="74"/>
      <c r="BD71" s="74"/>
      <c r="BE71" s="74"/>
      <c r="BF71" s="74"/>
      <c r="BG71" s="74"/>
      <c r="BH71" s="117"/>
      <c r="BI71" s="108">
        <f>-+BS154</f>
        <v>195.63666649162781</v>
      </c>
      <c r="BJ71" s="74"/>
      <c r="BK71" s="109"/>
      <c r="BL71" s="74"/>
      <c r="BU71" s="107"/>
      <c r="BV71" s="107"/>
      <c r="BW71" s="105"/>
      <c r="CC71" s="117"/>
      <c r="CE71" s="110"/>
      <c r="CG71" s="108">
        <f>+-BS171</f>
        <v>-314.36333350837219</v>
      </c>
      <c r="CP71" s="47"/>
      <c r="CQ71" s="47"/>
    </row>
    <row r="72" spans="2:95" ht="20.25" hidden="1" x14ac:dyDescent="0.3">
      <c r="B72" s="262"/>
      <c r="C72" s="262"/>
      <c r="D72" s="53"/>
      <c r="E72" s="53"/>
      <c r="F72" s="260"/>
      <c r="G72" s="260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67"/>
      <c r="V72" s="263"/>
      <c r="W72" s="263"/>
      <c r="X72" s="263"/>
      <c r="Y72" s="263"/>
      <c r="Z72" s="263"/>
      <c r="AA72" s="263"/>
      <c r="AB72" s="67"/>
      <c r="AC72" s="67"/>
      <c r="AD72" s="67"/>
      <c r="AE72" s="67"/>
      <c r="AF72" s="263"/>
      <c r="AG72" s="263"/>
      <c r="AH72" s="263"/>
      <c r="AI72" s="263"/>
      <c r="AJ72" s="263"/>
      <c r="AK72" s="263"/>
      <c r="AL72" s="263"/>
      <c r="AM72" s="263"/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J72" s="74"/>
      <c r="BK72" s="74"/>
      <c r="BL72" s="74"/>
      <c r="BU72" s="107"/>
      <c r="BV72" s="107"/>
      <c r="BW72" s="105"/>
      <c r="CP72" s="47"/>
      <c r="CQ72" s="47"/>
    </row>
    <row r="73" spans="2:95" ht="20.25" hidden="1" x14ac:dyDescent="0.3">
      <c r="B73" s="262"/>
      <c r="C73" s="262"/>
      <c r="D73" s="53"/>
      <c r="E73" s="53"/>
      <c r="F73" s="53"/>
      <c r="G73" s="260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67"/>
      <c r="V73" s="263"/>
      <c r="W73" s="263"/>
      <c r="X73" s="263"/>
      <c r="Y73" s="263"/>
      <c r="Z73" s="263"/>
      <c r="AA73" s="263"/>
      <c r="AB73" s="67"/>
      <c r="AC73" s="67"/>
      <c r="AD73" s="67"/>
      <c r="AE73" s="67"/>
      <c r="AF73" s="263"/>
      <c r="AG73" s="263"/>
      <c r="AH73" s="263"/>
      <c r="AI73" s="263"/>
      <c r="AJ73" s="263"/>
      <c r="AK73" s="263"/>
      <c r="AL73" s="263"/>
      <c r="AM73" s="263"/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J73" s="74"/>
      <c r="BK73" s="74"/>
      <c r="BL73" s="74"/>
      <c r="BU73" s="107"/>
      <c r="BV73" s="107"/>
      <c r="BW73" s="105"/>
      <c r="CP73" s="47"/>
      <c r="CQ73" s="47"/>
    </row>
    <row r="74" spans="2:95" ht="20.25" hidden="1" x14ac:dyDescent="0.3">
      <c r="B74" s="262"/>
      <c r="C74" s="262"/>
      <c r="G74" s="260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67"/>
      <c r="V74" s="263"/>
      <c r="W74" s="263"/>
      <c r="X74" s="263"/>
      <c r="Y74" s="263"/>
      <c r="Z74" s="263"/>
      <c r="AA74" s="263"/>
      <c r="AB74" s="67"/>
      <c r="AC74" s="67"/>
      <c r="AD74" s="67"/>
      <c r="AE74" s="67"/>
      <c r="AF74" s="263"/>
      <c r="AG74" s="263"/>
      <c r="AH74" s="263"/>
      <c r="AI74" s="263"/>
      <c r="AJ74" s="263"/>
      <c r="AK74" s="263"/>
      <c r="AL74" s="263"/>
      <c r="AM74" s="263"/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J74" s="74"/>
      <c r="BK74" s="74"/>
      <c r="BL74" s="74"/>
      <c r="CP74" s="47"/>
      <c r="CQ74" s="47"/>
    </row>
    <row r="75" spans="2:95" ht="20.25" hidden="1" x14ac:dyDescent="0.3">
      <c r="C75" s="67"/>
      <c r="G75" s="260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67"/>
      <c r="V75" s="263"/>
      <c r="W75" s="263"/>
      <c r="X75" s="263"/>
      <c r="Y75" s="263"/>
      <c r="Z75" s="263"/>
      <c r="AA75" s="263"/>
      <c r="AB75" s="67"/>
      <c r="AC75" s="67"/>
      <c r="AD75" s="67"/>
      <c r="AE75" s="67"/>
      <c r="AF75" s="263"/>
      <c r="AG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J75" s="74"/>
      <c r="BK75" s="74"/>
      <c r="BL75" s="74"/>
      <c r="CP75" s="47"/>
      <c r="CQ75" s="47"/>
    </row>
    <row r="76" spans="2:95" ht="21.75" hidden="1" x14ac:dyDescent="0.4">
      <c r="B76" s="267"/>
      <c r="C76" s="267"/>
      <c r="D76" s="268"/>
      <c r="E76" s="268"/>
      <c r="F76" s="268"/>
      <c r="G76" s="268"/>
      <c r="BJ76" s="120"/>
      <c r="BK76" s="120"/>
      <c r="BL76" s="120"/>
      <c r="CP76" s="47"/>
      <c r="CQ76" s="47"/>
    </row>
    <row r="77" spans="2:95" ht="21.75" hidden="1" x14ac:dyDescent="0.4">
      <c r="BJ77" s="120"/>
      <c r="BK77" s="120"/>
      <c r="BL77" s="120"/>
      <c r="CP77" s="47"/>
      <c r="CQ77" s="47"/>
    </row>
    <row r="78" spans="2:95" ht="21.75" hidden="1" x14ac:dyDescent="0.4">
      <c r="B78" s="20"/>
      <c r="BJ78" s="120"/>
      <c r="BK78" s="120"/>
      <c r="BL78" s="120"/>
      <c r="CC78" s="106"/>
      <c r="CD78" s="106"/>
      <c r="CE78" s="106"/>
      <c r="CF78" s="106"/>
      <c r="CG78" s="106"/>
      <c r="CP78" s="47"/>
      <c r="CQ78" s="47"/>
    </row>
    <row r="79" spans="2:95" ht="21.75" hidden="1" x14ac:dyDescent="0.4">
      <c r="B79" s="267"/>
      <c r="C79" s="267"/>
      <c r="D79" s="268"/>
      <c r="E79" s="268"/>
      <c r="F79" s="268"/>
      <c r="G79" s="268"/>
      <c r="BJ79" s="120"/>
      <c r="BK79" s="120"/>
      <c r="BL79" s="120"/>
      <c r="CP79" s="47"/>
      <c r="CQ79" s="47"/>
    </row>
    <row r="80" spans="2:95" ht="21.75" hidden="1" x14ac:dyDescent="0.4">
      <c r="B80" s="267"/>
      <c r="C80" s="267"/>
      <c r="D80" s="268"/>
      <c r="E80" s="268"/>
      <c r="F80" s="268"/>
      <c r="G80" s="268"/>
      <c r="BJ80" s="120"/>
      <c r="BK80" s="120"/>
      <c r="BL80" s="120"/>
      <c r="CP80" s="47"/>
      <c r="CQ80" s="47"/>
    </row>
    <row r="81" spans="2:95" ht="21.75" hidden="1" x14ac:dyDescent="0.4">
      <c r="BJ81" s="120"/>
      <c r="BK81" s="120"/>
      <c r="BL81" s="120"/>
      <c r="CP81" s="47"/>
      <c r="CQ81" s="47"/>
    </row>
    <row r="82" spans="2:95" ht="56.1" hidden="1" customHeight="1" x14ac:dyDescent="0.4">
      <c r="BJ82" s="120"/>
      <c r="BK82" s="120"/>
      <c r="BL82" s="120"/>
      <c r="CP82" s="47"/>
      <c r="CQ82" s="47"/>
    </row>
    <row r="83" spans="2:95" ht="45" hidden="1" customHeight="1" thickBot="1" x14ac:dyDescent="0.45">
      <c r="BJ83" s="120"/>
      <c r="BK83" s="120"/>
      <c r="BL83" s="120"/>
      <c r="CP83" s="47"/>
      <c r="CQ83" s="47"/>
    </row>
    <row r="84" spans="2:95" ht="45" customHeight="1" thickBot="1" x14ac:dyDescent="0.45">
      <c r="D84" s="468" t="str">
        <f>IF(BQ31&gt;90,"WLL of FRV-N-APS is exceeded","")</f>
        <v/>
      </c>
      <c r="E84" s="669"/>
      <c r="BJ84" s="120"/>
      <c r="BK84" s="120"/>
      <c r="BL84" s="120"/>
      <c r="BM84" s="692" t="str">
        <f>IF(BQ31&gt;90,"WLL=90kg","")</f>
        <v/>
      </c>
      <c r="CP84" s="47"/>
      <c r="CQ84" s="47"/>
    </row>
    <row r="85" spans="2:95" ht="41.25" customHeight="1" x14ac:dyDescent="0.4">
      <c r="B85" s="717" t="s">
        <v>101</v>
      </c>
      <c r="D85" s="726" t="str">
        <f>IF(BI71&gt;0," ","change the angle of frame")</f>
        <v xml:space="preserve"> </v>
      </c>
      <c r="E85" s="113"/>
      <c r="F85" s="113"/>
      <c r="G85" s="113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V85" s="264"/>
      <c r="W85" s="264"/>
      <c r="X85" s="264"/>
      <c r="Y85" s="264"/>
      <c r="Z85" s="264"/>
      <c r="AA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264"/>
      <c r="AQ85" s="264"/>
      <c r="AR85" s="264"/>
      <c r="AS85" s="264"/>
      <c r="AT85" s="264"/>
      <c r="AU85" s="264"/>
      <c r="AV85" s="264"/>
      <c r="AW85" s="264"/>
      <c r="AX85" s="264"/>
      <c r="AY85" s="264"/>
      <c r="AZ85" s="264"/>
      <c r="BA85" s="264"/>
      <c r="BJ85" s="120"/>
      <c r="BK85" s="120"/>
      <c r="BL85" s="120"/>
    </row>
    <row r="86" spans="2:95" ht="41.25" customHeight="1" thickBot="1" x14ac:dyDescent="0.45">
      <c r="B86" s="718"/>
      <c r="D86" s="727"/>
      <c r="E86" s="113"/>
      <c r="F86" s="113"/>
      <c r="G86" s="113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V86" s="269"/>
      <c r="W86" s="269"/>
      <c r="X86" s="269"/>
      <c r="Y86" s="269"/>
      <c r="Z86" s="269"/>
      <c r="AA86" s="269"/>
      <c r="AF86" s="265"/>
      <c r="AG86" s="265"/>
      <c r="AH86" s="265"/>
      <c r="AI86" s="265"/>
      <c r="AJ86" s="265"/>
      <c r="AK86" s="265"/>
      <c r="AL86" s="265"/>
      <c r="AM86" s="265"/>
      <c r="AN86" s="265"/>
      <c r="AO86" s="265"/>
      <c r="AP86" s="265"/>
      <c r="AQ86" s="265"/>
      <c r="AR86" s="265"/>
      <c r="AS86" s="265"/>
      <c r="AT86" s="265"/>
      <c r="AU86" s="265"/>
      <c r="AV86" s="265"/>
      <c r="AW86" s="265"/>
      <c r="AX86" s="265"/>
      <c r="AY86" s="265"/>
      <c r="AZ86" s="265"/>
      <c r="BA86" s="265"/>
      <c r="BJ86" s="120"/>
      <c r="BK86" s="120"/>
      <c r="BL86" s="120"/>
    </row>
    <row r="87" spans="2:95" ht="41.25" customHeight="1" thickBot="1" x14ac:dyDescent="0.45">
      <c r="B87" s="719"/>
      <c r="C87" s="118"/>
      <c r="D87" s="726" t="str">
        <f>IF(CG71&lt;0," ","change the angle of frame")</f>
        <v xml:space="preserve"> </v>
      </c>
      <c r="E87" s="113"/>
      <c r="F87" s="113"/>
      <c r="G87" s="113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264"/>
      <c r="AW87" s="264"/>
      <c r="AX87" s="264"/>
      <c r="AY87" s="264"/>
      <c r="AZ87" s="264"/>
      <c r="BA87" s="264"/>
      <c r="BJ87" s="120"/>
      <c r="BK87" s="120"/>
      <c r="BL87" s="120"/>
    </row>
    <row r="88" spans="2:95" ht="41.25" customHeight="1" thickBot="1" x14ac:dyDescent="0.45">
      <c r="B88" s="3">
        <v>0</v>
      </c>
      <c r="C88" s="118"/>
      <c r="D88" s="727"/>
      <c r="E88" s="113"/>
      <c r="F88" s="113"/>
      <c r="G88" s="113"/>
      <c r="AF88" s="264"/>
      <c r="AG88" s="264"/>
      <c r="AH88" s="264"/>
      <c r="AI88" s="264"/>
      <c r="AJ88" s="264"/>
      <c r="AK88" s="336" t="s">
        <v>102</v>
      </c>
      <c r="AL88" s="337"/>
      <c r="AM88" s="337"/>
      <c r="AN88" s="337"/>
      <c r="AO88" s="334" t="s">
        <v>126</v>
      </c>
      <c r="AP88" s="264"/>
      <c r="AQ88" s="264"/>
      <c r="AR88" s="264"/>
      <c r="AS88" s="264"/>
      <c r="AT88" s="264"/>
      <c r="AU88" s="264"/>
      <c r="AV88" s="264"/>
      <c r="AW88" s="264"/>
      <c r="AX88" s="264"/>
      <c r="AY88" s="264"/>
      <c r="AZ88" s="264"/>
      <c r="BA88" s="264"/>
      <c r="BJ88" s="120"/>
      <c r="BK88" s="120"/>
      <c r="BL88" s="120"/>
    </row>
    <row r="89" spans="2:95" ht="33.75" customHeight="1" thickBot="1" x14ac:dyDescent="0.45">
      <c r="AF89" s="264"/>
      <c r="AG89" s="264"/>
      <c r="AH89" s="264"/>
      <c r="AI89" s="264"/>
      <c r="AJ89" s="264"/>
      <c r="AK89" s="359" t="s">
        <v>85</v>
      </c>
      <c r="AL89" s="336" t="s">
        <v>86</v>
      </c>
      <c r="AM89" s="336" t="s">
        <v>87</v>
      </c>
      <c r="AN89" s="357" t="s">
        <v>103</v>
      </c>
      <c r="AO89" s="338" t="s">
        <v>89</v>
      </c>
      <c r="AP89" s="264"/>
      <c r="AQ89" s="264"/>
      <c r="AR89" s="264"/>
      <c r="AS89" s="264"/>
      <c r="AT89" s="264"/>
      <c r="AU89" s="264"/>
      <c r="AV89" s="264"/>
      <c r="AW89" s="264"/>
      <c r="AX89" s="264"/>
      <c r="AY89" s="264"/>
      <c r="AZ89" s="264"/>
      <c r="BA89" s="264"/>
      <c r="BJ89" s="120"/>
      <c r="BK89" s="120"/>
      <c r="BL89" s="120"/>
    </row>
    <row r="90" spans="2:95" ht="73.5" customHeight="1" thickBot="1" x14ac:dyDescent="0.45">
      <c r="B90" s="221" t="s">
        <v>108</v>
      </c>
      <c r="C90" s="270"/>
      <c r="D90" s="13"/>
      <c r="E90" s="13"/>
      <c r="F90" s="13"/>
      <c r="G90" s="13"/>
      <c r="T90" s="271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455">
        <v>3.1490949000000001</v>
      </c>
      <c r="AL90" s="336">
        <f>+$B$88-AK90</f>
        <v>-3.1490949000000001</v>
      </c>
      <c r="AM90" s="339">
        <f>COS(AL90*3.14159265358979/180)</f>
        <v>0.99848996537257584</v>
      </c>
      <c r="AN90" s="456">
        <f>+AM90*260.556</f>
        <v>260.16255141761684</v>
      </c>
      <c r="AO90" s="335">
        <f>+((AO94*AQ94)+(AN90*3.3))/(AQ94+3.3)</f>
        <v>235.64995296902359</v>
      </c>
      <c r="AP90" s="264"/>
      <c r="AQ90" s="264"/>
      <c r="AR90" s="264"/>
      <c r="AS90" s="264"/>
      <c r="AT90" s="264"/>
      <c r="AU90" s="264"/>
      <c r="AV90" s="264"/>
      <c r="AW90" s="264"/>
      <c r="AX90" s="264"/>
      <c r="AY90" s="264"/>
      <c r="AZ90" s="264"/>
      <c r="BA90" s="264"/>
      <c r="BJ90" s="120"/>
      <c r="BK90" s="120"/>
      <c r="BL90" s="120"/>
    </row>
    <row r="91" spans="2:95" ht="43.5" customHeight="1" thickBot="1" x14ac:dyDescent="0.45">
      <c r="B91" s="10">
        <v>1</v>
      </c>
      <c r="C91" s="121"/>
      <c r="D91" s="193"/>
      <c r="E91" s="213"/>
      <c r="F91" s="213"/>
      <c r="G91" s="213"/>
      <c r="H91" s="218" t="s">
        <v>60</v>
      </c>
      <c r="I91" s="218" t="s">
        <v>61</v>
      </c>
      <c r="J91" s="218" t="s">
        <v>62</v>
      </c>
      <c r="K91" s="14"/>
      <c r="L91" s="14"/>
      <c r="M91" s="14"/>
      <c r="N91" s="14"/>
      <c r="O91" s="14"/>
      <c r="P91" s="218" t="s">
        <v>63</v>
      </c>
      <c r="Q91" s="218" t="s">
        <v>64</v>
      </c>
      <c r="R91" s="213"/>
      <c r="S91" s="218" t="s">
        <v>65</v>
      </c>
      <c r="T91" s="272"/>
      <c r="W91" s="723" t="s">
        <v>66</v>
      </c>
      <c r="X91" s="723"/>
      <c r="Y91" s="723"/>
      <c r="Z91" s="723"/>
      <c r="AA91" s="723"/>
      <c r="AF91" s="264"/>
      <c r="AG91" s="264"/>
      <c r="AH91" s="264"/>
      <c r="AI91" s="264"/>
      <c r="AJ91" s="264"/>
      <c r="AK91" s="264"/>
      <c r="AL91" s="264"/>
      <c r="AM91" s="264"/>
      <c r="AN91" s="264"/>
      <c r="AO91" s="264"/>
      <c r="AP91" s="264"/>
      <c r="AQ91" s="264"/>
      <c r="AR91" s="264"/>
      <c r="AS91" s="264"/>
      <c r="AT91" s="264"/>
      <c r="AU91" s="264"/>
      <c r="AV91" s="264"/>
      <c r="AW91" s="264"/>
      <c r="AX91" s="264"/>
      <c r="AY91" s="273"/>
      <c r="AZ91" s="724" t="s">
        <v>44</v>
      </c>
      <c r="BA91" s="725"/>
      <c r="BJ91" s="120"/>
      <c r="BK91" s="120"/>
      <c r="BL91" s="120"/>
    </row>
    <row r="92" spans="2:95" ht="48.75" hidden="1" thickBot="1" x14ac:dyDescent="0.45">
      <c r="B92" s="274"/>
      <c r="C92" s="275"/>
      <c r="D92" s="446" t="s">
        <v>97</v>
      </c>
      <c r="E92" s="53"/>
      <c r="F92" s="53"/>
      <c r="G92" s="53"/>
      <c r="H92" s="231" t="s">
        <v>4</v>
      </c>
      <c r="I92" s="231" t="s">
        <v>1</v>
      </c>
      <c r="J92" s="248" t="s">
        <v>54</v>
      </c>
      <c r="K92" s="201" t="s">
        <v>2</v>
      </c>
      <c r="L92" s="201" t="s">
        <v>3</v>
      </c>
      <c r="M92" s="201" t="s">
        <v>8</v>
      </c>
      <c r="N92" s="201" t="s">
        <v>5</v>
      </c>
      <c r="O92" s="201" t="s">
        <v>6</v>
      </c>
      <c r="P92" s="201" t="s">
        <v>7</v>
      </c>
      <c r="Q92" s="201" t="s">
        <v>9</v>
      </c>
      <c r="R92" s="231" t="s">
        <v>10</v>
      </c>
      <c r="S92" s="201" t="s">
        <v>11</v>
      </c>
      <c r="T92" s="276" t="s">
        <v>12</v>
      </c>
      <c r="W92" s="231" t="s">
        <v>111</v>
      </c>
      <c r="X92" s="277" t="s">
        <v>67</v>
      </c>
      <c r="Y92" s="231" t="s">
        <v>112</v>
      </c>
      <c r="Z92" s="278" t="s">
        <v>68</v>
      </c>
      <c r="AA92" s="278" t="s">
        <v>69</v>
      </c>
      <c r="AC92" s="201" t="s">
        <v>70</v>
      </c>
      <c r="AD92" s="201"/>
      <c r="AE92" s="201"/>
      <c r="AF92" s="279"/>
      <c r="AG92" s="279"/>
      <c r="AH92" s="279"/>
      <c r="AI92" s="425" t="s">
        <v>90</v>
      </c>
      <c r="AJ92" s="425" t="s">
        <v>90</v>
      </c>
      <c r="AK92" s="425" t="s">
        <v>90</v>
      </c>
      <c r="AL92" s="425" t="s">
        <v>90</v>
      </c>
      <c r="AM92" s="425" t="s">
        <v>90</v>
      </c>
      <c r="AN92" s="425" t="s">
        <v>90</v>
      </c>
      <c r="AO92" s="279" t="s">
        <v>95</v>
      </c>
      <c r="AP92" s="279"/>
      <c r="AQ92" s="279" t="s">
        <v>115</v>
      </c>
      <c r="AR92" s="321"/>
      <c r="AS92" s="321"/>
      <c r="AT92" s="321"/>
      <c r="AU92" s="321"/>
      <c r="AV92" s="321"/>
      <c r="AW92" s="321"/>
      <c r="AX92" s="273"/>
      <c r="AY92" s="273"/>
      <c r="AZ92" s="279"/>
      <c r="BA92" s="279"/>
      <c r="BJ92" s="120"/>
      <c r="BK92" s="120"/>
      <c r="BL92" s="120"/>
    </row>
    <row r="93" spans="2:95" ht="70.5" hidden="1" customHeight="1" thickBot="1" x14ac:dyDescent="0.45">
      <c r="B93" s="280"/>
      <c r="C93" s="281"/>
      <c r="D93" s="224"/>
      <c r="E93" s="213"/>
      <c r="F93" s="213"/>
      <c r="G93" s="145"/>
      <c r="H93" s="231"/>
      <c r="I93" s="231"/>
      <c r="J93" s="248"/>
      <c r="K93" s="201"/>
      <c r="L93" s="201"/>
      <c r="M93" s="201"/>
      <c r="N93" s="201"/>
      <c r="O93" s="201"/>
      <c r="P93" s="201"/>
      <c r="Q93" s="201"/>
      <c r="R93" s="231"/>
      <c r="S93" s="201"/>
      <c r="T93" s="276"/>
      <c r="U93" s="32"/>
      <c r="V93" s="279"/>
      <c r="W93" s="279"/>
      <c r="X93" s="279"/>
      <c r="Y93" s="279"/>
      <c r="Z93" s="279"/>
      <c r="AA93" s="279"/>
      <c r="AB93" s="279"/>
      <c r="AC93" s="282">
        <f>SUM(AC94:AC105)</f>
        <v>255.51323882084287</v>
      </c>
      <c r="AD93" s="283"/>
      <c r="AE93" s="283"/>
      <c r="AF93" s="279" t="s">
        <v>34</v>
      </c>
      <c r="AG93" s="284" t="s">
        <v>27</v>
      </c>
      <c r="AH93" s="284"/>
      <c r="AI93" s="432" t="s">
        <v>51</v>
      </c>
      <c r="AJ93" s="433" t="s">
        <v>28</v>
      </c>
      <c r="AK93" s="432" t="s">
        <v>29</v>
      </c>
      <c r="AL93" s="434" t="s">
        <v>52</v>
      </c>
      <c r="AM93" s="432" t="s">
        <v>30</v>
      </c>
      <c r="AN93" s="432" t="s">
        <v>31</v>
      </c>
      <c r="AO93" s="286" t="s">
        <v>41</v>
      </c>
      <c r="AP93" s="660" t="s">
        <v>113</v>
      </c>
      <c r="AQ93" s="286" t="s">
        <v>114</v>
      </c>
      <c r="AR93" s="321" t="s">
        <v>40</v>
      </c>
      <c r="AS93" s="321" t="s">
        <v>35</v>
      </c>
      <c r="AT93" s="321" t="s">
        <v>43</v>
      </c>
      <c r="AU93" s="321" t="s">
        <v>42</v>
      </c>
      <c r="AV93" s="430" t="s">
        <v>37</v>
      </c>
      <c r="AW93" s="430" t="s">
        <v>38</v>
      </c>
      <c r="AX93" s="288" t="s">
        <v>20</v>
      </c>
      <c r="AY93" s="288" t="s">
        <v>21</v>
      </c>
      <c r="AZ93" s="289" t="s">
        <v>20</v>
      </c>
      <c r="BA93" s="289" t="s">
        <v>21</v>
      </c>
      <c r="BJ93" s="120"/>
      <c r="BK93" s="120"/>
      <c r="BL93" s="120"/>
    </row>
    <row r="94" spans="2:95" ht="24.75" hidden="1" customHeight="1" thickBot="1" x14ac:dyDescent="0.45">
      <c r="B94" s="155">
        <v>1</v>
      </c>
      <c r="C94" s="156">
        <f>+(B88*-1)+D94</f>
        <v>0</v>
      </c>
      <c r="D94" s="8">
        <v>0</v>
      </c>
      <c r="E94" s="290"/>
      <c r="F94" s="172"/>
      <c r="G94" s="172"/>
      <c r="H94" s="372">
        <v>330.56150000000002</v>
      </c>
      <c r="I94" s="373">
        <v>39.378894899999999</v>
      </c>
      <c r="J94" s="218">
        <f>+I94-C94</f>
        <v>39.378894899999999</v>
      </c>
      <c r="K94" s="172"/>
      <c r="L94" s="172"/>
      <c r="M94" s="172"/>
      <c r="N94" s="172"/>
      <c r="O94" s="172"/>
      <c r="P94" s="218">
        <f>COS(J94*3.14159265358979/180)</f>
        <v>0.77296732626407749</v>
      </c>
      <c r="Q94" s="218">
        <f>+P94*H94</f>
        <v>255.51323882084287</v>
      </c>
      <c r="R94" s="374">
        <v>255.51323882084287</v>
      </c>
      <c r="S94" s="218">
        <f>+Q94</f>
        <v>255.51323882084287</v>
      </c>
      <c r="T94" s="172">
        <f t="shared" ref="T94:T105" si="3">+S94</f>
        <v>255.51323882084287</v>
      </c>
      <c r="U94" s="172"/>
      <c r="V94" s="172">
        <f t="shared" ref="V94:V105" si="4">IF(B94&lt;($B$91+1),T94,0)</f>
        <v>255.51323882084287</v>
      </c>
      <c r="W94" s="414">
        <v>39.378894899999999</v>
      </c>
      <c r="X94" s="172">
        <f>+W94+AH106</f>
        <v>39.378894899999999</v>
      </c>
      <c r="Y94" s="414">
        <v>330.56150000000002</v>
      </c>
      <c r="Z94" s="291">
        <f>+COS(X94*3.14159265358979/180)*Y94</f>
        <v>255.51323882084287</v>
      </c>
      <c r="AA94" s="292">
        <f>+AC93-Z94</f>
        <v>0</v>
      </c>
      <c r="AB94" s="172"/>
      <c r="AC94" s="293">
        <f>IF(AD94=1,AF94)</f>
        <v>255.51323882084287</v>
      </c>
      <c r="AD94" s="293">
        <f t="shared" ref="AD94:AD105" si="5">MAX(AE$94:AE$105)</f>
        <v>1</v>
      </c>
      <c r="AE94" s="293">
        <f>IF(V94=0,0,1)</f>
        <v>1</v>
      </c>
      <c r="AF94" s="294">
        <f>SUM(V94:V105)/($B$91)</f>
        <v>255.51323882084287</v>
      </c>
      <c r="AG94" s="295">
        <f>+D94+C94</f>
        <v>0</v>
      </c>
      <c r="AH94" s="661">
        <f t="shared" ref="AH94:AH105" si="6">IF(B94&lt;($B$91+1),AG94)</f>
        <v>0</v>
      </c>
      <c r="AI94" s="435">
        <f>54.5017821+AG94</f>
        <v>54.5017821</v>
      </c>
      <c r="AJ94" s="436">
        <f>SIN(AI94*3.14159265358979/180)</f>
        <v>0.81413357986421619</v>
      </c>
      <c r="AK94" s="435">
        <f>+AJ94*421.92</f>
        <v>343.49924001631013</v>
      </c>
      <c r="AL94" s="435">
        <f>58.7344156-AG94</f>
        <v>58.734415599999998</v>
      </c>
      <c r="AM94" s="436">
        <f>SIN(AL94*3.14159265358979/180)</f>
        <v>0.85477073319485097</v>
      </c>
      <c r="AN94" s="435">
        <f>+AM94*472.06</f>
        <v>403.50307231196138</v>
      </c>
      <c r="AO94" s="427">
        <f t="shared" ref="AO94:AO105" si="7">+((AF94*AP94)+($AP$115*($AF$115+$AA$94)))/AQ94</f>
        <v>233.63772473816888</v>
      </c>
      <c r="AP94" s="660">
        <f>28*B91</f>
        <v>28</v>
      </c>
      <c r="AQ94" s="428">
        <f>+AP94+$AP$115</f>
        <v>40.200000000000003</v>
      </c>
      <c r="AR94" s="431">
        <f>+AN94+AK94</f>
        <v>747.0023123282715</v>
      </c>
      <c r="AS94" s="323">
        <f>+V94-AN94</f>
        <v>-147.9898334911185</v>
      </c>
      <c r="AT94" s="323">
        <f>+AO94-AS94</f>
        <v>381.62755822928739</v>
      </c>
      <c r="AU94" s="323">
        <f>+AF94-AS94</f>
        <v>403.50307231196138</v>
      </c>
      <c r="AV94" s="323">
        <f>+((AR94-AT94)/AR94)*AQ94</f>
        <v>19.662676905241582</v>
      </c>
      <c r="AW94" s="323">
        <f>+(AT94/AR94)*AQ94</f>
        <v>20.53732309475842</v>
      </c>
      <c r="AX94" s="297">
        <f t="shared" ref="AX94:AX105" si="8">2*$C$19/AV94</f>
        <v>589.95019121265875</v>
      </c>
      <c r="AY94" s="297">
        <f t="shared" ref="AY94:AY105" si="9">2*$D$19/AW94</f>
        <v>564.82531566933267</v>
      </c>
      <c r="AZ94" s="298">
        <f>ABS(AX94)</f>
        <v>589.95019121265875</v>
      </c>
      <c r="BA94" s="298">
        <f>ABS(AY94)</f>
        <v>564.82531566933267</v>
      </c>
      <c r="BJ94" s="120"/>
      <c r="BK94" s="120"/>
      <c r="BL94" s="120"/>
    </row>
    <row r="95" spans="2:95" ht="24.75" hidden="1" customHeight="1" thickBot="1" x14ac:dyDescent="0.45">
      <c r="B95" s="169">
        <v>2</v>
      </c>
      <c r="C95" s="170"/>
      <c r="D95" s="8">
        <v>0</v>
      </c>
      <c r="E95" s="157"/>
      <c r="F95" s="158"/>
      <c r="G95" s="158"/>
      <c r="H95" s="372">
        <v>330.56150000000002</v>
      </c>
      <c r="I95" s="373">
        <v>39.378894899999999</v>
      </c>
      <c r="J95" s="158">
        <f>+I95+D95</f>
        <v>39.378894899999999</v>
      </c>
      <c r="K95" s="158">
        <f t="shared" ref="K95:K105" si="10">+J95/2</f>
        <v>19.689447449999999</v>
      </c>
      <c r="L95" s="158">
        <f t="shared" ref="L95:L105" si="11">SIN(K95*3.14159265358979/180)</f>
        <v>0.33692185572913086</v>
      </c>
      <c r="M95" s="158">
        <f t="shared" ref="M95:M105" si="12">+L95*H95</f>
        <v>111.3733940126051</v>
      </c>
      <c r="N95" s="158">
        <f t="shared" ref="N95:N105" si="13">+M95*2</f>
        <v>222.74678802521021</v>
      </c>
      <c r="O95" s="158">
        <f>+C94+(D95/2)</f>
        <v>0</v>
      </c>
      <c r="P95" s="158">
        <f t="shared" ref="P95:P105" si="14">SIN(O95*3.14159265358979/180)</f>
        <v>0</v>
      </c>
      <c r="Q95" s="158">
        <f t="shared" ref="Q95:Q105" si="15">+P95*N95</f>
        <v>0</v>
      </c>
      <c r="R95" s="158">
        <f t="shared" ref="R95:R105" si="16">+T94</f>
        <v>255.51323882084287</v>
      </c>
      <c r="S95" s="158">
        <f>+R95+Q95</f>
        <v>255.51323882084287</v>
      </c>
      <c r="T95" s="158">
        <f t="shared" si="3"/>
        <v>255.51323882084287</v>
      </c>
      <c r="U95" s="158"/>
      <c r="V95" s="158">
        <f t="shared" si="4"/>
        <v>0</v>
      </c>
      <c r="W95" s="158"/>
      <c r="X95" s="158"/>
      <c r="Y95" s="158"/>
      <c r="Z95" s="158"/>
      <c r="AA95" s="158"/>
      <c r="AB95" s="158"/>
      <c r="AC95" s="293" t="b">
        <f>IF(AD95=2,AF95)</f>
        <v>0</v>
      </c>
      <c r="AD95" s="293">
        <f t="shared" si="5"/>
        <v>1</v>
      </c>
      <c r="AE95" s="293">
        <f>IF(V95=0,0,2)</f>
        <v>0</v>
      </c>
      <c r="AF95" s="294" t="e">
        <f>SUM(V95:V105)/($B$91-B94)</f>
        <v>#DIV/0!</v>
      </c>
      <c r="AG95" s="299">
        <f>SUM(D95)+$C$94</f>
        <v>0</v>
      </c>
      <c r="AH95" s="661" t="b">
        <f t="shared" si="6"/>
        <v>0</v>
      </c>
      <c r="AI95" s="435">
        <f t="shared" ref="AI95:AI105" si="17">54.5017821+AG95</f>
        <v>54.5017821</v>
      </c>
      <c r="AJ95" s="436">
        <f>SIN(AI95*3.14159265358979/180)</f>
        <v>0.81413357986421619</v>
      </c>
      <c r="AK95" s="435">
        <f t="shared" ref="AK95:AK105" si="18">+AJ95*421.92</f>
        <v>343.49924001631013</v>
      </c>
      <c r="AL95" s="435">
        <f t="shared" ref="AL95:AL105" si="19">58.7344156-AG95</f>
        <v>58.734415599999998</v>
      </c>
      <c r="AM95" s="436">
        <f t="shared" ref="AM95:AM105" si="20">SIN(AL95*3.14159265358979/180)</f>
        <v>0.85477073319485097</v>
      </c>
      <c r="AN95" s="435">
        <f t="shared" ref="AN95:AN105" si="21">+AM95*472.06</f>
        <v>403.50307231196138</v>
      </c>
      <c r="AO95" s="427" t="e">
        <f t="shared" si="7"/>
        <v>#DIV/0!</v>
      </c>
      <c r="AP95" s="660">
        <f>28*($B$91-B94)</f>
        <v>0</v>
      </c>
      <c r="AQ95" s="428">
        <f>+AP95+$AP$115</f>
        <v>12.2</v>
      </c>
      <c r="AR95" s="431">
        <f t="shared" ref="AR95:AR105" si="22">+AN95+AK95</f>
        <v>747.0023123282715</v>
      </c>
      <c r="AS95" s="323">
        <f>+V95-AN95</f>
        <v>-403.50307231196138</v>
      </c>
      <c r="AT95" s="323" t="e">
        <f t="shared" ref="AT95:AT105" si="23">+AO95-AS95</f>
        <v>#DIV/0!</v>
      </c>
      <c r="AU95" s="323" t="e">
        <f>+AF95-AS95</f>
        <v>#DIV/0!</v>
      </c>
      <c r="AV95" s="323" t="e">
        <f t="shared" ref="AV95:AV105" si="24">+((AR95-AT95)/AR95)*AQ95</f>
        <v>#DIV/0!</v>
      </c>
      <c r="AW95" s="323" t="e">
        <f t="shared" ref="AW95:AW105" si="25">+(AT95/AR95)*AQ95</f>
        <v>#DIV/0!</v>
      </c>
      <c r="AX95" s="297" t="e">
        <f t="shared" si="8"/>
        <v>#DIV/0!</v>
      </c>
      <c r="AY95" s="297" t="e">
        <f t="shared" si="9"/>
        <v>#DIV/0!</v>
      </c>
      <c r="AZ95" s="300" t="e">
        <f t="shared" ref="AZ95:BA105" si="26">ABS(AX95)</f>
        <v>#DIV/0!</v>
      </c>
      <c r="BA95" s="300" t="e">
        <f t="shared" si="26"/>
        <v>#DIV/0!</v>
      </c>
      <c r="BJ95" s="120"/>
      <c r="BK95" s="120"/>
      <c r="BL95" s="120"/>
    </row>
    <row r="96" spans="2:95" ht="24.75" hidden="1" customHeight="1" thickBot="1" x14ac:dyDescent="0.45">
      <c r="B96" s="169">
        <v>3</v>
      </c>
      <c r="C96" s="170"/>
      <c r="D96" s="8">
        <v>0</v>
      </c>
      <c r="E96" s="157"/>
      <c r="F96" s="158"/>
      <c r="G96" s="158"/>
      <c r="H96" s="372">
        <v>330.56150000000002</v>
      </c>
      <c r="I96" s="373">
        <v>39.378894899999999</v>
      </c>
      <c r="J96" s="158">
        <f t="shared" ref="J96:J105" si="27">+I96+D96</f>
        <v>39.378894899999999</v>
      </c>
      <c r="K96" s="158">
        <f t="shared" si="10"/>
        <v>19.689447449999999</v>
      </c>
      <c r="L96" s="158">
        <f t="shared" si="11"/>
        <v>0.33692185572913086</v>
      </c>
      <c r="M96" s="158">
        <f t="shared" si="12"/>
        <v>111.3733940126051</v>
      </c>
      <c r="N96" s="158">
        <f t="shared" si="13"/>
        <v>222.74678802521021</v>
      </c>
      <c r="O96" s="158">
        <f>+C94+D95+(D96/2)</f>
        <v>0</v>
      </c>
      <c r="P96" s="158">
        <f t="shared" si="14"/>
        <v>0</v>
      </c>
      <c r="Q96" s="158">
        <f t="shared" si="15"/>
        <v>0</v>
      </c>
      <c r="R96" s="158">
        <f t="shared" si="16"/>
        <v>255.51323882084287</v>
      </c>
      <c r="S96" s="158">
        <f t="shared" ref="S96:S105" si="28">+S95+Q96</f>
        <v>255.51323882084287</v>
      </c>
      <c r="T96" s="158">
        <f t="shared" si="3"/>
        <v>255.51323882084287</v>
      </c>
      <c r="U96" s="158"/>
      <c r="V96" s="158">
        <f t="shared" si="4"/>
        <v>0</v>
      </c>
      <c r="W96" s="158"/>
      <c r="X96" s="158"/>
      <c r="Y96" s="158"/>
      <c r="Z96" s="158"/>
      <c r="AA96" s="158"/>
      <c r="AB96" s="158"/>
      <c r="AC96" s="293" t="b">
        <f>IF(AD96=3,AF96)</f>
        <v>0</v>
      </c>
      <c r="AD96" s="293">
        <f t="shared" si="5"/>
        <v>1</v>
      </c>
      <c r="AE96" s="293">
        <f>IF(V96=0,0,3)</f>
        <v>0</v>
      </c>
      <c r="AF96" s="294">
        <f>SUM(V96:V105)/($B$91-B95)</f>
        <v>0</v>
      </c>
      <c r="AG96" s="299">
        <f>SUM(D95:D96)+$C$94</f>
        <v>0</v>
      </c>
      <c r="AH96" s="661" t="b">
        <f t="shared" si="6"/>
        <v>0</v>
      </c>
      <c r="AI96" s="435">
        <f t="shared" si="17"/>
        <v>54.5017821</v>
      </c>
      <c r="AJ96" s="436">
        <f t="shared" ref="AJ96:AJ105" si="29">SIN(AI96*3.14159265358979/180)</f>
        <v>0.81413357986421619</v>
      </c>
      <c r="AK96" s="435">
        <f t="shared" si="18"/>
        <v>343.49924001631013</v>
      </c>
      <c r="AL96" s="435">
        <f t="shared" si="19"/>
        <v>58.734415599999998</v>
      </c>
      <c r="AM96" s="436">
        <f t="shared" si="20"/>
        <v>0.85477073319485097</v>
      </c>
      <c r="AN96" s="435">
        <f t="shared" si="21"/>
        <v>403.50307231196138</v>
      </c>
      <c r="AO96" s="427">
        <f t="shared" si="7"/>
        <v>-141.63707895511331</v>
      </c>
      <c r="AP96" s="660">
        <f t="shared" ref="AP96:AP105" si="30">28*($B$91-B95)</f>
        <v>-28</v>
      </c>
      <c r="AQ96" s="428">
        <f t="shared" ref="AQ96:AQ105" si="31">+AP96+$AP$115</f>
        <v>-15.8</v>
      </c>
      <c r="AR96" s="431">
        <f t="shared" si="22"/>
        <v>747.0023123282715</v>
      </c>
      <c r="AS96" s="323">
        <f>+V96-AN96</f>
        <v>-403.50307231196138</v>
      </c>
      <c r="AT96" s="323">
        <f t="shared" si="23"/>
        <v>261.86599335684809</v>
      </c>
      <c r="AU96" s="323">
        <f>+AF96-AS96</f>
        <v>403.50307231196138</v>
      </c>
      <c r="AV96" s="323">
        <f t="shared" si="24"/>
        <v>-10.261218356684315</v>
      </c>
      <c r="AW96" s="323">
        <f t="shared" si="25"/>
        <v>-5.5387816433156845</v>
      </c>
      <c r="AX96" s="297">
        <f t="shared" si="8"/>
        <v>-1130.470047198984</v>
      </c>
      <c r="AY96" s="297">
        <f t="shared" si="9"/>
        <v>-2094.3233994427492</v>
      </c>
      <c r="AZ96" s="300">
        <f t="shared" si="26"/>
        <v>1130.470047198984</v>
      </c>
      <c r="BA96" s="300">
        <f t="shared" si="26"/>
        <v>2094.3233994427492</v>
      </c>
      <c r="BJ96" s="120"/>
      <c r="BK96" s="120"/>
      <c r="BL96" s="120"/>
    </row>
    <row r="97" spans="2:64" ht="24.75" hidden="1" customHeight="1" thickBot="1" x14ac:dyDescent="0.45">
      <c r="B97" s="169">
        <v>4</v>
      </c>
      <c r="C97" s="170"/>
      <c r="D97" s="8">
        <v>0</v>
      </c>
      <c r="E97" s="157"/>
      <c r="F97" s="158"/>
      <c r="G97" s="158"/>
      <c r="H97" s="372">
        <v>330.56150000000002</v>
      </c>
      <c r="I97" s="373">
        <v>39.378894899999999</v>
      </c>
      <c r="J97" s="158">
        <f t="shared" si="27"/>
        <v>39.378894899999999</v>
      </c>
      <c r="K97" s="158">
        <f t="shared" si="10"/>
        <v>19.689447449999999</v>
      </c>
      <c r="L97" s="158">
        <f t="shared" si="11"/>
        <v>0.33692185572913086</v>
      </c>
      <c r="M97" s="158">
        <f t="shared" si="12"/>
        <v>111.3733940126051</v>
      </c>
      <c r="N97" s="158">
        <f t="shared" si="13"/>
        <v>222.74678802521021</v>
      </c>
      <c r="O97" s="158">
        <f>+C94+D95+D96+(D97/2)</f>
        <v>0</v>
      </c>
      <c r="P97" s="158">
        <f t="shared" si="14"/>
        <v>0</v>
      </c>
      <c r="Q97" s="158">
        <f t="shared" si="15"/>
        <v>0</v>
      </c>
      <c r="R97" s="158">
        <f t="shared" si="16"/>
        <v>255.51323882084287</v>
      </c>
      <c r="S97" s="158">
        <f t="shared" si="28"/>
        <v>255.51323882084287</v>
      </c>
      <c r="T97" s="158">
        <f t="shared" si="3"/>
        <v>255.51323882084287</v>
      </c>
      <c r="U97" s="158"/>
      <c r="V97" s="158">
        <f t="shared" si="4"/>
        <v>0</v>
      </c>
      <c r="W97" s="158"/>
      <c r="X97" s="158"/>
      <c r="Y97" s="158"/>
      <c r="Z97" s="158"/>
      <c r="AA97" s="158"/>
      <c r="AB97" s="158"/>
      <c r="AC97" s="293" t="b">
        <f>IF(AD97=4,AF97)</f>
        <v>0</v>
      </c>
      <c r="AD97" s="293">
        <f t="shared" si="5"/>
        <v>1</v>
      </c>
      <c r="AE97" s="293">
        <f>IF(V97=0,0,4)</f>
        <v>0</v>
      </c>
      <c r="AF97" s="294">
        <f>SUM(V97:V105)/($B$91-B96)</f>
        <v>0</v>
      </c>
      <c r="AG97" s="299">
        <f>SUM(D95:D97)+$C$94</f>
        <v>0</v>
      </c>
      <c r="AH97" s="661" t="b">
        <f t="shared" si="6"/>
        <v>0</v>
      </c>
      <c r="AI97" s="435">
        <f t="shared" si="17"/>
        <v>54.5017821</v>
      </c>
      <c r="AJ97" s="436">
        <f t="shared" si="29"/>
        <v>0.81413357986421619</v>
      </c>
      <c r="AK97" s="435">
        <f t="shared" si="18"/>
        <v>343.49924001631013</v>
      </c>
      <c r="AL97" s="435">
        <f t="shared" si="19"/>
        <v>58.734415599999998</v>
      </c>
      <c r="AM97" s="436">
        <f t="shared" si="20"/>
        <v>0.85477073319485097</v>
      </c>
      <c r="AN97" s="435">
        <f t="shared" si="21"/>
        <v>403.50307231196138</v>
      </c>
      <c r="AO97" s="427">
        <f t="shared" si="7"/>
        <v>-51.092827568282885</v>
      </c>
      <c r="AP97" s="660">
        <f t="shared" si="30"/>
        <v>-56</v>
      </c>
      <c r="AQ97" s="428">
        <f t="shared" si="31"/>
        <v>-43.8</v>
      </c>
      <c r="AR97" s="431">
        <f t="shared" si="22"/>
        <v>747.0023123282715</v>
      </c>
      <c r="AS97" s="323">
        <f>+V97-AN97</f>
        <v>-403.50307231196138</v>
      </c>
      <c r="AT97" s="323">
        <f t="shared" si="23"/>
        <v>352.4102447436785</v>
      </c>
      <c r="AU97" s="323">
        <f t="shared" ref="AU97:AU105" si="32">+AF97-AS97</f>
        <v>403.50307231196138</v>
      </c>
      <c r="AV97" s="323">
        <f t="shared" si="24"/>
        <v>-23.136652022316724</v>
      </c>
      <c r="AW97" s="323">
        <f t="shared" si="25"/>
        <v>-20.663347977683273</v>
      </c>
      <c r="AX97" s="297">
        <f t="shared" si="8"/>
        <v>-501.36899620615316</v>
      </c>
      <c r="AY97" s="297">
        <f t="shared" si="9"/>
        <v>-561.38047002490475</v>
      </c>
      <c r="AZ97" s="300">
        <f t="shared" si="26"/>
        <v>501.36899620615316</v>
      </c>
      <c r="BA97" s="300">
        <f t="shared" si="26"/>
        <v>561.38047002490475</v>
      </c>
      <c r="BJ97" s="120"/>
      <c r="BK97" s="120"/>
      <c r="BL97" s="120"/>
    </row>
    <row r="98" spans="2:64" ht="24.75" hidden="1" customHeight="1" thickBot="1" x14ac:dyDescent="0.45">
      <c r="B98" s="169">
        <v>5</v>
      </c>
      <c r="C98" s="170"/>
      <c r="D98" s="8">
        <v>0</v>
      </c>
      <c r="E98" s="157"/>
      <c r="F98" s="158"/>
      <c r="G98" s="158"/>
      <c r="H98" s="372">
        <v>330.56150000000002</v>
      </c>
      <c r="I98" s="373">
        <v>39.378894899999999</v>
      </c>
      <c r="J98" s="158">
        <f t="shared" si="27"/>
        <v>39.378894899999999</v>
      </c>
      <c r="K98" s="158">
        <f t="shared" si="10"/>
        <v>19.689447449999999</v>
      </c>
      <c r="L98" s="158">
        <f t="shared" si="11"/>
        <v>0.33692185572913086</v>
      </c>
      <c r="M98" s="158">
        <f t="shared" si="12"/>
        <v>111.3733940126051</v>
      </c>
      <c r="N98" s="158">
        <f t="shared" si="13"/>
        <v>222.74678802521021</v>
      </c>
      <c r="O98" s="158">
        <f>+C94+D95+D96+D97+(D98/2)</f>
        <v>0</v>
      </c>
      <c r="P98" s="158">
        <f t="shared" si="14"/>
        <v>0</v>
      </c>
      <c r="Q98" s="158">
        <f t="shared" si="15"/>
        <v>0</v>
      </c>
      <c r="R98" s="158">
        <f t="shared" si="16"/>
        <v>255.51323882084287</v>
      </c>
      <c r="S98" s="158">
        <f t="shared" si="28"/>
        <v>255.51323882084287</v>
      </c>
      <c r="T98" s="158">
        <f t="shared" si="3"/>
        <v>255.51323882084287</v>
      </c>
      <c r="U98" s="158"/>
      <c r="V98" s="158">
        <f t="shared" si="4"/>
        <v>0</v>
      </c>
      <c r="W98" s="158"/>
      <c r="X98" s="158"/>
      <c r="Y98" s="158"/>
      <c r="Z98" s="158"/>
      <c r="AA98" s="158"/>
      <c r="AB98" s="158"/>
      <c r="AC98" s="293" t="b">
        <f>IF(AD98=5,AF98)</f>
        <v>0</v>
      </c>
      <c r="AD98" s="293">
        <f t="shared" si="5"/>
        <v>1</v>
      </c>
      <c r="AE98" s="293">
        <f>IF(V98=0,0,5)</f>
        <v>0</v>
      </c>
      <c r="AF98" s="294">
        <f>SUM(V98:V105)/($B$91-B97)</f>
        <v>0</v>
      </c>
      <c r="AG98" s="299">
        <f>SUM(D95:D98)+$C$94</f>
        <v>0</v>
      </c>
      <c r="AH98" s="661" t="b">
        <f t="shared" si="6"/>
        <v>0</v>
      </c>
      <c r="AI98" s="435">
        <f t="shared" si="17"/>
        <v>54.5017821</v>
      </c>
      <c r="AJ98" s="436">
        <f t="shared" si="29"/>
        <v>0.81413357986421619</v>
      </c>
      <c r="AK98" s="435">
        <f t="shared" si="18"/>
        <v>343.49924001631013</v>
      </c>
      <c r="AL98" s="435">
        <f t="shared" si="19"/>
        <v>58.734415599999998</v>
      </c>
      <c r="AM98" s="436">
        <f t="shared" si="20"/>
        <v>0.85477073319485097</v>
      </c>
      <c r="AN98" s="435">
        <f t="shared" si="21"/>
        <v>403.50307231196138</v>
      </c>
      <c r="AO98" s="427">
        <f t="shared" si="7"/>
        <v>-31.168048015192067</v>
      </c>
      <c r="AP98" s="660">
        <f t="shared" si="30"/>
        <v>-84</v>
      </c>
      <c r="AQ98" s="428">
        <f t="shared" si="31"/>
        <v>-71.8</v>
      </c>
      <c r="AR98" s="431">
        <f t="shared" si="22"/>
        <v>747.0023123282715</v>
      </c>
      <c r="AS98" s="323">
        <f t="shared" ref="AS98:AS105" si="33">+V98-AN98</f>
        <v>-403.50307231196138</v>
      </c>
      <c r="AT98" s="323">
        <f t="shared" si="23"/>
        <v>372.33502429676929</v>
      </c>
      <c r="AU98" s="323">
        <f t="shared" si="32"/>
        <v>403.50307231196138</v>
      </c>
      <c r="AV98" s="323">
        <f t="shared" si="24"/>
        <v>-36.012085687949138</v>
      </c>
      <c r="AW98" s="323">
        <f t="shared" si="25"/>
        <v>-35.787914312050859</v>
      </c>
      <c r="AX98" s="297">
        <f t="shared" si="8"/>
        <v>-322.11408415819005</v>
      </c>
      <c r="AY98" s="297">
        <f t="shared" si="9"/>
        <v>-324.13176970455453</v>
      </c>
      <c r="AZ98" s="300">
        <f t="shared" si="26"/>
        <v>322.11408415819005</v>
      </c>
      <c r="BA98" s="300">
        <f t="shared" si="26"/>
        <v>324.13176970455453</v>
      </c>
      <c r="BJ98" s="120"/>
      <c r="BK98" s="120"/>
      <c r="BL98" s="120"/>
    </row>
    <row r="99" spans="2:64" ht="24.75" hidden="1" customHeight="1" thickBot="1" x14ac:dyDescent="0.45">
      <c r="B99" s="169">
        <v>6</v>
      </c>
      <c r="C99" s="170"/>
      <c r="D99" s="8">
        <v>0</v>
      </c>
      <c r="E99" s="157"/>
      <c r="F99" s="158"/>
      <c r="G99" s="158"/>
      <c r="H99" s="372">
        <v>330.56150000000002</v>
      </c>
      <c r="I99" s="373">
        <v>39.378894899999999</v>
      </c>
      <c r="J99" s="158">
        <f t="shared" si="27"/>
        <v>39.378894899999999</v>
      </c>
      <c r="K99" s="158">
        <f t="shared" si="10"/>
        <v>19.689447449999999</v>
      </c>
      <c r="L99" s="158">
        <f t="shared" si="11"/>
        <v>0.33692185572913086</v>
      </c>
      <c r="M99" s="158">
        <f t="shared" si="12"/>
        <v>111.3733940126051</v>
      </c>
      <c r="N99" s="158">
        <f t="shared" si="13"/>
        <v>222.74678802521021</v>
      </c>
      <c r="O99" s="158">
        <f>+C94+D95+D96+D97+D98+(D99/2)</f>
        <v>0</v>
      </c>
      <c r="P99" s="158">
        <f t="shared" si="14"/>
        <v>0</v>
      </c>
      <c r="Q99" s="158">
        <f t="shared" si="15"/>
        <v>0</v>
      </c>
      <c r="R99" s="158">
        <f t="shared" si="16"/>
        <v>255.51323882084287</v>
      </c>
      <c r="S99" s="158">
        <f t="shared" si="28"/>
        <v>255.51323882084287</v>
      </c>
      <c r="T99" s="158">
        <f t="shared" si="3"/>
        <v>255.51323882084287</v>
      </c>
      <c r="U99" s="158"/>
      <c r="V99" s="158">
        <f t="shared" si="4"/>
        <v>0</v>
      </c>
      <c r="W99" s="158"/>
      <c r="X99" s="158"/>
      <c r="Y99" s="158"/>
      <c r="Z99" s="158"/>
      <c r="AA99" s="158"/>
      <c r="AB99" s="158"/>
      <c r="AC99" s="293" t="b">
        <f>IF(AD99=6,AF99)</f>
        <v>0</v>
      </c>
      <c r="AD99" s="293">
        <f t="shared" si="5"/>
        <v>1</v>
      </c>
      <c r="AE99" s="293">
        <f>IF(V99=0,0,6)</f>
        <v>0</v>
      </c>
      <c r="AF99" s="294">
        <f>SUM(V99:V105)/($B$91-B98)</f>
        <v>0</v>
      </c>
      <c r="AG99" s="299">
        <f>SUM(D95:D99)+$C$94</f>
        <v>0</v>
      </c>
      <c r="AH99" s="661" t="b">
        <f t="shared" si="6"/>
        <v>0</v>
      </c>
      <c r="AI99" s="435">
        <f t="shared" si="17"/>
        <v>54.5017821</v>
      </c>
      <c r="AJ99" s="436">
        <f t="shared" si="29"/>
        <v>0.81413357986421619</v>
      </c>
      <c r="AK99" s="435">
        <f t="shared" si="18"/>
        <v>343.49924001631013</v>
      </c>
      <c r="AL99" s="435">
        <f t="shared" si="19"/>
        <v>58.734415599999998</v>
      </c>
      <c r="AM99" s="436">
        <f t="shared" si="20"/>
        <v>0.85477073319485097</v>
      </c>
      <c r="AN99" s="435">
        <f t="shared" si="21"/>
        <v>403.50307231196138</v>
      </c>
      <c r="AO99" s="427">
        <f t="shared" si="7"/>
        <v>-22.423505485879662</v>
      </c>
      <c r="AP99" s="660">
        <f t="shared" si="30"/>
        <v>-112</v>
      </c>
      <c r="AQ99" s="428">
        <f t="shared" si="31"/>
        <v>-99.8</v>
      </c>
      <c r="AR99" s="431">
        <f t="shared" si="22"/>
        <v>747.0023123282715</v>
      </c>
      <c r="AS99" s="323">
        <f t="shared" si="33"/>
        <v>-403.50307231196138</v>
      </c>
      <c r="AT99" s="323">
        <f t="shared" si="23"/>
        <v>381.0795668260817</v>
      </c>
      <c r="AU99" s="323">
        <f t="shared" si="32"/>
        <v>403.50307231196138</v>
      </c>
      <c r="AV99" s="323">
        <f t="shared" si="24"/>
        <v>-48.887519353581546</v>
      </c>
      <c r="AW99" s="323">
        <f t="shared" si="25"/>
        <v>-50.912480646418452</v>
      </c>
      <c r="AX99" s="297">
        <f t="shared" si="8"/>
        <v>-237.27937423256009</v>
      </c>
      <c r="AY99" s="297">
        <f t="shared" si="9"/>
        <v>-227.84197219854042</v>
      </c>
      <c r="AZ99" s="300">
        <f t="shared" si="26"/>
        <v>237.27937423256009</v>
      </c>
      <c r="BA99" s="300">
        <f t="shared" si="26"/>
        <v>227.84197219854042</v>
      </c>
      <c r="BJ99" s="120"/>
      <c r="BK99" s="120"/>
      <c r="BL99" s="120"/>
    </row>
    <row r="100" spans="2:64" ht="24.75" hidden="1" customHeight="1" thickBot="1" x14ac:dyDescent="0.45">
      <c r="B100" s="169">
        <v>7</v>
      </c>
      <c r="C100" s="170"/>
      <c r="D100" s="8">
        <v>0</v>
      </c>
      <c r="E100" s="157"/>
      <c r="F100" s="158"/>
      <c r="G100" s="158"/>
      <c r="H100" s="372">
        <v>330.56150000000002</v>
      </c>
      <c r="I100" s="373">
        <v>39.378894899999999</v>
      </c>
      <c r="J100" s="158">
        <f t="shared" si="27"/>
        <v>39.378894899999999</v>
      </c>
      <c r="K100" s="158">
        <f t="shared" si="10"/>
        <v>19.689447449999999</v>
      </c>
      <c r="L100" s="158">
        <f t="shared" si="11"/>
        <v>0.33692185572913086</v>
      </c>
      <c r="M100" s="158">
        <f t="shared" si="12"/>
        <v>111.3733940126051</v>
      </c>
      <c r="N100" s="158">
        <f t="shared" si="13"/>
        <v>222.74678802521021</v>
      </c>
      <c r="O100" s="158">
        <f>+C94+D95+D96+D97+D98+D99+(D100/2)</f>
        <v>0</v>
      </c>
      <c r="P100" s="158">
        <f t="shared" si="14"/>
        <v>0</v>
      </c>
      <c r="Q100" s="158">
        <f t="shared" si="15"/>
        <v>0</v>
      </c>
      <c r="R100" s="158">
        <f t="shared" si="16"/>
        <v>255.51323882084287</v>
      </c>
      <c r="S100" s="158">
        <f t="shared" si="28"/>
        <v>255.51323882084287</v>
      </c>
      <c r="T100" s="158">
        <f t="shared" si="3"/>
        <v>255.51323882084287</v>
      </c>
      <c r="U100" s="158"/>
      <c r="V100" s="158">
        <f t="shared" si="4"/>
        <v>0</v>
      </c>
      <c r="W100" s="158"/>
      <c r="X100" s="158"/>
      <c r="Y100" s="158"/>
      <c r="Z100" s="158"/>
      <c r="AA100" s="158"/>
      <c r="AB100" s="158"/>
      <c r="AC100" s="293" t="b">
        <f>IF(AD100=7,AF100)</f>
        <v>0</v>
      </c>
      <c r="AD100" s="293">
        <f t="shared" si="5"/>
        <v>1</v>
      </c>
      <c r="AE100" s="293">
        <f>IF(V100=0,0,7)</f>
        <v>0</v>
      </c>
      <c r="AF100" s="294">
        <f>SUM(V100:V105)/($B$91-B99)</f>
        <v>0</v>
      </c>
      <c r="AG100" s="299">
        <f>SUM(D95:D100)+$C$94</f>
        <v>0</v>
      </c>
      <c r="AH100" s="661" t="b">
        <f t="shared" si="6"/>
        <v>0</v>
      </c>
      <c r="AI100" s="435">
        <f t="shared" si="17"/>
        <v>54.5017821</v>
      </c>
      <c r="AJ100" s="436">
        <f t="shared" si="29"/>
        <v>0.81413357986421619</v>
      </c>
      <c r="AK100" s="435">
        <f t="shared" si="18"/>
        <v>343.49924001631013</v>
      </c>
      <c r="AL100" s="435">
        <f t="shared" si="19"/>
        <v>58.734415599999998</v>
      </c>
      <c r="AM100" s="436">
        <f t="shared" si="20"/>
        <v>0.85477073319485097</v>
      </c>
      <c r="AN100" s="435">
        <f t="shared" si="21"/>
        <v>403.50307231196138</v>
      </c>
      <c r="AO100" s="427">
        <f t="shared" si="7"/>
        <v>-17.510687382557045</v>
      </c>
      <c r="AP100" s="660">
        <f t="shared" si="30"/>
        <v>-140</v>
      </c>
      <c r="AQ100" s="428">
        <f t="shared" si="31"/>
        <v>-127.8</v>
      </c>
      <c r="AR100" s="431">
        <f t="shared" si="22"/>
        <v>747.0023123282715</v>
      </c>
      <c r="AS100" s="323">
        <f t="shared" si="33"/>
        <v>-403.50307231196138</v>
      </c>
      <c r="AT100" s="323">
        <f t="shared" si="23"/>
        <v>385.99238492940435</v>
      </c>
      <c r="AU100" s="323">
        <f t="shared" si="32"/>
        <v>403.50307231196138</v>
      </c>
      <c r="AV100" s="323">
        <f t="shared" si="24"/>
        <v>-61.762953019213953</v>
      </c>
      <c r="AW100" s="323">
        <f t="shared" si="25"/>
        <v>-66.037046980786045</v>
      </c>
      <c r="AX100" s="297">
        <f t="shared" si="8"/>
        <v>-187.81485393665253</v>
      </c>
      <c r="AY100" s="297">
        <f t="shared" si="9"/>
        <v>-175.65897523211635</v>
      </c>
      <c r="AZ100" s="300">
        <f t="shared" si="26"/>
        <v>187.81485393665253</v>
      </c>
      <c r="BA100" s="300">
        <f t="shared" si="26"/>
        <v>175.65897523211635</v>
      </c>
      <c r="BJ100" s="120"/>
      <c r="BK100" s="120"/>
      <c r="BL100" s="120"/>
    </row>
    <row r="101" spans="2:64" ht="24.75" hidden="1" customHeight="1" thickBot="1" x14ac:dyDescent="0.45">
      <c r="B101" s="169">
        <v>8</v>
      </c>
      <c r="C101" s="170"/>
      <c r="D101" s="8">
        <v>0</v>
      </c>
      <c r="E101" s="157"/>
      <c r="F101" s="158"/>
      <c r="G101" s="158"/>
      <c r="H101" s="372">
        <v>330.56150000000002</v>
      </c>
      <c r="I101" s="373">
        <v>39.378894899999999</v>
      </c>
      <c r="J101" s="158">
        <f t="shared" si="27"/>
        <v>39.378894899999999</v>
      </c>
      <c r="K101" s="158">
        <f t="shared" si="10"/>
        <v>19.689447449999999</v>
      </c>
      <c r="L101" s="158">
        <f t="shared" si="11"/>
        <v>0.33692185572913086</v>
      </c>
      <c r="M101" s="158">
        <f t="shared" si="12"/>
        <v>111.3733940126051</v>
      </c>
      <c r="N101" s="158">
        <f t="shared" si="13"/>
        <v>222.74678802521021</v>
      </c>
      <c r="O101" s="158">
        <f>+C94+D95+D96+D97+D98+D99+D100+(D101/2)</f>
        <v>0</v>
      </c>
      <c r="P101" s="158">
        <f t="shared" si="14"/>
        <v>0</v>
      </c>
      <c r="Q101" s="158">
        <f t="shared" si="15"/>
        <v>0</v>
      </c>
      <c r="R101" s="158">
        <f t="shared" si="16"/>
        <v>255.51323882084287</v>
      </c>
      <c r="S101" s="158">
        <f t="shared" si="28"/>
        <v>255.51323882084287</v>
      </c>
      <c r="T101" s="158">
        <f t="shared" si="3"/>
        <v>255.51323882084287</v>
      </c>
      <c r="U101" s="158"/>
      <c r="V101" s="158">
        <f t="shared" si="4"/>
        <v>0</v>
      </c>
      <c r="W101" s="158"/>
      <c r="X101" s="158"/>
      <c r="Y101" s="158"/>
      <c r="Z101" s="158"/>
      <c r="AA101" s="158"/>
      <c r="AB101" s="158"/>
      <c r="AC101" s="293" t="b">
        <f>IF(AD101=8,AF101)</f>
        <v>0</v>
      </c>
      <c r="AD101" s="293">
        <f t="shared" si="5"/>
        <v>1</v>
      </c>
      <c r="AE101" s="293">
        <f>IF(V101=0,0,8)</f>
        <v>0</v>
      </c>
      <c r="AF101" s="294">
        <f>SUM(V101:V105)/($B$91-B100)</f>
        <v>0</v>
      </c>
      <c r="AG101" s="299">
        <f>SUM(D95:D101)+$C$94</f>
        <v>0</v>
      </c>
      <c r="AH101" s="661" t="b">
        <f t="shared" si="6"/>
        <v>0</v>
      </c>
      <c r="AI101" s="435">
        <f t="shared" si="17"/>
        <v>54.5017821</v>
      </c>
      <c r="AJ101" s="436">
        <f t="shared" si="29"/>
        <v>0.81413357986421619</v>
      </c>
      <c r="AK101" s="435">
        <f t="shared" si="18"/>
        <v>343.49924001631013</v>
      </c>
      <c r="AL101" s="435">
        <f t="shared" si="19"/>
        <v>58.734415599999998</v>
      </c>
      <c r="AM101" s="436">
        <f t="shared" si="20"/>
        <v>0.85477073319485097</v>
      </c>
      <c r="AN101" s="435">
        <f t="shared" si="21"/>
        <v>403.50307231196138</v>
      </c>
      <c r="AO101" s="427">
        <f t="shared" si="7"/>
        <v>-14.363708905589153</v>
      </c>
      <c r="AP101" s="660">
        <f t="shared" si="30"/>
        <v>-168</v>
      </c>
      <c r="AQ101" s="428">
        <f t="shared" si="31"/>
        <v>-155.80000000000001</v>
      </c>
      <c r="AR101" s="431">
        <f t="shared" si="22"/>
        <v>747.0023123282715</v>
      </c>
      <c r="AS101" s="323">
        <f t="shared" si="33"/>
        <v>-403.50307231196138</v>
      </c>
      <c r="AT101" s="323">
        <f t="shared" si="23"/>
        <v>389.13936340637224</v>
      </c>
      <c r="AU101" s="323">
        <f t="shared" si="32"/>
        <v>403.50307231196138</v>
      </c>
      <c r="AV101" s="323">
        <f t="shared" si="24"/>
        <v>-74.638386684846367</v>
      </c>
      <c r="AW101" s="323">
        <f t="shared" si="25"/>
        <v>-81.161613315153645</v>
      </c>
      <c r="AX101" s="297">
        <f t="shared" si="8"/>
        <v>-155.41600663181427</v>
      </c>
      <c r="AY101" s="297">
        <f t="shared" si="9"/>
        <v>-142.92470943075955</v>
      </c>
      <c r="AZ101" s="300">
        <f t="shared" si="26"/>
        <v>155.41600663181427</v>
      </c>
      <c r="BA101" s="300">
        <f t="shared" si="26"/>
        <v>142.92470943075955</v>
      </c>
      <c r="BJ101" s="120"/>
      <c r="BK101" s="120"/>
      <c r="BL101" s="120"/>
    </row>
    <row r="102" spans="2:64" ht="24.75" hidden="1" customHeight="1" thickBot="1" x14ac:dyDescent="0.45">
      <c r="B102" s="169">
        <v>9</v>
      </c>
      <c r="C102" s="170"/>
      <c r="D102" s="8">
        <v>0</v>
      </c>
      <c r="E102" s="157"/>
      <c r="F102" s="158"/>
      <c r="G102" s="158"/>
      <c r="H102" s="372">
        <v>330.56150000000002</v>
      </c>
      <c r="I102" s="373">
        <v>39.378894899999999</v>
      </c>
      <c r="J102" s="158">
        <f t="shared" si="27"/>
        <v>39.378894899999999</v>
      </c>
      <c r="K102" s="158">
        <f t="shared" si="10"/>
        <v>19.689447449999999</v>
      </c>
      <c r="L102" s="158">
        <f t="shared" si="11"/>
        <v>0.33692185572913086</v>
      </c>
      <c r="M102" s="158">
        <f t="shared" si="12"/>
        <v>111.3733940126051</v>
      </c>
      <c r="N102" s="158">
        <f t="shared" si="13"/>
        <v>222.74678802521021</v>
      </c>
      <c r="O102" s="158">
        <f>+C94+D95+D96+D97+D98+D99+D100+D101+(D102/2)</f>
        <v>0</v>
      </c>
      <c r="P102" s="158">
        <f t="shared" si="14"/>
        <v>0</v>
      </c>
      <c r="Q102" s="158">
        <f t="shared" si="15"/>
        <v>0</v>
      </c>
      <c r="R102" s="158">
        <f t="shared" si="16"/>
        <v>255.51323882084287</v>
      </c>
      <c r="S102" s="158">
        <f t="shared" si="28"/>
        <v>255.51323882084287</v>
      </c>
      <c r="T102" s="158">
        <f t="shared" si="3"/>
        <v>255.51323882084287</v>
      </c>
      <c r="U102" s="158"/>
      <c r="V102" s="158">
        <f t="shared" si="4"/>
        <v>0</v>
      </c>
      <c r="W102" s="158"/>
      <c r="X102" s="158"/>
      <c r="Y102" s="158"/>
      <c r="Z102" s="158"/>
      <c r="AA102" s="158"/>
      <c r="AB102" s="158"/>
      <c r="AC102" s="293" t="b">
        <f>IF(AD102=9,AF102)</f>
        <v>0</v>
      </c>
      <c r="AD102" s="293">
        <f t="shared" si="5"/>
        <v>1</v>
      </c>
      <c r="AE102" s="293">
        <f>IF(V102=0,0,9)</f>
        <v>0</v>
      </c>
      <c r="AF102" s="294">
        <f>SUM(V102:V105)/($B$91-B101)</f>
        <v>0</v>
      </c>
      <c r="AG102" s="299">
        <f>SUM(D95:D102)+$C$94</f>
        <v>0</v>
      </c>
      <c r="AH102" s="661" t="b">
        <f t="shared" si="6"/>
        <v>0</v>
      </c>
      <c r="AI102" s="435">
        <f t="shared" si="17"/>
        <v>54.5017821</v>
      </c>
      <c r="AJ102" s="436">
        <f t="shared" si="29"/>
        <v>0.81413357986421619</v>
      </c>
      <c r="AK102" s="435">
        <f t="shared" si="18"/>
        <v>343.49924001631013</v>
      </c>
      <c r="AL102" s="435">
        <f t="shared" si="19"/>
        <v>58.734415599999998</v>
      </c>
      <c r="AM102" s="436">
        <f t="shared" si="20"/>
        <v>0.85477073319485097</v>
      </c>
      <c r="AN102" s="435">
        <f t="shared" si="21"/>
        <v>403.50307231196138</v>
      </c>
      <c r="AO102" s="427">
        <f t="shared" si="7"/>
        <v>-12.175548680581013</v>
      </c>
      <c r="AP102" s="660">
        <f t="shared" si="30"/>
        <v>-196</v>
      </c>
      <c r="AQ102" s="428">
        <f t="shared" si="31"/>
        <v>-183.8</v>
      </c>
      <c r="AR102" s="431">
        <f t="shared" si="22"/>
        <v>747.0023123282715</v>
      </c>
      <c r="AS102" s="323">
        <f t="shared" si="33"/>
        <v>-403.50307231196138</v>
      </c>
      <c r="AT102" s="323">
        <f t="shared" si="23"/>
        <v>391.32752363138036</v>
      </c>
      <c r="AU102" s="323">
        <f t="shared" si="32"/>
        <v>403.50307231196138</v>
      </c>
      <c r="AV102" s="323">
        <f t="shared" si="24"/>
        <v>-87.513820350478781</v>
      </c>
      <c r="AW102" s="323">
        <f t="shared" si="25"/>
        <v>-96.286179649521216</v>
      </c>
      <c r="AX102" s="297">
        <f t="shared" si="8"/>
        <v>-132.55049263697853</v>
      </c>
      <c r="AY102" s="297">
        <f t="shared" si="9"/>
        <v>-120.47419517758051</v>
      </c>
      <c r="AZ102" s="300">
        <f t="shared" si="26"/>
        <v>132.55049263697853</v>
      </c>
      <c r="BA102" s="300">
        <f t="shared" si="26"/>
        <v>120.47419517758051</v>
      </c>
      <c r="BJ102" s="120"/>
      <c r="BK102" s="120"/>
      <c r="BL102" s="120"/>
    </row>
    <row r="103" spans="2:64" ht="24.75" hidden="1" customHeight="1" thickBot="1" x14ac:dyDescent="0.45">
      <c r="B103" s="169">
        <v>10</v>
      </c>
      <c r="C103" s="170"/>
      <c r="D103" s="8">
        <v>0</v>
      </c>
      <c r="E103" s="157"/>
      <c r="F103" s="158"/>
      <c r="G103" s="158"/>
      <c r="H103" s="372">
        <v>330.56150000000002</v>
      </c>
      <c r="I103" s="373">
        <v>39.378894899999999</v>
      </c>
      <c r="J103" s="158">
        <f t="shared" si="27"/>
        <v>39.378894899999999</v>
      </c>
      <c r="K103" s="158">
        <f t="shared" si="10"/>
        <v>19.689447449999999</v>
      </c>
      <c r="L103" s="158">
        <f t="shared" si="11"/>
        <v>0.33692185572913086</v>
      </c>
      <c r="M103" s="158">
        <f t="shared" si="12"/>
        <v>111.3733940126051</v>
      </c>
      <c r="N103" s="158">
        <f t="shared" si="13"/>
        <v>222.74678802521021</v>
      </c>
      <c r="O103" s="158">
        <f>+C94+D95+D96+D97+D98+D99+D100+D101+D102+(D103/2)</f>
        <v>0</v>
      </c>
      <c r="P103" s="158">
        <f t="shared" si="14"/>
        <v>0</v>
      </c>
      <c r="Q103" s="158">
        <f t="shared" si="15"/>
        <v>0</v>
      </c>
      <c r="R103" s="158">
        <f t="shared" si="16"/>
        <v>255.51323882084287</v>
      </c>
      <c r="S103" s="158">
        <f t="shared" si="28"/>
        <v>255.51323882084287</v>
      </c>
      <c r="T103" s="158">
        <f t="shared" si="3"/>
        <v>255.51323882084287</v>
      </c>
      <c r="U103" s="158"/>
      <c r="V103" s="158">
        <f t="shared" si="4"/>
        <v>0</v>
      </c>
      <c r="W103" s="158"/>
      <c r="X103" s="158"/>
      <c r="Y103" s="158"/>
      <c r="Z103" s="158"/>
      <c r="AA103" s="158"/>
      <c r="AB103" s="158"/>
      <c r="AC103" s="293" t="b">
        <f>IF(AD103=10,AF103)</f>
        <v>0</v>
      </c>
      <c r="AD103" s="293">
        <f t="shared" si="5"/>
        <v>1</v>
      </c>
      <c r="AE103" s="293">
        <f>IF(V103=0,0,10)</f>
        <v>0</v>
      </c>
      <c r="AF103" s="294">
        <f>SUM(V103:V105)/($B$91-B102)</f>
        <v>0</v>
      </c>
      <c r="AG103" s="299">
        <f>SUM(D95:D103)+$C$94</f>
        <v>0</v>
      </c>
      <c r="AH103" s="661" t="b">
        <f t="shared" si="6"/>
        <v>0</v>
      </c>
      <c r="AI103" s="435">
        <f t="shared" si="17"/>
        <v>54.5017821</v>
      </c>
      <c r="AJ103" s="436">
        <f t="shared" si="29"/>
        <v>0.81413357986421619</v>
      </c>
      <c r="AK103" s="435">
        <f t="shared" si="18"/>
        <v>343.49924001631013</v>
      </c>
      <c r="AL103" s="435">
        <f t="shared" si="19"/>
        <v>58.734415599999998</v>
      </c>
      <c r="AM103" s="436">
        <f t="shared" si="20"/>
        <v>0.85477073319485097</v>
      </c>
      <c r="AN103" s="435">
        <f t="shared" si="21"/>
        <v>403.50307231196138</v>
      </c>
      <c r="AO103" s="427">
        <f t="shared" si="7"/>
        <v>-10.565938845565581</v>
      </c>
      <c r="AP103" s="660">
        <f t="shared" si="30"/>
        <v>-224</v>
      </c>
      <c r="AQ103" s="428">
        <f t="shared" si="31"/>
        <v>-211.8</v>
      </c>
      <c r="AR103" s="431">
        <f t="shared" si="22"/>
        <v>747.0023123282715</v>
      </c>
      <c r="AS103" s="323">
        <f t="shared" si="33"/>
        <v>-403.50307231196138</v>
      </c>
      <c r="AT103" s="323">
        <f t="shared" si="23"/>
        <v>392.93713346639578</v>
      </c>
      <c r="AU103" s="323">
        <f t="shared" si="32"/>
        <v>403.50307231196138</v>
      </c>
      <c r="AV103" s="323">
        <f t="shared" si="24"/>
        <v>-100.38925401611121</v>
      </c>
      <c r="AW103" s="323">
        <f t="shared" si="25"/>
        <v>-111.4107459838888</v>
      </c>
      <c r="AX103" s="297">
        <f t="shared" si="8"/>
        <v>-115.55021614303804</v>
      </c>
      <c r="AY103" s="297">
        <f t="shared" si="9"/>
        <v>-104.11922025616349</v>
      </c>
      <c r="AZ103" s="300">
        <f t="shared" si="26"/>
        <v>115.55021614303804</v>
      </c>
      <c r="BA103" s="300">
        <f t="shared" si="26"/>
        <v>104.11922025616349</v>
      </c>
      <c r="BJ103" s="120"/>
      <c r="BK103" s="120"/>
      <c r="BL103" s="120"/>
    </row>
    <row r="104" spans="2:64" ht="24.75" hidden="1" customHeight="1" thickBot="1" x14ac:dyDescent="0.45">
      <c r="B104" s="169">
        <v>11</v>
      </c>
      <c r="C104" s="170"/>
      <c r="D104" s="8">
        <v>0</v>
      </c>
      <c r="E104" s="157"/>
      <c r="F104" s="158"/>
      <c r="G104" s="158"/>
      <c r="H104" s="372">
        <v>330.56150000000002</v>
      </c>
      <c r="I104" s="373">
        <v>39.378894899999999</v>
      </c>
      <c r="J104" s="158">
        <f t="shared" si="27"/>
        <v>39.378894899999999</v>
      </c>
      <c r="K104" s="158">
        <f t="shared" si="10"/>
        <v>19.689447449999999</v>
      </c>
      <c r="L104" s="158">
        <f t="shared" si="11"/>
        <v>0.33692185572913086</v>
      </c>
      <c r="M104" s="158">
        <f t="shared" si="12"/>
        <v>111.3733940126051</v>
      </c>
      <c r="N104" s="158">
        <f t="shared" si="13"/>
        <v>222.74678802521021</v>
      </c>
      <c r="O104" s="158">
        <f>+C94+D95+D96+D97+D98+D99+D100+D101+D102+D103+(D104/2)</f>
        <v>0</v>
      </c>
      <c r="P104" s="158">
        <f t="shared" si="14"/>
        <v>0</v>
      </c>
      <c r="Q104" s="158">
        <f t="shared" si="15"/>
        <v>0</v>
      </c>
      <c r="R104" s="158">
        <f t="shared" si="16"/>
        <v>255.51323882084287</v>
      </c>
      <c r="S104" s="158">
        <f t="shared" si="28"/>
        <v>255.51323882084287</v>
      </c>
      <c r="T104" s="158">
        <f t="shared" si="3"/>
        <v>255.51323882084287</v>
      </c>
      <c r="U104" s="158"/>
      <c r="V104" s="158">
        <f t="shared" si="4"/>
        <v>0</v>
      </c>
      <c r="W104" s="158"/>
      <c r="X104" s="158"/>
      <c r="Y104" s="158"/>
      <c r="Z104" s="158"/>
      <c r="AA104" s="158"/>
      <c r="AB104" s="158"/>
      <c r="AC104" s="293" t="b">
        <f>IF(AD104=11,AF104)</f>
        <v>0</v>
      </c>
      <c r="AD104" s="293">
        <f t="shared" si="5"/>
        <v>1</v>
      </c>
      <c r="AE104" s="293">
        <f>IF(V104=0,0,11)</f>
        <v>0</v>
      </c>
      <c r="AF104" s="294">
        <f>SUM(V104:V105)/($B$91-B103)</f>
        <v>0</v>
      </c>
      <c r="AG104" s="299">
        <f>SUM(D95:D104)+$C$94</f>
        <v>0</v>
      </c>
      <c r="AH104" s="661" t="b">
        <f t="shared" si="6"/>
        <v>0</v>
      </c>
      <c r="AI104" s="435">
        <f t="shared" si="17"/>
        <v>54.5017821</v>
      </c>
      <c r="AJ104" s="436">
        <f t="shared" si="29"/>
        <v>0.81413357986421619</v>
      </c>
      <c r="AK104" s="435">
        <f t="shared" si="18"/>
        <v>343.49924001631013</v>
      </c>
      <c r="AL104" s="435">
        <f t="shared" si="19"/>
        <v>58.734415599999998</v>
      </c>
      <c r="AM104" s="436">
        <f t="shared" si="20"/>
        <v>0.85477073319485097</v>
      </c>
      <c r="AN104" s="435">
        <f t="shared" si="21"/>
        <v>403.50307231196138</v>
      </c>
      <c r="AO104" s="427">
        <f t="shared" si="7"/>
        <v>-9.3322178794444959</v>
      </c>
      <c r="AP104" s="660">
        <f t="shared" si="30"/>
        <v>-252</v>
      </c>
      <c r="AQ104" s="428">
        <f t="shared" si="31"/>
        <v>-239.8</v>
      </c>
      <c r="AR104" s="431">
        <f t="shared" si="22"/>
        <v>747.0023123282715</v>
      </c>
      <c r="AS104" s="323">
        <f t="shared" si="33"/>
        <v>-403.50307231196138</v>
      </c>
      <c r="AT104" s="323">
        <f t="shared" si="23"/>
        <v>394.17085443251688</v>
      </c>
      <c r="AU104" s="323">
        <f t="shared" si="32"/>
        <v>403.50307231196138</v>
      </c>
      <c r="AV104" s="323">
        <f t="shared" si="24"/>
        <v>-113.26468768174361</v>
      </c>
      <c r="AW104" s="323">
        <f t="shared" si="25"/>
        <v>-126.53531231825642</v>
      </c>
      <c r="AX104" s="297">
        <f t="shared" si="8"/>
        <v>-102.41497361114189</v>
      </c>
      <c r="AY104" s="297">
        <f t="shared" si="9"/>
        <v>-91.674014055650787</v>
      </c>
      <c r="AZ104" s="300">
        <f t="shared" si="26"/>
        <v>102.41497361114189</v>
      </c>
      <c r="BA104" s="300">
        <f t="shared" si="26"/>
        <v>91.674014055650787</v>
      </c>
      <c r="BJ104" s="120"/>
      <c r="BK104" s="120"/>
      <c r="BL104" s="120"/>
    </row>
    <row r="105" spans="2:64" ht="24.75" hidden="1" customHeight="1" thickBot="1" x14ac:dyDescent="0.45">
      <c r="B105" s="169">
        <v>12</v>
      </c>
      <c r="C105" s="170"/>
      <c r="D105" s="8">
        <v>0</v>
      </c>
      <c r="E105" s="157"/>
      <c r="F105" s="158"/>
      <c r="G105" s="158"/>
      <c r="H105" s="372">
        <v>330.56150000000002</v>
      </c>
      <c r="I105" s="373">
        <v>39.378894899999999</v>
      </c>
      <c r="J105" s="158">
        <f t="shared" si="27"/>
        <v>39.378894899999999</v>
      </c>
      <c r="K105" s="158">
        <f t="shared" si="10"/>
        <v>19.689447449999999</v>
      </c>
      <c r="L105" s="158">
        <f t="shared" si="11"/>
        <v>0.33692185572913086</v>
      </c>
      <c r="M105" s="158">
        <f t="shared" si="12"/>
        <v>111.3733940126051</v>
      </c>
      <c r="N105" s="158">
        <f t="shared" si="13"/>
        <v>222.74678802521021</v>
      </c>
      <c r="O105" s="158">
        <f>+C94+D95+D96+D97+D98+D99+D100+D101+D102+D103+D104+(D105/2)</f>
        <v>0</v>
      </c>
      <c r="P105" s="158">
        <f t="shared" si="14"/>
        <v>0</v>
      </c>
      <c r="Q105" s="158">
        <f t="shared" si="15"/>
        <v>0</v>
      </c>
      <c r="R105" s="158">
        <f t="shared" si="16"/>
        <v>255.51323882084287</v>
      </c>
      <c r="S105" s="158">
        <f t="shared" si="28"/>
        <v>255.51323882084287</v>
      </c>
      <c r="T105" s="158">
        <f t="shared" si="3"/>
        <v>255.51323882084287</v>
      </c>
      <c r="U105" s="158"/>
      <c r="V105" s="158">
        <f t="shared" si="4"/>
        <v>0</v>
      </c>
      <c r="W105" s="158"/>
      <c r="X105" s="158"/>
      <c r="Y105" s="158"/>
      <c r="Z105" s="158"/>
      <c r="AA105" s="158"/>
      <c r="AB105" s="158"/>
      <c r="AC105" s="293" t="b">
        <f>IF(AD105=12,AF105)</f>
        <v>0</v>
      </c>
      <c r="AD105" s="293">
        <f t="shared" si="5"/>
        <v>1</v>
      </c>
      <c r="AE105" s="293">
        <f>IF(V105=0,0,12)</f>
        <v>0</v>
      </c>
      <c r="AF105" s="294">
        <f>SUM(V105)/($B$91-B104)</f>
        <v>0</v>
      </c>
      <c r="AG105" s="299">
        <f>SUM(D95:D105)+$C$94</f>
        <v>0</v>
      </c>
      <c r="AH105" s="661" t="b">
        <f t="shared" si="6"/>
        <v>0</v>
      </c>
      <c r="AI105" s="435">
        <f t="shared" si="17"/>
        <v>54.5017821</v>
      </c>
      <c r="AJ105" s="436">
        <f t="shared" si="29"/>
        <v>0.81413357986421619</v>
      </c>
      <c r="AK105" s="435">
        <f t="shared" si="18"/>
        <v>343.49924001631013</v>
      </c>
      <c r="AL105" s="435">
        <f t="shared" si="19"/>
        <v>58.734415599999998</v>
      </c>
      <c r="AM105" s="436">
        <f t="shared" si="20"/>
        <v>0.85477073319485097</v>
      </c>
      <c r="AN105" s="435">
        <f t="shared" si="21"/>
        <v>403.50307231196138</v>
      </c>
      <c r="AO105" s="427">
        <f t="shared" si="7"/>
        <v>-8.3564818801000378</v>
      </c>
      <c r="AP105" s="660">
        <f t="shared" si="30"/>
        <v>-280</v>
      </c>
      <c r="AQ105" s="428">
        <f t="shared" si="31"/>
        <v>-267.8</v>
      </c>
      <c r="AR105" s="431">
        <f t="shared" si="22"/>
        <v>747.0023123282715</v>
      </c>
      <c r="AS105" s="323">
        <f t="shared" si="33"/>
        <v>-403.50307231196138</v>
      </c>
      <c r="AT105" s="323">
        <f t="shared" si="23"/>
        <v>395.14659043186134</v>
      </c>
      <c r="AU105" s="323">
        <f t="shared" si="32"/>
        <v>403.50307231196138</v>
      </c>
      <c r="AV105" s="323">
        <f t="shared" si="24"/>
        <v>-126.14012134737602</v>
      </c>
      <c r="AW105" s="323">
        <f t="shared" si="25"/>
        <v>-141.659878652624</v>
      </c>
      <c r="AX105" s="297">
        <f t="shared" si="8"/>
        <v>-91.961224359812334</v>
      </c>
      <c r="AY105" s="297">
        <f t="shared" si="9"/>
        <v>-81.886276554318727</v>
      </c>
      <c r="AZ105" s="300">
        <f t="shared" si="26"/>
        <v>91.961224359812334</v>
      </c>
      <c r="BA105" s="300">
        <f t="shared" si="26"/>
        <v>81.886276554318727</v>
      </c>
      <c r="BJ105" s="120"/>
      <c r="BK105" s="120"/>
      <c r="BL105" s="120"/>
    </row>
    <row r="106" spans="2:64" ht="21" hidden="1" thickBot="1" x14ac:dyDescent="0.45">
      <c r="B106" s="31"/>
      <c r="C106" s="31"/>
      <c r="D106" s="53"/>
      <c r="E106" s="53"/>
      <c r="F106" s="53"/>
      <c r="G106" s="53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168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301" t="s">
        <v>58</v>
      </c>
      <c r="AH106" s="662">
        <f>MAX(AH94:AH105)</f>
        <v>0</v>
      </c>
      <c r="AI106" s="264"/>
      <c r="AJ106" s="264"/>
      <c r="AK106" s="264"/>
      <c r="AL106" s="264"/>
      <c r="AM106" s="264"/>
      <c r="AN106" s="264"/>
      <c r="AO106" s="264"/>
      <c r="AP106" s="426"/>
      <c r="AQ106" s="264"/>
      <c r="AR106" s="264"/>
      <c r="AS106" s="264"/>
      <c r="AT106" s="264"/>
      <c r="AU106" s="264"/>
      <c r="AV106" s="264"/>
      <c r="AW106" s="264"/>
      <c r="AX106" s="264"/>
      <c r="AY106" s="264"/>
      <c r="AZ106" s="264"/>
      <c r="BA106" s="264"/>
      <c r="BJ106" s="120"/>
      <c r="BK106" s="120"/>
      <c r="BL106" s="120"/>
    </row>
    <row r="107" spans="2:64" ht="20.25" hidden="1" x14ac:dyDescent="0.4">
      <c r="B107" s="225"/>
      <c r="C107" s="31"/>
      <c r="D107" s="53"/>
      <c r="E107" s="53"/>
      <c r="F107" s="53"/>
      <c r="G107" s="53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168"/>
      <c r="V107" s="264"/>
      <c r="W107" s="264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64"/>
      <c r="AP107" s="264"/>
      <c r="AQ107" s="264"/>
      <c r="AR107" s="264"/>
      <c r="AS107" s="264"/>
      <c r="AT107" s="264"/>
      <c r="AU107" s="264"/>
      <c r="AV107" s="264"/>
      <c r="AW107" s="264"/>
      <c r="AX107" s="264"/>
      <c r="AY107" s="264"/>
      <c r="AZ107" s="264"/>
      <c r="BA107" s="264"/>
      <c r="BJ107" s="120"/>
      <c r="BK107" s="120"/>
      <c r="BL107" s="120"/>
    </row>
    <row r="108" spans="2:64" ht="20.25" hidden="1" customHeight="1" x14ac:dyDescent="0.4">
      <c r="B108" s="31"/>
      <c r="AB108" s="273"/>
      <c r="AC108" s="273"/>
      <c r="AD108" s="273"/>
      <c r="AE108" s="273"/>
      <c r="BJ108" s="120"/>
      <c r="BK108" s="120"/>
      <c r="BL108" s="120"/>
    </row>
    <row r="109" spans="2:64" ht="21" hidden="1" customHeight="1" x14ac:dyDescent="0.25">
      <c r="B109" s="31"/>
      <c r="V109" s="271"/>
      <c r="W109" s="271"/>
      <c r="X109" s="271"/>
      <c r="Y109" s="271"/>
      <c r="Z109" s="271"/>
      <c r="AA109" s="271"/>
      <c r="AB109" s="271"/>
      <c r="AC109" s="271"/>
      <c r="AD109" s="271"/>
      <c r="AE109" s="271"/>
      <c r="AF109" s="271"/>
      <c r="AG109" s="271"/>
      <c r="AH109" s="271"/>
      <c r="AI109" s="271"/>
      <c r="AJ109" s="271"/>
      <c r="AK109" s="271"/>
      <c r="AL109" s="271"/>
      <c r="AM109" s="271"/>
      <c r="AN109" s="271"/>
      <c r="AO109" s="271"/>
      <c r="AP109" s="271"/>
      <c r="AQ109" s="271"/>
      <c r="AR109" s="271"/>
      <c r="AS109" s="271"/>
      <c r="AT109" s="271"/>
      <c r="AU109" s="271"/>
      <c r="AV109" s="271"/>
      <c r="AW109" s="271"/>
      <c r="AX109" s="271"/>
      <c r="AY109" s="271"/>
      <c r="AZ109" s="271"/>
      <c r="BA109" s="271"/>
    </row>
    <row r="110" spans="2:64" ht="33.75" customHeight="1" thickBot="1" x14ac:dyDescent="0.3">
      <c r="U110" s="263"/>
      <c r="V110" s="271"/>
      <c r="W110" s="271"/>
      <c r="X110" s="271"/>
      <c r="Y110" s="271"/>
      <c r="Z110" s="271"/>
      <c r="AA110" s="271"/>
      <c r="AB110" s="271"/>
      <c r="AC110" s="271"/>
      <c r="AD110" s="271"/>
      <c r="AE110" s="271"/>
      <c r="AF110" s="271"/>
      <c r="AG110" s="271"/>
      <c r="AH110" s="271"/>
      <c r="AI110" s="271"/>
      <c r="AJ110" s="271"/>
      <c r="AK110" s="271"/>
      <c r="AL110" s="271"/>
      <c r="AM110" s="271"/>
      <c r="AN110" s="271"/>
      <c r="AO110" s="271"/>
      <c r="AP110" s="271"/>
      <c r="AQ110" s="271"/>
      <c r="AR110" s="271"/>
      <c r="AS110" s="271"/>
      <c r="AT110" s="271"/>
      <c r="AU110" s="271"/>
      <c r="AV110" s="271"/>
      <c r="AW110" s="271"/>
      <c r="AX110" s="271"/>
      <c r="AY110" s="271"/>
      <c r="AZ110" s="271"/>
      <c r="BA110" s="271"/>
    </row>
    <row r="111" spans="2:64" ht="73.5" customHeight="1" thickBot="1" x14ac:dyDescent="0.35">
      <c r="B111" s="221" t="s">
        <v>110</v>
      </c>
      <c r="C111" s="302"/>
      <c r="D111" s="303"/>
      <c r="E111" s="103"/>
      <c r="F111" s="103"/>
      <c r="G111" s="103"/>
      <c r="H111" s="304"/>
      <c r="I111" s="304"/>
      <c r="J111" s="304"/>
      <c r="K111" s="304"/>
      <c r="L111" s="304"/>
      <c r="M111" s="304"/>
      <c r="N111" s="304"/>
      <c r="O111" s="304"/>
      <c r="P111" s="304"/>
      <c r="Q111" s="304"/>
      <c r="R111" s="304"/>
      <c r="S111" s="305" t="s">
        <v>81</v>
      </c>
      <c r="T111" s="305">
        <f>SUM(V115:V120)/B112</f>
        <v>183.43162684350742</v>
      </c>
      <c r="U111" s="306"/>
      <c r="V111" s="271"/>
      <c r="W111" s="271"/>
      <c r="X111" s="271"/>
      <c r="Y111" s="271"/>
      <c r="Z111" s="271"/>
      <c r="AA111" s="271"/>
      <c r="AB111" s="271"/>
      <c r="AC111" s="271"/>
      <c r="AD111" s="271"/>
      <c r="AE111" s="271"/>
      <c r="AF111" s="271"/>
      <c r="AG111" s="271"/>
      <c r="AH111" s="271"/>
      <c r="AI111" s="271"/>
      <c r="AJ111" s="271"/>
      <c r="AK111" s="271"/>
      <c r="AL111" s="271"/>
      <c r="AM111" s="271"/>
      <c r="AN111" s="271"/>
      <c r="AO111" s="271"/>
      <c r="AP111" s="271"/>
      <c r="AQ111" s="271"/>
      <c r="AR111" s="271"/>
      <c r="AS111" s="271"/>
      <c r="AT111" s="271"/>
      <c r="AU111" s="271"/>
      <c r="AV111" s="271"/>
      <c r="AW111" s="271"/>
      <c r="AX111" s="271"/>
      <c r="AY111" s="271"/>
      <c r="AZ111" s="271"/>
      <c r="BA111" s="271"/>
    </row>
    <row r="112" spans="2:64" ht="43.5" customHeight="1" thickBot="1" x14ac:dyDescent="0.45">
      <c r="B112" s="10">
        <v>1</v>
      </c>
      <c r="C112" s="121"/>
      <c r="D112" s="193"/>
      <c r="E112" s="213"/>
      <c r="F112" s="213"/>
      <c r="G112" s="213"/>
      <c r="H112" s="453"/>
      <c r="I112" s="454"/>
      <c r="J112" s="307"/>
      <c r="K112" s="307"/>
      <c r="L112" s="307"/>
      <c r="M112" s="307"/>
      <c r="N112" s="307"/>
      <c r="O112" s="307"/>
      <c r="P112" s="307"/>
      <c r="Q112" s="307"/>
      <c r="R112" s="307"/>
      <c r="S112" s="308"/>
      <c r="T112" s="309"/>
      <c r="U112" s="265"/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0"/>
      <c r="AJ112" s="310"/>
      <c r="AK112" s="310"/>
      <c r="AL112" s="310"/>
      <c r="AM112" s="310"/>
      <c r="AN112" s="310"/>
      <c r="AO112" s="310"/>
      <c r="AP112" s="310"/>
      <c r="AQ112" s="310"/>
      <c r="AR112" s="310"/>
      <c r="AS112" s="310"/>
      <c r="AT112" s="310"/>
      <c r="AU112" s="310"/>
      <c r="AV112" s="310"/>
      <c r="AW112" s="310"/>
      <c r="AX112" s="310"/>
      <c r="AY112" s="310"/>
      <c r="AZ112" s="724" t="s">
        <v>44</v>
      </c>
      <c r="BA112" s="725"/>
    </row>
    <row r="113" spans="2:80" ht="75" hidden="1" customHeight="1" thickBot="1" x14ac:dyDescent="0.3">
      <c r="B113" s="274"/>
      <c r="C113" s="275"/>
      <c r="D113" s="229"/>
      <c r="E113" s="53"/>
      <c r="F113" s="53"/>
      <c r="G113" s="53"/>
      <c r="H113" s="311" t="s">
        <v>4</v>
      </c>
      <c r="I113" s="311" t="s">
        <v>1</v>
      </c>
      <c r="J113" s="304" t="s">
        <v>0</v>
      </c>
      <c r="K113" s="304" t="s">
        <v>2</v>
      </c>
      <c r="L113" s="304" t="s">
        <v>3</v>
      </c>
      <c r="M113" s="304" t="s">
        <v>8</v>
      </c>
      <c r="N113" s="304" t="s">
        <v>5</v>
      </c>
      <c r="O113" s="304" t="s">
        <v>6</v>
      </c>
      <c r="P113" s="304" t="s">
        <v>7</v>
      </c>
      <c r="Q113" s="304" t="s">
        <v>9</v>
      </c>
      <c r="R113" s="312" t="s">
        <v>10</v>
      </c>
      <c r="S113" s="304" t="s">
        <v>11</v>
      </c>
      <c r="T113" s="313" t="s">
        <v>12</v>
      </c>
      <c r="U113" s="32"/>
      <c r="V113" s="279"/>
      <c r="W113" s="279"/>
      <c r="X113" s="279"/>
      <c r="Y113" s="279"/>
      <c r="Z113" s="279"/>
      <c r="AA113" s="279"/>
      <c r="AB113" s="279"/>
      <c r="AC113" s="279"/>
      <c r="AD113" s="279"/>
      <c r="AE113" s="279"/>
      <c r="AF113" s="279"/>
      <c r="AG113" s="279"/>
      <c r="AH113" s="279"/>
      <c r="AI113" s="425" t="s">
        <v>90</v>
      </c>
      <c r="AJ113" s="425" t="s">
        <v>90</v>
      </c>
      <c r="AK113" s="425" t="s">
        <v>90</v>
      </c>
      <c r="AL113" s="425" t="s">
        <v>90</v>
      </c>
      <c r="AM113" s="425" t="s">
        <v>90</v>
      </c>
      <c r="AN113" s="425" t="s">
        <v>90</v>
      </c>
      <c r="AO113" s="279"/>
      <c r="AP113" s="279"/>
      <c r="AQ113" s="279"/>
      <c r="AR113" s="279"/>
      <c r="AS113" s="279"/>
      <c r="AT113" s="279"/>
      <c r="AU113" s="279"/>
      <c r="AV113" s="279"/>
      <c r="AW113" s="279"/>
      <c r="AX113" s="273"/>
      <c r="AY113" s="279"/>
      <c r="AZ113" s="279"/>
      <c r="BA113" s="279"/>
    </row>
    <row r="114" spans="2:80" ht="55.5" hidden="1" customHeight="1" thickBot="1" x14ac:dyDescent="0.35">
      <c r="B114" s="280"/>
      <c r="C114" s="281"/>
      <c r="D114" s="446" t="s">
        <v>97</v>
      </c>
      <c r="E114" s="213"/>
      <c r="F114" s="314"/>
      <c r="G114" s="145"/>
      <c r="H114" s="447"/>
      <c r="I114" s="448"/>
      <c r="J114" s="264"/>
      <c r="K114" s="264"/>
      <c r="L114" s="264"/>
      <c r="M114" s="264"/>
      <c r="N114" s="264"/>
      <c r="O114" s="264"/>
      <c r="P114" s="264"/>
      <c r="Q114" s="264"/>
      <c r="R114" s="451"/>
      <c r="S114" s="264"/>
      <c r="T114" s="315"/>
      <c r="U114" s="32"/>
      <c r="V114" s="279"/>
      <c r="W114" s="279"/>
      <c r="X114" s="279"/>
      <c r="Y114" s="279"/>
      <c r="Z114" s="279"/>
      <c r="AA114" s="279"/>
      <c r="AB114" s="279"/>
      <c r="AC114" s="279"/>
      <c r="AD114" s="279"/>
      <c r="AE114" s="279"/>
      <c r="AF114" s="279" t="s">
        <v>34</v>
      </c>
      <c r="AG114" s="284" t="s">
        <v>27</v>
      </c>
      <c r="AH114" s="284"/>
      <c r="AI114" s="434" t="s">
        <v>77</v>
      </c>
      <c r="AJ114" s="433" t="s">
        <v>28</v>
      </c>
      <c r="AK114" s="437" t="s">
        <v>83</v>
      </c>
      <c r="AL114" s="434" t="s">
        <v>78</v>
      </c>
      <c r="AM114" s="432" t="s">
        <v>30</v>
      </c>
      <c r="AN114" s="437" t="s">
        <v>84</v>
      </c>
      <c r="AO114" s="285"/>
      <c r="AP114" s="429" t="s">
        <v>96</v>
      </c>
      <c r="AQ114" s="287"/>
      <c r="AR114" s="321" t="s">
        <v>33</v>
      </c>
      <c r="AS114" s="321" t="s">
        <v>35</v>
      </c>
      <c r="AT114" s="321"/>
      <c r="AU114" s="321" t="s">
        <v>36</v>
      </c>
      <c r="AV114" s="430" t="s">
        <v>37</v>
      </c>
      <c r="AW114" s="430" t="s">
        <v>38</v>
      </c>
      <c r="AX114" s="288" t="s">
        <v>20</v>
      </c>
      <c r="AY114" s="288" t="s">
        <v>21</v>
      </c>
      <c r="AZ114" s="289" t="s">
        <v>20</v>
      </c>
      <c r="BA114" s="289" t="s">
        <v>21</v>
      </c>
    </row>
    <row r="115" spans="2:80" ht="18.75" hidden="1" thickBot="1" x14ac:dyDescent="0.3">
      <c r="B115" s="155">
        <v>1</v>
      </c>
      <c r="C115" s="156">
        <f>+AH106+D115</f>
        <v>20</v>
      </c>
      <c r="D115" s="8">
        <v>20</v>
      </c>
      <c r="E115" s="157"/>
      <c r="F115" s="158"/>
      <c r="G115" s="158">
        <f>+D115</f>
        <v>20</v>
      </c>
      <c r="H115" s="449">
        <v>188.8612</v>
      </c>
      <c r="I115" s="450">
        <v>67.527957799999996</v>
      </c>
      <c r="J115" s="316">
        <f>+I115-C115</f>
        <v>47.527957799999996</v>
      </c>
      <c r="K115" s="316">
        <f>+J115/2</f>
        <v>23.763978899999998</v>
      </c>
      <c r="L115" s="316">
        <f t="shared" ref="L115:L120" si="34">SIN(K115*3.14159265358979/180)</f>
        <v>0.40296999357892477</v>
      </c>
      <c r="M115" s="316">
        <f t="shared" ref="M115:M120" si="35">+L115*H115</f>
        <v>76.105396551308019</v>
      </c>
      <c r="N115" s="316">
        <f t="shared" ref="N115:N120" si="36">+M115*2</f>
        <v>152.21079310261604</v>
      </c>
      <c r="O115" s="316">
        <f>+C115/2</f>
        <v>10</v>
      </c>
      <c r="P115" s="316">
        <f t="shared" ref="P115:P120" si="37">SIN(O115*3.14159265358979/180)</f>
        <v>0.17364817766693016</v>
      </c>
      <c r="Q115" s="316">
        <f t="shared" ref="Q115:Q120" si="38">+P115*N115</f>
        <v>26.431126843507418</v>
      </c>
      <c r="R115" s="452">
        <v>157.00049999999999</v>
      </c>
      <c r="S115" s="316">
        <f>+R115+Q115</f>
        <v>183.43162684350742</v>
      </c>
      <c r="T115" s="317">
        <f t="shared" ref="T115:T120" si="39">+S115</f>
        <v>183.43162684350742</v>
      </c>
      <c r="V115" s="294">
        <f t="shared" ref="V115:V120" si="40">IF(B115&lt;($B$112+1),T115,0)</f>
        <v>183.43162684350742</v>
      </c>
      <c r="W115" s="294"/>
      <c r="X115" s="294"/>
      <c r="Y115" s="294"/>
      <c r="Z115" s="294"/>
      <c r="AA115" s="294"/>
      <c r="AB115" s="318"/>
      <c r="AC115" s="319"/>
      <c r="AD115" s="319"/>
      <c r="AE115" s="319"/>
      <c r="AF115" s="294">
        <f>SUM(V115:V122)/($B$112)</f>
        <v>183.43162684350742</v>
      </c>
      <c r="AG115" s="299">
        <f>C115</f>
        <v>20</v>
      </c>
      <c r="AH115" s="299"/>
      <c r="AI115" s="438">
        <f>66.2555484-AG115</f>
        <v>46.255548399999995</v>
      </c>
      <c r="AJ115" s="436">
        <f t="shared" ref="AJ115:AJ120" si="41">SIN(AI115*3.14159265358979/180)</f>
        <v>0.72243092330897785</v>
      </c>
      <c r="AK115" s="438">
        <f>+AJ115*304.3209</f>
        <v>219.85082876921911</v>
      </c>
      <c r="AL115" s="438">
        <f>50.0185497+AG115</f>
        <v>70.018549699999994</v>
      </c>
      <c r="AM115" s="436">
        <f>SIN(AL115*3.14159265358979/180)</f>
        <v>0.93980330170029414</v>
      </c>
      <c r="AN115" s="438">
        <f>+AM115*279.0605</f>
        <v>262.26197927413494</v>
      </c>
      <c r="AO115" s="320"/>
      <c r="AP115" s="429">
        <f>12.2*B112</f>
        <v>12.2</v>
      </c>
      <c r="AQ115" s="296"/>
      <c r="AR115" s="431">
        <f>+AN115+AK115</f>
        <v>482.11280804335405</v>
      </c>
      <c r="AS115" s="323">
        <f>+V115-AN115</f>
        <v>-78.830352430627528</v>
      </c>
      <c r="AT115" s="323"/>
      <c r="AU115" s="323">
        <f>+AF115-AS115</f>
        <v>262.26197927413494</v>
      </c>
      <c r="AV115" s="323">
        <f>+((AR115-AU115)/AR115)*AP115</f>
        <v>5.563386963043051</v>
      </c>
      <c r="AW115" s="323">
        <f>+(AU115/AR115)*AP115</f>
        <v>6.6366130369569483</v>
      </c>
      <c r="AX115" s="297">
        <f t="shared" ref="AX115:AX122" si="42">2*$C$18/AV115</f>
        <v>2085.0607870812305</v>
      </c>
      <c r="AY115" s="297">
        <f t="shared" ref="AY115:AY122" si="43">$D$18/AW115</f>
        <v>1506.7926884260903</v>
      </c>
      <c r="AZ115" s="300">
        <f>ABS(AX115)</f>
        <v>2085.0607870812305</v>
      </c>
      <c r="BA115" s="300">
        <f>ABS(AY115)</f>
        <v>1506.7926884260903</v>
      </c>
    </row>
    <row r="116" spans="2:80" ht="18.75" hidden="1" thickBot="1" x14ac:dyDescent="0.3">
      <c r="B116" s="169">
        <v>2</v>
      </c>
      <c r="C116" s="170"/>
      <c r="D116" s="8">
        <v>20</v>
      </c>
      <c r="E116" s="171"/>
      <c r="F116" s="158"/>
      <c r="G116" s="158">
        <f t="shared" ref="G116:G122" si="44">+D116</f>
        <v>20</v>
      </c>
      <c r="H116" s="449">
        <v>188.8612</v>
      </c>
      <c r="I116" s="450">
        <v>67.527957799999996</v>
      </c>
      <c r="J116" s="316">
        <f t="shared" ref="J116:J120" si="45">+I116-D116</f>
        <v>47.527957799999996</v>
      </c>
      <c r="K116" s="316">
        <f t="shared" ref="K116:K120" si="46">+J116/2</f>
        <v>23.763978899999998</v>
      </c>
      <c r="L116" s="316">
        <f t="shared" si="34"/>
        <v>0.40296999357892477</v>
      </c>
      <c r="M116" s="316">
        <f t="shared" si="35"/>
        <v>76.105396551308019</v>
      </c>
      <c r="N116" s="316">
        <f t="shared" si="36"/>
        <v>152.21079310261604</v>
      </c>
      <c r="O116" s="316">
        <f>+C115+(D116/2)</f>
        <v>30</v>
      </c>
      <c r="P116" s="316">
        <f t="shared" si="37"/>
        <v>0.49999999999999956</v>
      </c>
      <c r="Q116" s="316">
        <f t="shared" si="38"/>
        <v>76.105396551307948</v>
      </c>
      <c r="R116" s="316">
        <f t="shared" ref="R116:R120" si="47">+T115</f>
        <v>183.43162684350742</v>
      </c>
      <c r="S116" s="316">
        <f>+R116+Q116</f>
        <v>259.53702339481538</v>
      </c>
      <c r="T116" s="317">
        <f t="shared" si="39"/>
        <v>259.53702339481538</v>
      </c>
      <c r="V116" s="294">
        <f t="shared" si="40"/>
        <v>0</v>
      </c>
      <c r="W116" s="294"/>
      <c r="X116" s="294"/>
      <c r="Y116" s="294"/>
      <c r="Z116" s="294"/>
      <c r="AA116" s="294"/>
      <c r="AB116" s="318"/>
      <c r="AC116" s="319"/>
      <c r="AD116" s="319"/>
      <c r="AE116" s="319"/>
      <c r="AF116" s="294" t="e">
        <f>SUM(V116:V122)/($B$112-B115)</f>
        <v>#DIV/0!</v>
      </c>
      <c r="AG116" s="299">
        <f>SUM(D116)+$C$115</f>
        <v>40</v>
      </c>
      <c r="AH116" s="299"/>
      <c r="AI116" s="438">
        <f t="shared" ref="AI116:AI120" si="48">66.2555484-AG116</f>
        <v>26.255548399999995</v>
      </c>
      <c r="AJ116" s="436">
        <f t="shared" si="41"/>
        <v>0.44237553937148383</v>
      </c>
      <c r="AK116" s="438">
        <f t="shared" ref="AK116:AK120" si="49">+AJ116*304.3209</f>
        <v>134.6241222795154</v>
      </c>
      <c r="AL116" s="438">
        <f t="shared" ref="AL116:AL120" si="50">50.0185497+AG116</f>
        <v>90.018549699999994</v>
      </c>
      <c r="AM116" s="436">
        <f t="shared" ref="AM116:AM120" si="51">SIN(AL116*3.14159265358979/180)</f>
        <v>0.99999994759188782</v>
      </c>
      <c r="AN116" s="438">
        <f t="shared" ref="AN116:AN120" si="52">+AM116*279.0605</f>
        <v>279.06048537496599</v>
      </c>
      <c r="AO116" s="320"/>
      <c r="AP116" s="429">
        <f>12.2*($B$112-B115)</f>
        <v>0</v>
      </c>
      <c r="AQ116" s="296"/>
      <c r="AR116" s="431">
        <f t="shared" ref="AR116:AR120" si="53">+AN116+AK116</f>
        <v>413.6846076544814</v>
      </c>
      <c r="AS116" s="323">
        <f>+V116-AN116</f>
        <v>-279.06048537496599</v>
      </c>
      <c r="AT116" s="323"/>
      <c r="AU116" s="323" t="e">
        <f>+AF116-AS116</f>
        <v>#DIV/0!</v>
      </c>
      <c r="AV116" s="323" t="e">
        <f t="shared" ref="AV116:AV120" si="54">+((AR116-AU116)/AR116)*AP116</f>
        <v>#DIV/0!</v>
      </c>
      <c r="AW116" s="323" t="e">
        <f t="shared" ref="AW116:AW120" si="55">+(AU116/AR116)*AP116</f>
        <v>#DIV/0!</v>
      </c>
      <c r="AX116" s="297" t="e">
        <f t="shared" si="42"/>
        <v>#DIV/0!</v>
      </c>
      <c r="AY116" s="297" t="e">
        <f t="shared" si="43"/>
        <v>#DIV/0!</v>
      </c>
      <c r="AZ116" s="300" t="e">
        <f t="shared" ref="AZ116:BA120" si="56">ABS(AX116)</f>
        <v>#DIV/0!</v>
      </c>
      <c r="BA116" s="300" t="e">
        <f t="shared" si="56"/>
        <v>#DIV/0!</v>
      </c>
    </row>
    <row r="117" spans="2:80" ht="18.75" hidden="1" thickBot="1" x14ac:dyDescent="0.3">
      <c r="B117" s="169">
        <v>3</v>
      </c>
      <c r="C117" s="170"/>
      <c r="D117" s="8">
        <v>20</v>
      </c>
      <c r="E117" s="171"/>
      <c r="F117" s="158"/>
      <c r="G117" s="158">
        <f t="shared" si="44"/>
        <v>20</v>
      </c>
      <c r="H117" s="449">
        <v>188.8612</v>
      </c>
      <c r="I117" s="450">
        <v>67.527957799999996</v>
      </c>
      <c r="J117" s="316">
        <f t="shared" si="45"/>
        <v>47.527957799999996</v>
      </c>
      <c r="K117" s="316">
        <f t="shared" si="46"/>
        <v>23.763978899999998</v>
      </c>
      <c r="L117" s="316">
        <f t="shared" si="34"/>
        <v>0.40296999357892477</v>
      </c>
      <c r="M117" s="316">
        <f t="shared" si="35"/>
        <v>76.105396551308019</v>
      </c>
      <c r="N117" s="316">
        <f t="shared" si="36"/>
        <v>152.21079310261604</v>
      </c>
      <c r="O117" s="316">
        <f>+C115+D116+(D117/2)</f>
        <v>50</v>
      </c>
      <c r="P117" s="316">
        <f t="shared" si="37"/>
        <v>0.76604444311897746</v>
      </c>
      <c r="Q117" s="316">
        <f t="shared" si="38"/>
        <v>116.6002322389914</v>
      </c>
      <c r="R117" s="316">
        <f t="shared" si="47"/>
        <v>259.53702339481538</v>
      </c>
      <c r="S117" s="316">
        <f t="shared" ref="S117:S120" si="57">+S116+Q117</f>
        <v>376.13725563380677</v>
      </c>
      <c r="T117" s="317">
        <f t="shared" si="39"/>
        <v>376.13725563380677</v>
      </c>
      <c r="V117" s="294">
        <f t="shared" si="40"/>
        <v>0</v>
      </c>
      <c r="W117" s="294"/>
      <c r="X117" s="294"/>
      <c r="Y117" s="294"/>
      <c r="Z117" s="294"/>
      <c r="AA117" s="294"/>
      <c r="AB117" s="318"/>
      <c r="AC117" s="319"/>
      <c r="AD117" s="319"/>
      <c r="AE117" s="319"/>
      <c r="AF117" s="294">
        <f>SUM(V117:V122)/($B$112-B116)</f>
        <v>0</v>
      </c>
      <c r="AG117" s="299">
        <f>SUM(D116:D117)+$C$115</f>
        <v>60</v>
      </c>
      <c r="AH117" s="299"/>
      <c r="AI117" s="438">
        <f t="shared" si="48"/>
        <v>6.255548399999995</v>
      </c>
      <c r="AJ117" s="436">
        <f t="shared" si="41"/>
        <v>0.10896313661816119</v>
      </c>
      <c r="AK117" s="438">
        <f t="shared" si="49"/>
        <v>33.159759802461771</v>
      </c>
      <c r="AL117" s="438">
        <f t="shared" si="50"/>
        <v>110.01854969999999</v>
      </c>
      <c r="AM117" s="436">
        <f t="shared" si="51"/>
        <v>0.93958184137649026</v>
      </c>
      <c r="AN117" s="438">
        <f t="shared" si="52"/>
        <v>262.20017844544407</v>
      </c>
      <c r="AO117" s="320"/>
      <c r="AP117" s="429">
        <f t="shared" ref="AP117:AP122" si="58">12.2*($B$112-B116)</f>
        <v>-12.2</v>
      </c>
      <c r="AQ117" s="296"/>
      <c r="AR117" s="431">
        <f t="shared" si="53"/>
        <v>295.35993824790586</v>
      </c>
      <c r="AS117" s="323">
        <f>+V117-AN117</f>
        <v>-262.20017844544407</v>
      </c>
      <c r="AT117" s="323"/>
      <c r="AU117" s="323">
        <f>+AF117-AS117</f>
        <v>262.20017844544407</v>
      </c>
      <c r="AV117" s="323">
        <f t="shared" si="54"/>
        <v>-1.3696815891479559</v>
      </c>
      <c r="AW117" s="323">
        <f t="shared" si="55"/>
        <v>-10.830318410852044</v>
      </c>
      <c r="AX117" s="297">
        <f t="shared" si="42"/>
        <v>-8469.1216498106442</v>
      </c>
      <c r="AY117" s="297">
        <f t="shared" si="43"/>
        <v>-923.33388739336965</v>
      </c>
      <c r="AZ117" s="300">
        <f t="shared" si="56"/>
        <v>8469.1216498106442</v>
      </c>
      <c r="BA117" s="300">
        <f t="shared" si="56"/>
        <v>923.33388739336965</v>
      </c>
    </row>
    <row r="118" spans="2:80" ht="18.75" hidden="1" thickBot="1" x14ac:dyDescent="0.3">
      <c r="B118" s="169">
        <v>4</v>
      </c>
      <c r="C118" s="170"/>
      <c r="D118" s="8">
        <v>20</v>
      </c>
      <c r="E118" s="171"/>
      <c r="F118" s="158"/>
      <c r="G118" s="158">
        <f t="shared" si="44"/>
        <v>20</v>
      </c>
      <c r="H118" s="449">
        <v>188.8612</v>
      </c>
      <c r="I118" s="450">
        <v>67.527957799999996</v>
      </c>
      <c r="J118" s="316">
        <f t="shared" si="45"/>
        <v>47.527957799999996</v>
      </c>
      <c r="K118" s="316">
        <f t="shared" si="46"/>
        <v>23.763978899999998</v>
      </c>
      <c r="L118" s="316">
        <f t="shared" si="34"/>
        <v>0.40296999357892477</v>
      </c>
      <c r="M118" s="316">
        <f t="shared" si="35"/>
        <v>76.105396551308019</v>
      </c>
      <c r="N118" s="316">
        <f t="shared" si="36"/>
        <v>152.21079310261604</v>
      </c>
      <c r="O118" s="316">
        <f>+C115+D116+D117+(D118/2)</f>
        <v>70</v>
      </c>
      <c r="P118" s="316">
        <f t="shared" si="37"/>
        <v>0.93969262078590798</v>
      </c>
      <c r="Q118" s="316">
        <f t="shared" si="38"/>
        <v>143.03135908249888</v>
      </c>
      <c r="R118" s="316">
        <f t="shared" si="47"/>
        <v>376.13725563380677</v>
      </c>
      <c r="S118" s="316">
        <f t="shared" si="57"/>
        <v>519.16861471630568</v>
      </c>
      <c r="T118" s="317">
        <f t="shared" si="39"/>
        <v>519.16861471630568</v>
      </c>
      <c r="V118" s="294">
        <f t="shared" si="40"/>
        <v>0</v>
      </c>
      <c r="W118" s="294"/>
      <c r="X118" s="294"/>
      <c r="Y118" s="294"/>
      <c r="Z118" s="294"/>
      <c r="AA118" s="294"/>
      <c r="AB118" s="318"/>
      <c r="AC118" s="319"/>
      <c r="AD118" s="319"/>
      <c r="AE118" s="319"/>
      <c r="AF118" s="294">
        <f>SUM(V118:V123)/($B$112-B117)</f>
        <v>0</v>
      </c>
      <c r="AG118" s="299">
        <f>SUM(D116:D118)+$C$115</f>
        <v>80</v>
      </c>
      <c r="AH118" s="299"/>
      <c r="AI118" s="438">
        <f t="shared" si="48"/>
        <v>-13.744451600000005</v>
      </c>
      <c r="AJ118" s="436">
        <f t="shared" si="41"/>
        <v>-0.23759182853593805</v>
      </c>
      <c r="AK118" s="438">
        <f t="shared" si="49"/>
        <v>-72.304159092702349</v>
      </c>
      <c r="AL118" s="438">
        <f t="shared" si="50"/>
        <v>130.01854969999999</v>
      </c>
      <c r="AM118" s="436">
        <f t="shared" si="51"/>
        <v>0.76583629833995992</v>
      </c>
      <c r="AN118" s="438">
        <f t="shared" si="52"/>
        <v>213.71466033289838</v>
      </c>
      <c r="AO118" s="320"/>
      <c r="AP118" s="429">
        <f t="shared" si="58"/>
        <v>-24.4</v>
      </c>
      <c r="AQ118" s="296"/>
      <c r="AR118" s="431">
        <f t="shared" si="53"/>
        <v>141.41050124019603</v>
      </c>
      <c r="AS118" s="323">
        <f>+V118-AN118</f>
        <v>-213.71466033289838</v>
      </c>
      <c r="AT118" s="323"/>
      <c r="AU118" s="323">
        <f t="shared" ref="AU118:AU120" si="59">+AF118-AS118</f>
        <v>213.71466033289838</v>
      </c>
      <c r="AV118" s="323">
        <f t="shared" si="54"/>
        <v>12.475887337852502</v>
      </c>
      <c r="AW118" s="323">
        <f t="shared" si="55"/>
        <v>-36.875887337852504</v>
      </c>
      <c r="AX118" s="297">
        <f t="shared" si="42"/>
        <v>929.79358388440926</v>
      </c>
      <c r="AY118" s="297">
        <f t="shared" si="43"/>
        <v>-271.17991516736089</v>
      </c>
      <c r="AZ118" s="300">
        <f t="shared" si="56"/>
        <v>929.79358388440926</v>
      </c>
      <c r="BA118" s="300">
        <f t="shared" si="56"/>
        <v>271.17991516736089</v>
      </c>
    </row>
    <row r="119" spans="2:80" ht="18.75" hidden="1" thickBot="1" x14ac:dyDescent="0.3">
      <c r="B119" s="169">
        <v>5</v>
      </c>
      <c r="C119" s="170"/>
      <c r="D119" s="8">
        <v>20</v>
      </c>
      <c r="E119" s="171"/>
      <c r="F119" s="158"/>
      <c r="G119" s="158">
        <f t="shared" si="44"/>
        <v>20</v>
      </c>
      <c r="H119" s="449">
        <v>188.8612</v>
      </c>
      <c r="I119" s="450">
        <v>67.527957799999996</v>
      </c>
      <c r="J119" s="316">
        <f t="shared" si="45"/>
        <v>47.527957799999996</v>
      </c>
      <c r="K119" s="316">
        <f t="shared" si="46"/>
        <v>23.763978899999998</v>
      </c>
      <c r="L119" s="316">
        <f t="shared" si="34"/>
        <v>0.40296999357892477</v>
      </c>
      <c r="M119" s="316">
        <f t="shared" si="35"/>
        <v>76.105396551308019</v>
      </c>
      <c r="N119" s="316">
        <f t="shared" si="36"/>
        <v>152.21079310261604</v>
      </c>
      <c r="O119" s="316">
        <f>+C115+D116+D117+D118+(D119/2)</f>
        <v>90</v>
      </c>
      <c r="P119" s="316">
        <f t="shared" si="37"/>
        <v>1</v>
      </c>
      <c r="Q119" s="316">
        <f t="shared" si="38"/>
        <v>152.21079310261604</v>
      </c>
      <c r="R119" s="316">
        <f t="shared" si="47"/>
        <v>519.16861471630568</v>
      </c>
      <c r="S119" s="316">
        <f t="shared" si="57"/>
        <v>671.37940781892166</v>
      </c>
      <c r="T119" s="317">
        <f t="shared" si="39"/>
        <v>671.37940781892166</v>
      </c>
      <c r="V119" s="294">
        <f t="shared" si="40"/>
        <v>0</v>
      </c>
      <c r="W119" s="294"/>
      <c r="X119" s="294"/>
      <c r="Y119" s="294"/>
      <c r="Z119" s="294"/>
      <c r="AA119" s="294"/>
      <c r="AB119" s="318"/>
      <c r="AC119" s="319"/>
      <c r="AD119" s="319"/>
      <c r="AE119" s="319"/>
      <c r="AF119" s="294">
        <f>SUM(V119:V124)/($B$112-B118)</f>
        <v>0</v>
      </c>
      <c r="AG119" s="299">
        <f>SUM(D116:D119)+$C$115</f>
        <v>100</v>
      </c>
      <c r="AH119" s="299"/>
      <c r="AI119" s="438">
        <f t="shared" si="48"/>
        <v>-33.744451600000005</v>
      </c>
      <c r="AJ119" s="436">
        <f t="shared" si="41"/>
        <v>-0.55548971268666492</v>
      </c>
      <c r="AK119" s="438">
        <f t="shared" si="49"/>
        <v>-169.04712930554729</v>
      </c>
      <c r="AL119" s="438">
        <f t="shared" si="50"/>
        <v>150.01854969999999</v>
      </c>
      <c r="AM119" s="436">
        <f t="shared" si="51"/>
        <v>0.49971959518362147</v>
      </c>
      <c r="AN119" s="438">
        <f t="shared" si="52"/>
        <v>139.452000091739</v>
      </c>
      <c r="AO119" s="320"/>
      <c r="AP119" s="429">
        <f t="shared" si="58"/>
        <v>-36.599999999999994</v>
      </c>
      <c r="AQ119" s="296"/>
      <c r="AR119" s="431">
        <f t="shared" si="53"/>
        <v>-29.595129213808292</v>
      </c>
      <c r="AS119" s="323">
        <f t="shared" ref="AS119:AS120" si="60">+V119-AN119</f>
        <v>-139.452000091739</v>
      </c>
      <c r="AT119" s="323"/>
      <c r="AU119" s="323">
        <f t="shared" si="59"/>
        <v>139.452000091739</v>
      </c>
      <c r="AV119" s="323">
        <f t="shared" si="54"/>
        <v>-209.058892356391</v>
      </c>
      <c r="AW119" s="323">
        <f t="shared" si="55"/>
        <v>172.458892356391</v>
      </c>
      <c r="AX119" s="297">
        <f t="shared" si="42"/>
        <v>-55.486757196747313</v>
      </c>
      <c r="AY119" s="297">
        <f t="shared" si="43"/>
        <v>57.984832578738398</v>
      </c>
      <c r="AZ119" s="300">
        <f t="shared" si="56"/>
        <v>55.486757196747313</v>
      </c>
      <c r="BA119" s="300">
        <f t="shared" si="56"/>
        <v>57.984832578738398</v>
      </c>
    </row>
    <row r="120" spans="2:80" ht="18.75" hidden="1" thickBot="1" x14ac:dyDescent="0.3">
      <c r="B120" s="169">
        <v>6</v>
      </c>
      <c r="C120" s="170"/>
      <c r="D120" s="8">
        <v>20</v>
      </c>
      <c r="E120" s="171"/>
      <c r="F120" s="158"/>
      <c r="G120" s="158">
        <f t="shared" si="44"/>
        <v>20</v>
      </c>
      <c r="H120" s="449">
        <v>188.8612</v>
      </c>
      <c r="I120" s="450">
        <v>67.527957799999996</v>
      </c>
      <c r="J120" s="316">
        <f t="shared" si="45"/>
        <v>47.527957799999996</v>
      </c>
      <c r="K120" s="316">
        <f t="shared" si="46"/>
        <v>23.763978899999998</v>
      </c>
      <c r="L120" s="316">
        <f t="shared" si="34"/>
        <v>0.40296999357892477</v>
      </c>
      <c r="M120" s="316">
        <f t="shared" si="35"/>
        <v>76.105396551308019</v>
      </c>
      <c r="N120" s="316">
        <f t="shared" si="36"/>
        <v>152.21079310261604</v>
      </c>
      <c r="O120" s="316">
        <f>+C115+D116+D117+D118+D119+(D120/2)</f>
        <v>110</v>
      </c>
      <c r="P120" s="316">
        <f t="shared" si="37"/>
        <v>0.93969262078590898</v>
      </c>
      <c r="Q120" s="316">
        <f t="shared" si="38"/>
        <v>143.03135908249902</v>
      </c>
      <c r="R120" s="316">
        <f t="shared" si="47"/>
        <v>671.37940781892166</v>
      </c>
      <c r="S120" s="316">
        <f t="shared" si="57"/>
        <v>814.41076690142063</v>
      </c>
      <c r="T120" s="317">
        <f t="shared" si="39"/>
        <v>814.41076690142063</v>
      </c>
      <c r="V120" s="294">
        <f t="shared" si="40"/>
        <v>0</v>
      </c>
      <c r="W120" s="294"/>
      <c r="X120" s="294"/>
      <c r="Y120" s="294"/>
      <c r="Z120" s="294"/>
      <c r="AA120" s="294"/>
      <c r="AB120" s="318"/>
      <c r="AC120" s="319"/>
      <c r="AD120" s="319"/>
      <c r="AE120" s="319"/>
      <c r="AF120" s="294">
        <f>SUM(V120:V125)/($B$112-B119)</f>
        <v>0</v>
      </c>
      <c r="AG120" s="299">
        <f>SUM(D116:D120)+$C$115</f>
        <v>120</v>
      </c>
      <c r="AH120" s="299"/>
      <c r="AI120" s="438">
        <f t="shared" si="48"/>
        <v>-53.744451600000005</v>
      </c>
      <c r="AJ120" s="436">
        <f t="shared" si="41"/>
        <v>-0.80638733933234874</v>
      </c>
      <c r="AK120" s="438">
        <f t="shared" si="49"/>
        <v>-245.40052085422576</v>
      </c>
      <c r="AL120" s="438">
        <f t="shared" si="50"/>
        <v>170.01854969999999</v>
      </c>
      <c r="AM120" s="436">
        <f t="shared" si="51"/>
        <v>0.17332933377238116</v>
      </c>
      <c r="AN120" s="438">
        <f t="shared" si="52"/>
        <v>48.369370547187572</v>
      </c>
      <c r="AO120" s="320"/>
      <c r="AP120" s="429">
        <f t="shared" si="58"/>
        <v>-48.8</v>
      </c>
      <c r="AQ120" s="296"/>
      <c r="AR120" s="431">
        <f t="shared" si="53"/>
        <v>-197.03115030703819</v>
      </c>
      <c r="AS120" s="323">
        <f t="shared" si="60"/>
        <v>-48.369370547187572</v>
      </c>
      <c r="AT120" s="323"/>
      <c r="AU120" s="323">
        <f t="shared" si="59"/>
        <v>48.369370547187572</v>
      </c>
      <c r="AV120" s="323">
        <f t="shared" si="54"/>
        <v>-60.779959915091844</v>
      </c>
      <c r="AW120" s="323">
        <f t="shared" si="55"/>
        <v>11.979959915091843</v>
      </c>
      <c r="AX120" s="297">
        <f t="shared" si="42"/>
        <v>-190.85237989964</v>
      </c>
      <c r="AY120" s="297">
        <f t="shared" si="43"/>
        <v>834.72733388718825</v>
      </c>
      <c r="AZ120" s="300">
        <f t="shared" si="56"/>
        <v>190.85237989964</v>
      </c>
      <c r="BA120" s="300">
        <f t="shared" si="56"/>
        <v>834.72733388718825</v>
      </c>
    </row>
    <row r="121" spans="2:80" ht="18.75" hidden="1" thickBot="1" x14ac:dyDescent="0.3">
      <c r="B121" s="169">
        <v>7</v>
      </c>
      <c r="C121" s="170"/>
      <c r="D121" s="8">
        <v>20</v>
      </c>
      <c r="E121" s="171"/>
      <c r="F121" s="158"/>
      <c r="G121" s="158">
        <f t="shared" si="44"/>
        <v>20</v>
      </c>
      <c r="H121" s="449">
        <v>188.8612</v>
      </c>
      <c r="I121" s="450">
        <v>67.527957799999996</v>
      </c>
      <c r="J121" s="316">
        <f t="shared" ref="J121:J122" si="61">+I121-D121</f>
        <v>47.527957799999996</v>
      </c>
      <c r="K121" s="316">
        <f t="shared" ref="K121:K122" si="62">+J121/2</f>
        <v>23.763978899999998</v>
      </c>
      <c r="L121" s="316">
        <f t="shared" ref="L121:L122" si="63">SIN(K121*3.14159265358979/180)</f>
        <v>0.40296999357892477</v>
      </c>
      <c r="M121" s="316">
        <f t="shared" ref="M121:M122" si="64">+L121*H121</f>
        <v>76.105396551308019</v>
      </c>
      <c r="N121" s="316">
        <f t="shared" ref="N121:N122" si="65">+M121*2</f>
        <v>152.21079310261604</v>
      </c>
      <c r="O121" s="316">
        <f>+C115+D117+D118+D119+D120+D116+(D121/2)</f>
        <v>130</v>
      </c>
      <c r="P121" s="316">
        <f t="shared" ref="P121:P122" si="66">SIN(O121*3.14159265358979/180)</f>
        <v>0.76604444311897946</v>
      </c>
      <c r="Q121" s="316">
        <f t="shared" ref="Q121:Q122" si="67">+P121*N121</f>
        <v>116.60023223899171</v>
      </c>
      <c r="R121" s="316">
        <f t="shared" ref="R121:R122" si="68">+T120</f>
        <v>814.41076690142063</v>
      </c>
      <c r="S121" s="316">
        <f t="shared" ref="S121:S122" si="69">+S120+Q121</f>
        <v>931.01099914041231</v>
      </c>
      <c r="T121" s="317">
        <f t="shared" ref="T121:T122" si="70">+S121</f>
        <v>931.01099914041231</v>
      </c>
      <c r="V121" s="294">
        <f t="shared" ref="V121:V122" si="71">IF(B121&lt;($B$112+1),T121,0)</f>
        <v>0</v>
      </c>
      <c r="W121" s="294"/>
      <c r="X121" s="294"/>
      <c r="Y121" s="294"/>
      <c r="Z121" s="294"/>
      <c r="AA121" s="294"/>
      <c r="AB121" s="318"/>
      <c r="AC121" s="319"/>
      <c r="AD121" s="319"/>
      <c r="AE121" s="319"/>
      <c r="AF121" s="294">
        <f t="shared" ref="AF121:AF122" si="72">SUM(V121:V126)/($B$112-B120)</f>
        <v>0</v>
      </c>
      <c r="AG121" s="299">
        <f>SUM(D116:D121)+$C$115</f>
        <v>140</v>
      </c>
      <c r="AH121" s="299"/>
      <c r="AI121" s="438">
        <f t="shared" ref="AI121:AI122" si="73">66.2555484-AG121</f>
        <v>-73.744451600000005</v>
      </c>
      <c r="AJ121" s="436">
        <f t="shared" ref="AJ121:AJ122" si="74">SIN(AI121*3.14159265358979/180)</f>
        <v>-0.96002275184491626</v>
      </c>
      <c r="AK121" s="438">
        <f t="shared" ref="AK121:AK122" si="75">+AJ121*304.3209</f>
        <v>-292.1549878619216</v>
      </c>
      <c r="AL121" s="438">
        <f t="shared" ref="AL121:AL122" si="76">50.0185497+AG121</f>
        <v>190.01854969999999</v>
      </c>
      <c r="AM121" s="436">
        <f t="shared" ref="AM121:AM122" si="77">SIN(AL121*3.14159265358979/180)</f>
        <v>-0.17396700336033277</v>
      </c>
      <c r="AN121" s="438">
        <f t="shared" ref="AN121:AN122" si="78">+AM121*279.0605</f>
        <v>-48.547318941236142</v>
      </c>
      <c r="AO121" s="320"/>
      <c r="AP121" s="429">
        <f t="shared" si="58"/>
        <v>-61</v>
      </c>
      <c r="AQ121" s="296"/>
      <c r="AR121" s="431">
        <f t="shared" ref="AR121:AR122" si="79">+AN121+AK121</f>
        <v>-340.70230680315774</v>
      </c>
      <c r="AS121" s="323">
        <f t="shared" ref="AS121:AS122" si="80">+V121-AN121</f>
        <v>48.547318941236142</v>
      </c>
      <c r="AT121" s="323"/>
      <c r="AU121" s="323">
        <f t="shared" ref="AU121:AU122" si="81">+AF121-AS121</f>
        <v>-48.547318941236142</v>
      </c>
      <c r="AV121" s="323">
        <f t="shared" ref="AV121:AV122" si="82">+((AR121-AU121)/AR121)*AP121</f>
        <v>-52.307994116029398</v>
      </c>
      <c r="AW121" s="323">
        <f t="shared" ref="AW121:AW122" si="83">+(AU121/AR121)*AP121</f>
        <v>-8.6920058839706034</v>
      </c>
      <c r="AX121" s="297">
        <f t="shared" si="42"/>
        <v>-221.76342633726162</v>
      </c>
      <c r="AY121" s="297">
        <f t="shared" si="43"/>
        <v>-1150.4824241365895</v>
      </c>
      <c r="AZ121" s="300">
        <f t="shared" ref="AZ121:AZ122" si="84">ABS(AX121)</f>
        <v>221.76342633726162</v>
      </c>
      <c r="BA121" s="300">
        <f t="shared" ref="BA121:BA122" si="85">ABS(AY121)</f>
        <v>1150.4824241365895</v>
      </c>
      <c r="BM121" s="191"/>
      <c r="BN121" s="105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5"/>
      <c r="BZ121" s="105"/>
      <c r="CA121" s="105"/>
      <c r="CB121" s="105"/>
    </row>
    <row r="122" spans="2:80" ht="18.75" hidden="1" thickBot="1" x14ac:dyDescent="0.3">
      <c r="B122" s="169">
        <v>8</v>
      </c>
      <c r="C122" s="170"/>
      <c r="D122" s="8">
        <v>20</v>
      </c>
      <c r="E122" s="171"/>
      <c r="F122" s="158"/>
      <c r="G122" s="158">
        <f t="shared" si="44"/>
        <v>20</v>
      </c>
      <c r="H122" s="449">
        <v>188.8612</v>
      </c>
      <c r="I122" s="450">
        <v>67.527957799999996</v>
      </c>
      <c r="J122" s="316">
        <f t="shared" si="61"/>
        <v>47.527957799999996</v>
      </c>
      <c r="K122" s="316">
        <f t="shared" si="62"/>
        <v>23.763978899999998</v>
      </c>
      <c r="L122" s="316">
        <f t="shared" si="63"/>
        <v>0.40296999357892477</v>
      </c>
      <c r="M122" s="316">
        <f t="shared" si="64"/>
        <v>76.105396551308019</v>
      </c>
      <c r="N122" s="316">
        <f t="shared" si="65"/>
        <v>152.21079310261604</v>
      </c>
      <c r="O122" s="316">
        <f>+C115+D118+D119+D120+D121+D117+D116+(D122/2)</f>
        <v>150</v>
      </c>
      <c r="P122" s="316">
        <f t="shared" si="66"/>
        <v>0.50000000000000222</v>
      </c>
      <c r="Q122" s="316">
        <f t="shared" si="67"/>
        <v>76.10539655130836</v>
      </c>
      <c r="R122" s="316">
        <f t="shared" si="68"/>
        <v>931.01099914041231</v>
      </c>
      <c r="S122" s="316">
        <f t="shared" si="69"/>
        <v>1007.1163956917206</v>
      </c>
      <c r="T122" s="317">
        <f t="shared" si="70"/>
        <v>1007.1163956917206</v>
      </c>
      <c r="V122" s="294">
        <f t="shared" si="71"/>
        <v>0</v>
      </c>
      <c r="W122" s="294"/>
      <c r="X122" s="294"/>
      <c r="Y122" s="294"/>
      <c r="Z122" s="294"/>
      <c r="AA122" s="294"/>
      <c r="AB122" s="318"/>
      <c r="AC122" s="319"/>
      <c r="AD122" s="319"/>
      <c r="AE122" s="319"/>
      <c r="AF122" s="294">
        <f t="shared" si="72"/>
        <v>0</v>
      </c>
      <c r="AG122" s="299">
        <f>SUM(D116:D122)+$C$115</f>
        <v>160</v>
      </c>
      <c r="AH122" s="299"/>
      <c r="AI122" s="438">
        <f t="shared" si="73"/>
        <v>-93.744451600000005</v>
      </c>
      <c r="AJ122" s="436">
        <f t="shared" si="74"/>
        <v>-0.99786525205814969</v>
      </c>
      <c r="AK122" s="438">
        <f t="shared" si="75"/>
        <v>-303.67125158506298</v>
      </c>
      <c r="AL122" s="438">
        <f t="shared" si="76"/>
        <v>210.01854969999999</v>
      </c>
      <c r="AM122" s="436">
        <f t="shared" si="77"/>
        <v>-0.50028035240826529</v>
      </c>
      <c r="AN122" s="438">
        <f t="shared" si="78"/>
        <v>-139.60848528322671</v>
      </c>
      <c r="AO122" s="320"/>
      <c r="AP122" s="429">
        <f t="shared" si="58"/>
        <v>-73.199999999999989</v>
      </c>
      <c r="AQ122" s="296"/>
      <c r="AR122" s="431">
        <f t="shared" si="79"/>
        <v>-443.27973686828966</v>
      </c>
      <c r="AS122" s="323">
        <f t="shared" si="80"/>
        <v>139.60848528322671</v>
      </c>
      <c r="AT122" s="323"/>
      <c r="AU122" s="323">
        <f t="shared" si="81"/>
        <v>-139.60848528322671</v>
      </c>
      <c r="AV122" s="323">
        <f t="shared" si="82"/>
        <v>-50.14606752176303</v>
      </c>
      <c r="AW122" s="323">
        <f t="shared" si="83"/>
        <v>-23.053932478236955</v>
      </c>
      <c r="AX122" s="297">
        <f t="shared" si="42"/>
        <v>-231.32422088662653</v>
      </c>
      <c r="AY122" s="297">
        <f t="shared" si="43"/>
        <v>-433.76547621279178</v>
      </c>
      <c r="AZ122" s="300">
        <f t="shared" si="84"/>
        <v>231.32422088662653</v>
      </c>
      <c r="BA122" s="300">
        <f t="shared" si="85"/>
        <v>433.76547621279178</v>
      </c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105"/>
      <c r="BN122" s="105"/>
      <c r="BO122" s="105"/>
      <c r="BP122" s="105"/>
      <c r="BQ122" s="105"/>
      <c r="BR122" s="105"/>
      <c r="BS122" s="105"/>
      <c r="BT122" s="105"/>
      <c r="BU122" s="105"/>
      <c r="BV122" s="192"/>
      <c r="BW122" s="105"/>
      <c r="BX122" s="105"/>
      <c r="BY122" s="105"/>
      <c r="BZ122" s="105"/>
      <c r="CA122" s="105"/>
      <c r="CB122" s="105"/>
    </row>
    <row r="123" spans="2:80" hidden="1" x14ac:dyDescent="0.25"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193"/>
      <c r="BN123" s="105"/>
      <c r="BO123" s="105"/>
      <c r="BP123" s="105"/>
      <c r="BQ123" s="105"/>
      <c r="BR123" s="105"/>
      <c r="BS123" s="105"/>
      <c r="BT123" s="105"/>
      <c r="BU123" s="701"/>
      <c r="BV123" s="701"/>
      <c r="BW123" s="105"/>
      <c r="BX123" s="105"/>
      <c r="BY123" s="105"/>
      <c r="BZ123" s="105"/>
      <c r="CA123" s="105"/>
      <c r="CB123" s="105"/>
    </row>
    <row r="124" spans="2:80" hidden="1" x14ac:dyDescent="0.25"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105"/>
      <c r="BN124" s="105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5"/>
      <c r="BZ124" s="105"/>
      <c r="CA124" s="105"/>
      <c r="CB124" s="105"/>
    </row>
    <row r="125" spans="2:80" hidden="1" x14ac:dyDescent="0.25"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105"/>
      <c r="BN125" s="105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5"/>
      <c r="BZ125" s="105"/>
      <c r="CA125" s="105"/>
      <c r="CB125" s="105"/>
    </row>
    <row r="126" spans="2:80" hidden="1" x14ac:dyDescent="0.25"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105"/>
      <c r="BN126" s="105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5"/>
      <c r="BZ126" s="105"/>
      <c r="CA126" s="105"/>
      <c r="CB126" s="105"/>
    </row>
    <row r="127" spans="2:80" ht="20.25" hidden="1" x14ac:dyDescent="0.4">
      <c r="BB127" s="663"/>
      <c r="BC127" s="255"/>
      <c r="BD127" s="664"/>
      <c r="BE127" s="234"/>
      <c r="BF127" s="234"/>
      <c r="BG127" s="234"/>
      <c r="BH127" s="234"/>
      <c r="BI127" s="120"/>
      <c r="BJ127" s="53"/>
      <c r="BK127" s="53"/>
      <c r="BL127" s="53"/>
      <c r="BM127" s="105"/>
      <c r="BN127" s="105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5"/>
      <c r="BZ127" s="105"/>
      <c r="CA127" s="105"/>
      <c r="CB127" s="105"/>
    </row>
    <row r="128" spans="2:80" hidden="1" x14ac:dyDescent="0.25"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105"/>
      <c r="BN128" s="105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5"/>
      <c r="BZ128" s="105"/>
      <c r="CA128" s="105"/>
      <c r="CB128" s="105"/>
    </row>
    <row r="129" spans="54:88" hidden="1" x14ac:dyDescent="0.25"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105"/>
      <c r="BN129" s="105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5"/>
      <c r="BZ129" s="105"/>
      <c r="CA129" s="105"/>
      <c r="CB129" s="105"/>
    </row>
    <row r="130" spans="54:88" hidden="1" x14ac:dyDescent="0.25"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105"/>
      <c r="BN130" s="105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5"/>
      <c r="BZ130" s="105"/>
      <c r="CA130" s="105"/>
      <c r="CB130" s="105"/>
    </row>
    <row r="131" spans="54:88" hidden="1" x14ac:dyDescent="0.25"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105"/>
      <c r="BN131" s="105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5"/>
      <c r="BZ131" s="105"/>
      <c r="CA131" s="105"/>
      <c r="CB131" s="105"/>
    </row>
    <row r="132" spans="54:88" hidden="1" x14ac:dyDescent="0.25"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105"/>
      <c r="BN132" s="105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5"/>
      <c r="BZ132" s="105"/>
      <c r="CA132" s="105"/>
      <c r="CB132" s="105"/>
    </row>
    <row r="133" spans="54:88" hidden="1" x14ac:dyDescent="0.25"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105"/>
      <c r="BN133" s="105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5"/>
      <c r="BZ133" s="105"/>
      <c r="CA133" s="105"/>
      <c r="CB133" s="105"/>
      <c r="CH133" s="105"/>
      <c r="CI133" s="105"/>
      <c r="CJ133" s="105"/>
    </row>
    <row r="134" spans="54:88" hidden="1" x14ac:dyDescent="0.25">
      <c r="BM134" s="105"/>
      <c r="BN134" s="105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5"/>
      <c r="BZ134" s="105"/>
      <c r="CA134" s="105"/>
      <c r="CB134" s="105"/>
      <c r="CH134" s="105"/>
      <c r="CI134" s="105"/>
      <c r="CJ134" s="105"/>
    </row>
    <row r="135" spans="54:88" hidden="1" x14ac:dyDescent="0.25">
      <c r="BM135" s="105"/>
      <c r="BN135" s="105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5"/>
      <c r="BZ135" s="105"/>
      <c r="CA135" s="105"/>
      <c r="CB135" s="105"/>
      <c r="CH135" s="105"/>
      <c r="CI135" s="105"/>
      <c r="CJ135" s="105"/>
    </row>
    <row r="136" spans="54:88" hidden="1" x14ac:dyDescent="0.25">
      <c r="BM136" s="105"/>
      <c r="BN136" s="53"/>
      <c r="BO136" s="53"/>
      <c r="BP136" s="53"/>
      <c r="BQ136" s="53"/>
      <c r="BR136" s="105"/>
      <c r="BS136" s="105"/>
      <c r="BT136" s="105"/>
      <c r="BU136" s="105"/>
      <c r="BV136" s="105"/>
      <c r="BW136" s="105"/>
      <c r="BX136" s="105"/>
      <c r="BY136" s="105"/>
      <c r="BZ136" s="105"/>
      <c r="CA136" s="105"/>
      <c r="CB136" s="105"/>
      <c r="CH136" s="105"/>
      <c r="CI136" s="105"/>
      <c r="CJ136" s="105"/>
    </row>
    <row r="137" spans="54:88" hidden="1" x14ac:dyDescent="0.25">
      <c r="BM137" s="105"/>
      <c r="BN137" s="53"/>
      <c r="BO137" s="53"/>
      <c r="BP137" s="53"/>
      <c r="BQ137" s="53"/>
      <c r="BR137" s="105"/>
      <c r="BS137" s="105"/>
      <c r="BT137" s="105"/>
      <c r="BU137" s="105"/>
      <c r="BV137" s="105"/>
      <c r="BW137" s="105"/>
      <c r="BX137" s="105"/>
      <c r="BY137" s="105"/>
      <c r="BZ137" s="105"/>
      <c r="CA137" s="105"/>
      <c r="CB137" s="105"/>
      <c r="CH137" s="105"/>
      <c r="CI137" s="105"/>
      <c r="CJ137" s="105"/>
    </row>
    <row r="138" spans="54:88" hidden="1" x14ac:dyDescent="0.25">
      <c r="BM138" s="105"/>
      <c r="BN138" s="53"/>
      <c r="BO138" s="53"/>
      <c r="BP138" s="53"/>
      <c r="BQ138" s="53"/>
      <c r="BR138" s="105"/>
      <c r="BS138" s="105"/>
      <c r="BT138" s="105"/>
      <c r="BU138" s="105"/>
      <c r="BV138" s="105"/>
      <c r="BW138" s="105"/>
      <c r="BX138" s="105"/>
      <c r="BY138" s="105"/>
      <c r="BZ138" s="105"/>
      <c r="CA138" s="105"/>
      <c r="CB138" s="105"/>
      <c r="CH138" s="105"/>
      <c r="CI138" s="105"/>
      <c r="CJ138" s="105"/>
    </row>
    <row r="139" spans="54:88" hidden="1" x14ac:dyDescent="0.25">
      <c r="BM139" s="105"/>
      <c r="BN139" s="53"/>
      <c r="BO139" s="53"/>
      <c r="BP139" s="53"/>
      <c r="BQ139" s="53"/>
      <c r="BR139" s="105"/>
      <c r="BS139" s="105"/>
      <c r="BT139" s="105"/>
      <c r="BU139" s="105"/>
      <c r="BV139" s="105"/>
      <c r="BW139" s="105"/>
      <c r="BX139" s="105"/>
      <c r="BY139" s="105"/>
      <c r="BZ139" s="105"/>
      <c r="CA139" s="105"/>
      <c r="CB139" s="105"/>
      <c r="CH139" s="105"/>
      <c r="CI139" s="105"/>
      <c r="CJ139" s="105"/>
    </row>
    <row r="140" spans="54:88" hidden="1" x14ac:dyDescent="0.25">
      <c r="BM140" s="106"/>
      <c r="BN140" s="53"/>
      <c r="BO140" s="53"/>
      <c r="BP140" s="53"/>
      <c r="BQ140" s="53"/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5"/>
      <c r="CB140" s="105"/>
      <c r="CH140" s="105"/>
      <c r="CI140" s="105"/>
      <c r="CJ140" s="105"/>
    </row>
    <row r="141" spans="54:88" hidden="1" x14ac:dyDescent="0.25">
      <c r="BM141" s="106"/>
      <c r="BN141" s="53"/>
      <c r="BO141" s="53"/>
      <c r="BP141" s="53"/>
      <c r="BQ141" s="53"/>
      <c r="BR141" s="105"/>
      <c r="BS141" s="105"/>
      <c r="BT141" s="105"/>
      <c r="BU141" s="105"/>
      <c r="BV141" s="105"/>
      <c r="BW141" s="105"/>
      <c r="BX141" s="105"/>
      <c r="BY141" s="105"/>
      <c r="BZ141" s="105"/>
      <c r="CA141" s="105"/>
      <c r="CB141" s="105"/>
      <c r="CH141" s="105"/>
      <c r="CI141" s="105"/>
      <c r="CJ141" s="105"/>
    </row>
    <row r="142" spans="54:88" hidden="1" x14ac:dyDescent="0.25">
      <c r="BM142" s="106"/>
      <c r="BN142" s="194"/>
      <c r="BO142" s="194"/>
      <c r="BP142" s="194"/>
      <c r="BQ142" s="194"/>
      <c r="BR142" s="194"/>
      <c r="BS142" s="194"/>
      <c r="BT142" s="194"/>
      <c r="BU142" s="194"/>
      <c r="BV142" s="194"/>
      <c r="BW142" s="194"/>
      <c r="BX142" s="194"/>
      <c r="BY142" s="194"/>
      <c r="BZ142" s="194"/>
      <c r="CA142" s="194"/>
      <c r="CB142" s="105"/>
      <c r="CH142" s="105"/>
      <c r="CI142" s="105"/>
      <c r="CJ142" s="105"/>
    </row>
    <row r="143" spans="54:88" hidden="1" x14ac:dyDescent="0.25">
      <c r="BM143" s="106"/>
      <c r="BN143" s="105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5"/>
      <c r="BZ143" s="105"/>
      <c r="CA143" s="105"/>
      <c r="CB143" s="105"/>
      <c r="CH143" s="105"/>
      <c r="CI143" s="105"/>
      <c r="CJ143" s="105"/>
    </row>
    <row r="144" spans="54:88" hidden="1" x14ac:dyDescent="0.25">
      <c r="BM144" s="195"/>
      <c r="BN144" s="196"/>
      <c r="BO144" s="196"/>
      <c r="BP144" s="196"/>
      <c r="BQ144" s="196"/>
      <c r="BR144" s="196"/>
      <c r="BS144" s="196"/>
      <c r="BT144" s="196"/>
      <c r="BU144" s="196"/>
      <c r="BV144" s="196"/>
      <c r="BW144" s="196"/>
      <c r="BX144" s="196"/>
      <c r="BY144" s="196"/>
      <c r="BZ144" s="196"/>
      <c r="CA144" s="196"/>
      <c r="CB144" s="105"/>
      <c r="CH144" s="105"/>
      <c r="CI144" s="105"/>
      <c r="CJ144" s="105"/>
    </row>
    <row r="145" spans="65:88" hidden="1" x14ac:dyDescent="0.25">
      <c r="BM145" s="106"/>
      <c r="BN145" s="107"/>
      <c r="BO145" s="107"/>
      <c r="BP145" s="107"/>
      <c r="BQ145" s="107"/>
      <c r="BR145" s="107"/>
      <c r="BS145" s="107"/>
      <c r="BT145" s="107"/>
      <c r="BU145" s="107"/>
      <c r="BV145" s="107"/>
      <c r="BW145" s="107"/>
      <c r="BX145" s="107"/>
      <c r="BY145" s="107"/>
      <c r="BZ145" s="107"/>
      <c r="CA145" s="107"/>
      <c r="CB145" s="105"/>
      <c r="CH145" s="105"/>
      <c r="CI145" s="105"/>
      <c r="CJ145" s="105"/>
    </row>
    <row r="146" spans="65:88" hidden="1" x14ac:dyDescent="0.25">
      <c r="BM146" s="105"/>
      <c r="BN146" s="105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5"/>
      <c r="BZ146" s="105"/>
      <c r="CA146" s="105"/>
      <c r="CB146" s="105"/>
      <c r="CH146" s="105"/>
      <c r="CI146" s="105"/>
      <c r="CJ146" s="105"/>
    </row>
    <row r="147" spans="65:88" hidden="1" x14ac:dyDescent="0.25">
      <c r="BM147" s="105"/>
      <c r="BN147" s="106"/>
      <c r="BO147" s="197"/>
      <c r="BP147" s="197"/>
      <c r="BQ147" s="197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5"/>
      <c r="CH147" s="105"/>
      <c r="CI147" s="105"/>
      <c r="CJ147" s="105"/>
    </row>
    <row r="148" spans="65:88" hidden="1" x14ac:dyDescent="0.25">
      <c r="BM148" s="105"/>
      <c r="BN148" s="197"/>
      <c r="BO148" s="197"/>
      <c r="BP148" s="197"/>
      <c r="BQ148" s="197"/>
      <c r="BR148" s="105"/>
      <c r="BS148" s="105"/>
      <c r="BT148" s="105"/>
      <c r="BU148" s="105"/>
      <c r="BV148" s="197"/>
      <c r="BW148" s="197"/>
      <c r="BX148" s="197"/>
      <c r="BY148" s="197"/>
      <c r="BZ148" s="197"/>
      <c r="CA148" s="197"/>
      <c r="CB148" s="105"/>
      <c r="CH148" s="105"/>
      <c r="CI148" s="105"/>
      <c r="CJ148" s="105"/>
    </row>
    <row r="149" spans="65:88" hidden="1" x14ac:dyDescent="0.25">
      <c r="BM149" s="105"/>
      <c r="BN149" s="105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5"/>
      <c r="BZ149" s="105"/>
      <c r="CA149" s="105"/>
      <c r="CB149" s="105"/>
    </row>
    <row r="150" spans="65:88" hidden="1" x14ac:dyDescent="0.25">
      <c r="BM150" s="105"/>
      <c r="BN150" s="105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5"/>
      <c r="BZ150" s="105"/>
      <c r="CA150" s="105"/>
      <c r="CB150" s="105"/>
    </row>
    <row r="151" spans="65:88" hidden="1" x14ac:dyDescent="0.25"/>
    <row r="152" spans="65:88" hidden="1" x14ac:dyDescent="0.25"/>
    <row r="153" spans="65:88" hidden="1" x14ac:dyDescent="0.25">
      <c r="BP153" s="74"/>
      <c r="BQ153" s="74"/>
      <c r="BR153" s="183" t="s">
        <v>79</v>
      </c>
      <c r="BS153" s="74"/>
      <c r="BT153" s="74"/>
      <c r="BU153" s="74"/>
      <c r="BV153" s="74"/>
      <c r="BW153" s="74"/>
    </row>
    <row r="154" spans="65:88" ht="20.25" hidden="1" x14ac:dyDescent="0.4">
      <c r="BP154" s="184">
        <v>1</v>
      </c>
      <c r="BQ154" s="376">
        <v>0</v>
      </c>
      <c r="BR154" s="186">
        <f>+COS(($B$88*-1)*3.14159265358979/180)*BQ154</f>
        <v>0</v>
      </c>
      <c r="BS154" s="187">
        <f t="shared" ref="BS154:BS171" si="86">+BR154-D$3</f>
        <v>-195.63666649162781</v>
      </c>
      <c r="BT154" s="188">
        <f t="shared" ref="BT154:BT171" si="87">ABS(BS154)</f>
        <v>195.63666649162781</v>
      </c>
      <c r="BU154" s="189">
        <f>MIN(BT154:BT176)</f>
        <v>14.363333508372193</v>
      </c>
      <c r="BV154" s="188" t="b">
        <f>IF(BU154=BT154,BP154)</f>
        <v>0</v>
      </c>
      <c r="BW154" s="190">
        <v>1</v>
      </c>
    </row>
    <row r="155" spans="65:88" ht="20.25" hidden="1" x14ac:dyDescent="0.4">
      <c r="BP155" s="184">
        <v>2</v>
      </c>
      <c r="BQ155" s="376">
        <f>+BQ154+30</f>
        <v>30</v>
      </c>
      <c r="BR155" s="17">
        <f>+BR154+$E$2</f>
        <v>30</v>
      </c>
      <c r="BS155" s="187">
        <f t="shared" si="86"/>
        <v>-165.63666649162781</v>
      </c>
      <c r="BT155" s="188">
        <f t="shared" si="87"/>
        <v>165.63666649162781</v>
      </c>
      <c r="BU155" s="188">
        <f>+BU154</f>
        <v>14.363333508372193</v>
      </c>
      <c r="BV155" s="188" t="b">
        <f t="shared" ref="BV155:BV171" si="88">IF(BU155=BT155,BP155)</f>
        <v>0</v>
      </c>
      <c r="BW155" s="190">
        <v>2</v>
      </c>
    </row>
    <row r="156" spans="65:88" ht="20.25" hidden="1" x14ac:dyDescent="0.4">
      <c r="BP156" s="184">
        <v>3</v>
      </c>
      <c r="BQ156" s="376">
        <f t="shared" ref="BQ156:BQ171" si="89">+BQ155+30</f>
        <v>60</v>
      </c>
      <c r="BR156" s="17">
        <f t="shared" ref="BR156:BR171" si="90">+BR155+$E$2</f>
        <v>60</v>
      </c>
      <c r="BS156" s="187">
        <f t="shared" si="86"/>
        <v>-135.63666649162781</v>
      </c>
      <c r="BT156" s="188">
        <f t="shared" si="87"/>
        <v>135.63666649162781</v>
      </c>
      <c r="BU156" s="188">
        <f t="shared" ref="BU156:BU171" si="91">+BU155</f>
        <v>14.363333508372193</v>
      </c>
      <c r="BV156" s="188" t="b">
        <f t="shared" si="88"/>
        <v>0</v>
      </c>
      <c r="BW156" s="190">
        <v>3</v>
      </c>
    </row>
    <row r="157" spans="65:88" ht="20.25" hidden="1" x14ac:dyDescent="0.4">
      <c r="BP157" s="184">
        <v>4</v>
      </c>
      <c r="BQ157" s="376">
        <f t="shared" si="89"/>
        <v>90</v>
      </c>
      <c r="BR157" s="17">
        <f t="shared" si="90"/>
        <v>90</v>
      </c>
      <c r="BS157" s="187">
        <f t="shared" si="86"/>
        <v>-105.63666649162781</v>
      </c>
      <c r="BT157" s="188">
        <f t="shared" si="87"/>
        <v>105.63666649162781</v>
      </c>
      <c r="BU157" s="188">
        <f t="shared" si="91"/>
        <v>14.363333508372193</v>
      </c>
      <c r="BV157" s="188" t="b">
        <f t="shared" si="88"/>
        <v>0</v>
      </c>
      <c r="BW157" s="190">
        <v>4</v>
      </c>
      <c r="BX157" s="106"/>
      <c r="BY157" s="106"/>
      <c r="BZ157" s="106"/>
      <c r="CA157" s="106"/>
      <c r="CB157" s="106"/>
      <c r="CH157" s="107"/>
      <c r="CI157" s="107"/>
      <c r="CJ157" s="105"/>
    </row>
    <row r="158" spans="65:88" ht="20.25" hidden="1" x14ac:dyDescent="0.4">
      <c r="BP158" s="184">
        <v>5</v>
      </c>
      <c r="BQ158" s="376">
        <f t="shared" si="89"/>
        <v>120</v>
      </c>
      <c r="BR158" s="17">
        <f t="shared" si="90"/>
        <v>120</v>
      </c>
      <c r="BS158" s="187">
        <f t="shared" si="86"/>
        <v>-75.636666491627807</v>
      </c>
      <c r="BT158" s="188">
        <f t="shared" si="87"/>
        <v>75.636666491627807</v>
      </c>
      <c r="BU158" s="188">
        <f t="shared" si="91"/>
        <v>14.363333508372193</v>
      </c>
      <c r="BV158" s="188" t="b">
        <f t="shared" si="88"/>
        <v>0</v>
      </c>
      <c r="BW158" s="190">
        <v>5</v>
      </c>
      <c r="BX158" s="142"/>
      <c r="BY158" s="142"/>
      <c r="BZ158" s="142"/>
      <c r="CA158" s="142"/>
      <c r="CH158" s="105"/>
      <c r="CI158" s="105"/>
      <c r="CJ158" s="105"/>
    </row>
    <row r="159" spans="65:88" ht="20.25" hidden="1" x14ac:dyDescent="0.4">
      <c r="BP159" s="184">
        <v>6</v>
      </c>
      <c r="BQ159" s="376">
        <f t="shared" si="89"/>
        <v>150</v>
      </c>
      <c r="BR159" s="17">
        <f t="shared" si="90"/>
        <v>150</v>
      </c>
      <c r="BS159" s="187">
        <f t="shared" si="86"/>
        <v>-45.636666491627807</v>
      </c>
      <c r="BT159" s="188">
        <f t="shared" si="87"/>
        <v>45.636666491627807</v>
      </c>
      <c r="BU159" s="188">
        <f t="shared" si="91"/>
        <v>14.363333508372193</v>
      </c>
      <c r="BV159" s="188" t="b">
        <f t="shared" si="88"/>
        <v>0</v>
      </c>
      <c r="BW159" s="190">
        <v>6</v>
      </c>
      <c r="CH159" s="106"/>
      <c r="CI159" s="106"/>
      <c r="CJ159" s="105"/>
    </row>
    <row r="160" spans="65:88" ht="20.25" hidden="1" x14ac:dyDescent="0.4">
      <c r="BP160" s="184">
        <v>7</v>
      </c>
      <c r="BQ160" s="376">
        <f t="shared" si="89"/>
        <v>180</v>
      </c>
      <c r="BR160" s="17">
        <f t="shared" si="90"/>
        <v>180</v>
      </c>
      <c r="BS160" s="187">
        <f t="shared" si="86"/>
        <v>-15.636666491627807</v>
      </c>
      <c r="BT160" s="188">
        <f t="shared" si="87"/>
        <v>15.636666491627807</v>
      </c>
      <c r="BU160" s="188">
        <f t="shared" si="91"/>
        <v>14.363333508372193</v>
      </c>
      <c r="BV160" s="188" t="b">
        <f t="shared" si="88"/>
        <v>0</v>
      </c>
      <c r="BW160" s="190">
        <v>7</v>
      </c>
      <c r="CH160" s="197"/>
      <c r="CI160" s="197"/>
      <c r="CJ160" s="105"/>
    </row>
    <row r="161" spans="68:88" ht="20.25" hidden="1" x14ac:dyDescent="0.4">
      <c r="BP161" s="184">
        <v>8</v>
      </c>
      <c r="BQ161" s="376">
        <f t="shared" si="89"/>
        <v>210</v>
      </c>
      <c r="BR161" s="17">
        <f t="shared" si="90"/>
        <v>210</v>
      </c>
      <c r="BS161" s="187">
        <f t="shared" si="86"/>
        <v>14.363333508372193</v>
      </c>
      <c r="BT161" s="188">
        <f t="shared" si="87"/>
        <v>14.363333508372193</v>
      </c>
      <c r="BU161" s="188">
        <f t="shared" si="91"/>
        <v>14.363333508372193</v>
      </c>
      <c r="BV161" s="188">
        <f t="shared" si="88"/>
        <v>8</v>
      </c>
      <c r="BW161" s="190">
        <v>8</v>
      </c>
      <c r="CH161" s="105"/>
      <c r="CI161" s="105"/>
      <c r="CJ161" s="105"/>
    </row>
    <row r="162" spans="68:88" ht="20.25" hidden="1" x14ac:dyDescent="0.4">
      <c r="BP162" s="184">
        <v>9</v>
      </c>
      <c r="BQ162" s="376">
        <f t="shared" si="89"/>
        <v>240</v>
      </c>
      <c r="BR162" s="17">
        <f t="shared" si="90"/>
        <v>240</v>
      </c>
      <c r="BS162" s="187">
        <f t="shared" si="86"/>
        <v>44.363333508372193</v>
      </c>
      <c r="BT162" s="188">
        <f t="shared" si="87"/>
        <v>44.363333508372193</v>
      </c>
      <c r="BU162" s="188">
        <f t="shared" si="91"/>
        <v>14.363333508372193</v>
      </c>
      <c r="BV162" s="188" t="b">
        <f t="shared" si="88"/>
        <v>0</v>
      </c>
      <c r="BW162" s="190">
        <v>9</v>
      </c>
      <c r="CH162" s="105"/>
      <c r="CI162" s="105"/>
      <c r="CJ162" s="105"/>
    </row>
    <row r="163" spans="68:88" ht="20.25" hidden="1" x14ac:dyDescent="0.4">
      <c r="BP163" s="184">
        <v>10</v>
      </c>
      <c r="BQ163" s="376">
        <f t="shared" si="89"/>
        <v>270</v>
      </c>
      <c r="BR163" s="17">
        <f t="shared" si="90"/>
        <v>270</v>
      </c>
      <c r="BS163" s="187">
        <f t="shared" si="86"/>
        <v>74.363333508372193</v>
      </c>
      <c r="BT163" s="188">
        <f t="shared" si="87"/>
        <v>74.363333508372193</v>
      </c>
      <c r="BU163" s="188">
        <f t="shared" si="91"/>
        <v>14.363333508372193</v>
      </c>
      <c r="BV163" s="188" t="b">
        <f t="shared" si="88"/>
        <v>0</v>
      </c>
      <c r="BW163" s="190">
        <v>10</v>
      </c>
    </row>
    <row r="164" spans="68:88" ht="20.25" hidden="1" x14ac:dyDescent="0.4">
      <c r="BP164" s="184">
        <v>11</v>
      </c>
      <c r="BQ164" s="376">
        <f t="shared" si="89"/>
        <v>300</v>
      </c>
      <c r="BR164" s="17">
        <f t="shared" si="90"/>
        <v>300</v>
      </c>
      <c r="BS164" s="187">
        <f t="shared" si="86"/>
        <v>104.36333350837219</v>
      </c>
      <c r="BT164" s="188">
        <f t="shared" si="87"/>
        <v>104.36333350837219</v>
      </c>
      <c r="BU164" s="188">
        <f t="shared" si="91"/>
        <v>14.363333508372193</v>
      </c>
      <c r="BV164" s="188" t="b">
        <f t="shared" si="88"/>
        <v>0</v>
      </c>
      <c r="BW164" s="190">
        <v>11</v>
      </c>
    </row>
    <row r="165" spans="68:88" ht="20.25" hidden="1" x14ac:dyDescent="0.4">
      <c r="BP165" s="184">
        <v>12</v>
      </c>
      <c r="BQ165" s="376">
        <f t="shared" si="89"/>
        <v>330</v>
      </c>
      <c r="BR165" s="17">
        <f t="shared" si="90"/>
        <v>330</v>
      </c>
      <c r="BS165" s="187">
        <f t="shared" si="86"/>
        <v>134.36333350837219</v>
      </c>
      <c r="BT165" s="188">
        <f t="shared" si="87"/>
        <v>134.36333350837219</v>
      </c>
      <c r="BU165" s="188">
        <f t="shared" si="91"/>
        <v>14.363333508372193</v>
      </c>
      <c r="BV165" s="188" t="b">
        <f t="shared" si="88"/>
        <v>0</v>
      </c>
      <c r="BW165" s="190">
        <v>12</v>
      </c>
    </row>
    <row r="166" spans="68:88" ht="20.25" hidden="1" x14ac:dyDescent="0.4">
      <c r="BP166" s="184">
        <v>13</v>
      </c>
      <c r="BQ166" s="376">
        <f t="shared" si="89"/>
        <v>360</v>
      </c>
      <c r="BR166" s="17">
        <f t="shared" si="90"/>
        <v>360</v>
      </c>
      <c r="BS166" s="187">
        <f t="shared" si="86"/>
        <v>164.36333350837219</v>
      </c>
      <c r="BT166" s="188">
        <f t="shared" si="87"/>
        <v>164.36333350837219</v>
      </c>
      <c r="BU166" s="188">
        <f t="shared" si="91"/>
        <v>14.363333508372193</v>
      </c>
      <c r="BV166" s="188" t="b">
        <f t="shared" si="88"/>
        <v>0</v>
      </c>
      <c r="BW166" s="190">
        <v>13</v>
      </c>
    </row>
    <row r="167" spans="68:88" ht="20.25" hidden="1" x14ac:dyDescent="0.4">
      <c r="BP167" s="184">
        <v>14</v>
      </c>
      <c r="BQ167" s="376">
        <f t="shared" si="89"/>
        <v>390</v>
      </c>
      <c r="BR167" s="17">
        <f t="shared" si="90"/>
        <v>390</v>
      </c>
      <c r="BS167" s="187">
        <f t="shared" si="86"/>
        <v>194.36333350837219</v>
      </c>
      <c r="BT167" s="188">
        <f t="shared" si="87"/>
        <v>194.36333350837219</v>
      </c>
      <c r="BU167" s="188">
        <f t="shared" si="91"/>
        <v>14.363333508372193</v>
      </c>
      <c r="BV167" s="188" t="b">
        <f t="shared" si="88"/>
        <v>0</v>
      </c>
      <c r="BW167" s="190">
        <v>14</v>
      </c>
    </row>
    <row r="168" spans="68:88" ht="20.25" hidden="1" x14ac:dyDescent="0.4">
      <c r="BP168" s="184">
        <v>15</v>
      </c>
      <c r="BQ168" s="376">
        <f t="shared" si="89"/>
        <v>420</v>
      </c>
      <c r="BR168" s="17">
        <f t="shared" si="90"/>
        <v>420</v>
      </c>
      <c r="BS168" s="187">
        <f t="shared" si="86"/>
        <v>224.36333350837219</v>
      </c>
      <c r="BT168" s="188">
        <f t="shared" si="87"/>
        <v>224.36333350837219</v>
      </c>
      <c r="BU168" s="188">
        <f t="shared" si="91"/>
        <v>14.363333508372193</v>
      </c>
      <c r="BV168" s="188" t="b">
        <f t="shared" si="88"/>
        <v>0</v>
      </c>
      <c r="BW168" s="190">
        <v>15</v>
      </c>
    </row>
    <row r="169" spans="68:88" ht="20.25" hidden="1" x14ac:dyDescent="0.4">
      <c r="BP169" s="184">
        <v>16</v>
      </c>
      <c r="BQ169" s="376">
        <f t="shared" si="89"/>
        <v>450</v>
      </c>
      <c r="BR169" s="17">
        <f t="shared" si="90"/>
        <v>450</v>
      </c>
      <c r="BS169" s="187">
        <f t="shared" si="86"/>
        <v>254.36333350837219</v>
      </c>
      <c r="BT169" s="188">
        <f t="shared" si="87"/>
        <v>254.36333350837219</v>
      </c>
      <c r="BU169" s="188">
        <f t="shared" si="91"/>
        <v>14.363333508372193</v>
      </c>
      <c r="BV169" s="188" t="b">
        <f t="shared" si="88"/>
        <v>0</v>
      </c>
      <c r="BW169" s="190">
        <v>16</v>
      </c>
    </row>
    <row r="170" spans="68:88" ht="20.25" hidden="1" x14ac:dyDescent="0.4">
      <c r="BP170" s="184">
        <v>17</v>
      </c>
      <c r="BQ170" s="376">
        <f t="shared" si="89"/>
        <v>480</v>
      </c>
      <c r="BR170" s="17">
        <f t="shared" si="90"/>
        <v>480</v>
      </c>
      <c r="BS170" s="187">
        <f t="shared" si="86"/>
        <v>284.36333350837219</v>
      </c>
      <c r="BT170" s="188">
        <f t="shared" si="87"/>
        <v>284.36333350837219</v>
      </c>
      <c r="BU170" s="188">
        <f t="shared" si="91"/>
        <v>14.363333508372193</v>
      </c>
      <c r="BV170" s="188" t="b">
        <f t="shared" si="88"/>
        <v>0</v>
      </c>
      <c r="BW170" s="190">
        <v>17</v>
      </c>
    </row>
    <row r="171" spans="68:88" ht="20.25" hidden="1" x14ac:dyDescent="0.4">
      <c r="BP171" s="184">
        <v>18</v>
      </c>
      <c r="BQ171" s="376">
        <f t="shared" si="89"/>
        <v>510</v>
      </c>
      <c r="BR171" s="17">
        <f t="shared" si="90"/>
        <v>510</v>
      </c>
      <c r="BS171" s="187">
        <f t="shared" si="86"/>
        <v>314.36333350837219</v>
      </c>
      <c r="BT171" s="188">
        <f t="shared" si="87"/>
        <v>314.36333350837219</v>
      </c>
      <c r="BU171" s="188">
        <f t="shared" si="91"/>
        <v>14.363333508372193</v>
      </c>
      <c r="BV171" s="188" t="b">
        <f t="shared" si="88"/>
        <v>0</v>
      </c>
      <c r="BW171" s="190">
        <v>18</v>
      </c>
    </row>
    <row r="172" spans="68:88" ht="20.25" hidden="1" x14ac:dyDescent="0.4">
      <c r="BP172" s="184"/>
      <c r="BQ172" s="376"/>
      <c r="BR172" s="17"/>
      <c r="BS172" s="187"/>
      <c r="BT172" s="188"/>
      <c r="BU172" s="188"/>
      <c r="BV172" s="188"/>
      <c r="BW172" s="190"/>
    </row>
    <row r="173" spans="68:88" ht="20.25" hidden="1" x14ac:dyDescent="0.4">
      <c r="BP173" s="184"/>
      <c r="BQ173" s="376"/>
      <c r="BR173" s="17"/>
      <c r="BS173" s="187"/>
      <c r="BT173" s="188"/>
      <c r="BU173" s="188"/>
      <c r="BV173" s="188"/>
      <c r="BW173" s="190"/>
    </row>
    <row r="174" spans="68:88" ht="20.25" hidden="1" x14ac:dyDescent="0.4">
      <c r="BP174" s="184"/>
      <c r="BQ174" s="376"/>
      <c r="BR174" s="17"/>
      <c r="BS174" s="187"/>
      <c r="BT174" s="188"/>
      <c r="BU174" s="188"/>
      <c r="BV174" s="188"/>
      <c r="BW174" s="190"/>
    </row>
    <row r="175" spans="68:88" ht="20.25" hidden="1" x14ac:dyDescent="0.4">
      <c r="BP175" s="184"/>
      <c r="BQ175" s="376"/>
      <c r="BR175" s="17"/>
      <c r="BS175" s="187"/>
      <c r="BT175" s="188"/>
      <c r="BU175" s="188"/>
      <c r="BV175" s="188"/>
      <c r="BW175" s="190"/>
    </row>
    <row r="176" spans="68:88" ht="20.25" hidden="1" x14ac:dyDescent="0.4">
      <c r="BP176" s="184"/>
      <c r="BQ176" s="376"/>
      <c r="BR176" s="17"/>
      <c r="BS176" s="187"/>
      <c r="BT176" s="188"/>
      <c r="BU176" s="188"/>
      <c r="BV176" s="188"/>
      <c r="BW176" s="190"/>
    </row>
    <row r="177" hidden="1" x14ac:dyDescent="0.25"/>
    <row r="178" hidden="1" x14ac:dyDescent="0.25"/>
    <row r="179" hidden="1" x14ac:dyDescent="0.25"/>
    <row r="180" hidden="1" x14ac:dyDescent="0.25"/>
  </sheetData>
  <sheetProtection algorithmName="SHA-512" hashValue="8jF+UViBWjQitDl1focQZwcu5jQBIre554RNJwX7S48qClED4oRzXHOaQjhdbdaQ/P314kox415ZVx/MrCo9gw==" saltValue="tm3LmIWoizcuI1M3uSYi9Q==" spinCount="100000" sheet="1" objects="1" scenarios="1"/>
  <protectedRanges>
    <protectedRange sqref="B88 B91 B112" name="Range1"/>
  </protectedRanges>
  <mergeCells count="11">
    <mergeCell ref="B85:B87"/>
    <mergeCell ref="D87:D88"/>
    <mergeCell ref="D85:D86"/>
    <mergeCell ref="BQ31:BR31"/>
    <mergeCell ref="BN33:BN34"/>
    <mergeCell ref="BU123:BV123"/>
    <mergeCell ref="CE34:CF34"/>
    <mergeCell ref="W91:AA91"/>
    <mergeCell ref="AZ91:BA91"/>
    <mergeCell ref="BO34:BP34"/>
    <mergeCell ref="AZ112:BA112"/>
  </mergeCells>
  <conditionalFormatting sqref="AB36:AE36 U36 AB39:AE44 U39:U44 AB70:AE75 U70:U75">
    <cfRule type="cellIs" dxfId="211" priority="141" stopIfTrue="1" operator="between">
      <formula>"OVERLOAD"</formula>
      <formula>"OVERLOAD"</formula>
    </cfRule>
  </conditionalFormatting>
  <conditionalFormatting sqref="CH157:CI157">
    <cfRule type="cellIs" dxfId="210" priority="140" stopIfTrue="1" operator="equal">
      <formula>FALSE</formula>
    </cfRule>
  </conditionalFormatting>
  <conditionalFormatting sqref="D94 K94:O94 T94:Y94 AB94">
    <cfRule type="expression" dxfId="209" priority="134" stopIfTrue="1">
      <formula>$B$91&lt;1</formula>
    </cfRule>
  </conditionalFormatting>
  <conditionalFormatting sqref="AX95:BA95 D95 J95:AB95">
    <cfRule type="expression" dxfId="208" priority="132" stopIfTrue="1">
      <formula>$B$91&lt;2</formula>
    </cfRule>
  </conditionalFormatting>
  <conditionalFormatting sqref="AX96:BA96 D96 J96:AB96">
    <cfRule type="expression" dxfId="207" priority="131" stopIfTrue="1">
      <formula>$B$91&lt;3</formula>
    </cfRule>
  </conditionalFormatting>
  <conditionalFormatting sqref="AX97:BA97 D97 J97:AB97">
    <cfRule type="expression" dxfId="206" priority="130" stopIfTrue="1">
      <formula>$B$91&lt;4</formula>
    </cfRule>
  </conditionalFormatting>
  <conditionalFormatting sqref="AX98:BA98 D98 J98:AB98">
    <cfRule type="expression" dxfId="205" priority="129" stopIfTrue="1">
      <formula>$B$91&lt;5</formula>
    </cfRule>
  </conditionalFormatting>
  <conditionalFormatting sqref="AX99:BA99 D99 J99:AB99">
    <cfRule type="expression" dxfId="204" priority="128" stopIfTrue="1">
      <formula>$B$91&lt;6</formula>
    </cfRule>
  </conditionalFormatting>
  <conditionalFormatting sqref="AX100:BA100 D100 J100:AB100">
    <cfRule type="expression" dxfId="203" priority="127" stopIfTrue="1">
      <formula>$B$91&lt;7</formula>
    </cfRule>
  </conditionalFormatting>
  <conditionalFormatting sqref="AX101:BA101 D101 J101:AB101">
    <cfRule type="expression" dxfId="202" priority="126" stopIfTrue="1">
      <formula>$B$91&lt;8</formula>
    </cfRule>
  </conditionalFormatting>
  <conditionalFormatting sqref="AX102:BA102 D102 J102:AB102">
    <cfRule type="expression" dxfId="201" priority="125" stopIfTrue="1">
      <formula>$B$91&lt;9</formula>
    </cfRule>
  </conditionalFormatting>
  <conditionalFormatting sqref="AX103:BA103 D103 J103:AB103">
    <cfRule type="expression" dxfId="200" priority="101" stopIfTrue="1">
      <formula>$B$91&lt;10</formula>
    </cfRule>
  </conditionalFormatting>
  <conditionalFormatting sqref="AX104:BA104 D104 J104:AB104">
    <cfRule type="expression" dxfId="199" priority="88" stopIfTrue="1">
      <formula>$B$91&lt;11</formula>
    </cfRule>
  </conditionalFormatting>
  <conditionalFormatting sqref="AX105:BA105 D105 J105:AB105">
    <cfRule type="expression" dxfId="198" priority="75" stopIfTrue="1">
      <formula>$B$91&lt;12</formula>
    </cfRule>
  </conditionalFormatting>
  <conditionalFormatting sqref="E85:G86 D85 D87">
    <cfRule type="cellIs" dxfId="197" priority="137" stopIfTrue="1" operator="equal">
      <formula>"change the angle of frame"</formula>
    </cfRule>
  </conditionalFormatting>
  <conditionalFormatting sqref="E88:G88">
    <cfRule type="cellIs" dxfId="196" priority="138" stopIfTrue="1" operator="equal">
      <formula>"USE EXBAR VR AT THE BACK"</formula>
    </cfRule>
  </conditionalFormatting>
  <conditionalFormatting sqref="E87:G87 E88">
    <cfRule type="cellIs" dxfId="195" priority="139" stopIfTrue="1" operator="equal">
      <formula>"USE EXBAR VR AT THE FRONT"</formula>
    </cfRule>
  </conditionalFormatting>
  <conditionalFormatting sqref="B94:B105">
    <cfRule type="cellIs" dxfId="194" priority="135" stopIfTrue="1" operator="greaterThan">
      <formula>$B$91</formula>
    </cfRule>
  </conditionalFormatting>
  <conditionalFormatting sqref="B116:C116 AQ116:BA116 E116:F116 J116:AO116">
    <cfRule type="expression" dxfId="193" priority="120" stopIfTrue="1">
      <formula>$B$112&lt;2</formula>
    </cfRule>
  </conditionalFormatting>
  <conditionalFormatting sqref="B117:C117 AQ117:BA117 E117:F117 J117:AO117">
    <cfRule type="expression" dxfId="192" priority="119" stopIfTrue="1">
      <formula>$B$112&lt;3</formula>
    </cfRule>
  </conditionalFormatting>
  <conditionalFormatting sqref="B118:C118 AQ118:BA118 E118:F118 J118:AO118">
    <cfRule type="expression" dxfId="191" priority="118" stopIfTrue="1">
      <formula>$B$112&lt;4</formula>
    </cfRule>
  </conditionalFormatting>
  <conditionalFormatting sqref="B119:C119 AQ119:BA119 E119:F119 J119:AO119">
    <cfRule type="expression" dxfId="190" priority="117" stopIfTrue="1">
      <formula>$B$112&lt;5</formula>
    </cfRule>
  </conditionalFormatting>
  <conditionalFormatting sqref="B120:C120 AQ120:BA120 E120:F120 J120:AO120">
    <cfRule type="expression" dxfId="189" priority="116">
      <formula>$B$112&lt;6</formula>
    </cfRule>
  </conditionalFormatting>
  <conditionalFormatting sqref="E94">
    <cfRule type="expression" dxfId="188" priority="100" stopIfTrue="1">
      <formula>$B$91&lt;1</formula>
    </cfRule>
  </conditionalFormatting>
  <conditionalFormatting sqref="E95">
    <cfRule type="expression" dxfId="187" priority="99" stopIfTrue="1">
      <formula>$B$91&lt;2</formula>
    </cfRule>
  </conditionalFormatting>
  <conditionalFormatting sqref="E96">
    <cfRule type="expression" dxfId="186" priority="98" stopIfTrue="1">
      <formula>$B$91&lt;3</formula>
    </cfRule>
  </conditionalFormatting>
  <conditionalFormatting sqref="E97">
    <cfRule type="expression" dxfId="185" priority="97" stopIfTrue="1">
      <formula>$B$91&lt;4</formula>
    </cfRule>
  </conditionalFormatting>
  <conditionalFormatting sqref="E98">
    <cfRule type="expression" dxfId="184" priority="96" stopIfTrue="1">
      <formula>$B$91&lt;5</formula>
    </cfRule>
  </conditionalFormatting>
  <conditionalFormatting sqref="E99">
    <cfRule type="expression" dxfId="183" priority="95" stopIfTrue="1">
      <formula>$B$91&lt;6</formula>
    </cfRule>
  </conditionalFormatting>
  <conditionalFormatting sqref="E100">
    <cfRule type="expression" dxfId="182" priority="94" stopIfTrue="1">
      <formula>$B$91&lt;7</formula>
    </cfRule>
  </conditionalFormatting>
  <conditionalFormatting sqref="E101">
    <cfRule type="expression" dxfId="181" priority="93" stopIfTrue="1">
      <formula>$B$91&lt;8</formula>
    </cfRule>
  </conditionalFormatting>
  <conditionalFormatting sqref="E102">
    <cfRule type="expression" dxfId="180" priority="92" stopIfTrue="1">
      <formula>$B$91&lt;9</formula>
    </cfRule>
  </conditionalFormatting>
  <conditionalFormatting sqref="E103">
    <cfRule type="expression" dxfId="179" priority="91" stopIfTrue="1">
      <formula>$B$91&lt;10</formula>
    </cfRule>
  </conditionalFormatting>
  <conditionalFormatting sqref="E104">
    <cfRule type="expression" dxfId="178" priority="90" stopIfTrue="1">
      <formula>$B$91&lt;11</formula>
    </cfRule>
  </conditionalFormatting>
  <conditionalFormatting sqref="E105">
    <cfRule type="expression" dxfId="177" priority="89" stopIfTrue="1">
      <formula>$B$91&lt;12</formula>
    </cfRule>
  </conditionalFormatting>
  <conditionalFormatting sqref="AZ94:BA105">
    <cfRule type="cellIs" dxfId="176" priority="133" stopIfTrue="1" operator="lessThan">
      <formula>10</formula>
    </cfRule>
  </conditionalFormatting>
  <conditionalFormatting sqref="AZ115:BA120">
    <cfRule type="cellIs" dxfId="175" priority="122" stopIfTrue="1" operator="lessThan">
      <formula>10</formula>
    </cfRule>
  </conditionalFormatting>
  <conditionalFormatting sqref="F94:G94">
    <cfRule type="expression" dxfId="174" priority="87" stopIfTrue="1">
      <formula>$B$91&lt;1</formula>
    </cfRule>
  </conditionalFormatting>
  <conditionalFormatting sqref="F95:G95">
    <cfRule type="expression" dxfId="173" priority="86" stopIfTrue="1">
      <formula>$B$91&lt;2</formula>
    </cfRule>
  </conditionalFormatting>
  <conditionalFormatting sqref="F96:G96">
    <cfRule type="expression" dxfId="172" priority="85" stopIfTrue="1">
      <formula>$B$91&lt;3</formula>
    </cfRule>
  </conditionalFormatting>
  <conditionalFormatting sqref="F97:G97">
    <cfRule type="expression" dxfId="171" priority="84" stopIfTrue="1">
      <formula>$B$91&lt;4</formula>
    </cfRule>
  </conditionalFormatting>
  <conditionalFormatting sqref="F98:G98">
    <cfRule type="expression" dxfId="170" priority="83" stopIfTrue="1">
      <formula>$B$91&lt;5</formula>
    </cfRule>
  </conditionalFormatting>
  <conditionalFormatting sqref="F99:G99">
    <cfRule type="expression" dxfId="169" priority="82" stopIfTrue="1">
      <formula>$B$91&lt;6</formula>
    </cfRule>
  </conditionalFormatting>
  <conditionalFormatting sqref="F100:G100">
    <cfRule type="expression" dxfId="168" priority="81" stopIfTrue="1">
      <formula>$B$91&lt;7</formula>
    </cfRule>
  </conditionalFormatting>
  <conditionalFormatting sqref="F101:G101">
    <cfRule type="expression" dxfId="167" priority="80" stopIfTrue="1">
      <formula>$B$91&lt;8</formula>
    </cfRule>
  </conditionalFormatting>
  <conditionalFormatting sqref="F102:G102">
    <cfRule type="expression" dxfId="166" priority="79" stopIfTrue="1">
      <formula>$B$91&lt;9</formula>
    </cfRule>
  </conditionalFormatting>
  <conditionalFormatting sqref="F103:G103">
    <cfRule type="expression" dxfId="165" priority="78" stopIfTrue="1">
      <formula>$B$91&lt;10</formula>
    </cfRule>
  </conditionalFormatting>
  <conditionalFormatting sqref="F104:G104">
    <cfRule type="expression" dxfId="164" priority="77" stopIfTrue="1">
      <formula>$B$91&lt;11</formula>
    </cfRule>
  </conditionalFormatting>
  <conditionalFormatting sqref="F105:G105">
    <cfRule type="expression" dxfId="163" priority="76" stopIfTrue="1">
      <formula>$B$91&lt;12</formula>
    </cfRule>
  </conditionalFormatting>
  <conditionalFormatting sqref="D94:D105">
    <cfRule type="cellIs" dxfId="162" priority="136" stopIfTrue="1" operator="notEqual">
      <formula>0</formula>
    </cfRule>
  </conditionalFormatting>
  <conditionalFormatting sqref="Z94:AA94">
    <cfRule type="expression" dxfId="161" priority="74" stopIfTrue="1">
      <formula>$B$94&lt;1</formula>
    </cfRule>
  </conditionalFormatting>
  <conditionalFormatting sqref="AD95:AD105">
    <cfRule type="expression" dxfId="160" priority="69" stopIfTrue="1">
      <formula>$B$94&lt;1</formula>
    </cfRule>
  </conditionalFormatting>
  <conditionalFormatting sqref="AC94:AD94">
    <cfRule type="expression" dxfId="159" priority="73" stopIfTrue="1">
      <formula>$B$94&lt;1</formula>
    </cfRule>
  </conditionalFormatting>
  <conditionalFormatting sqref="AD94:AD105">
    <cfRule type="expression" dxfId="158" priority="72" stopIfTrue="1">
      <formula>$B$94&lt;1</formula>
    </cfRule>
  </conditionalFormatting>
  <conditionalFormatting sqref="AD95:AD105">
    <cfRule type="expression" dxfId="157" priority="71" stopIfTrue="1">
      <formula>$B$94&lt;1</formula>
    </cfRule>
  </conditionalFormatting>
  <conditionalFormatting sqref="AC95:AC105">
    <cfRule type="expression" dxfId="156" priority="70" stopIfTrue="1">
      <formula>$B$94&lt;1</formula>
    </cfRule>
  </conditionalFormatting>
  <conditionalFormatting sqref="AD95:AD105">
    <cfRule type="expression" dxfId="155" priority="68" stopIfTrue="1">
      <formula>$B$94&lt;1</formula>
    </cfRule>
  </conditionalFormatting>
  <conditionalFormatting sqref="AE94">
    <cfRule type="expression" dxfId="154" priority="67" stopIfTrue="1">
      <formula>$B$94&lt;1</formula>
    </cfRule>
  </conditionalFormatting>
  <conditionalFormatting sqref="AE95:AE105">
    <cfRule type="expression" dxfId="153" priority="66" stopIfTrue="1">
      <formula>$B$94&lt;1</formula>
    </cfRule>
  </conditionalFormatting>
  <conditionalFormatting sqref="C75">
    <cfRule type="cellIs" dxfId="152" priority="65" stopIfTrue="1" operator="between">
      <formula>"OVERLOAD"</formula>
      <formula>"OVERLOAD"</formula>
    </cfRule>
  </conditionalFormatting>
  <conditionalFormatting sqref="B122:C122 AQ122:BA122 E122:F122 J122:AO122">
    <cfRule type="expression" dxfId="151" priority="30">
      <formula>$B$112&lt;8</formula>
    </cfRule>
  </conditionalFormatting>
  <conditionalFormatting sqref="AZ121:BA122">
    <cfRule type="cellIs" dxfId="150" priority="31" stopIfTrue="1" operator="lessThan">
      <formula>10</formula>
    </cfRule>
  </conditionalFormatting>
  <conditionalFormatting sqref="B121:C121 AQ121:BA121 E121:F121 J121:AO121">
    <cfRule type="expression" dxfId="149" priority="29">
      <formula>$B$112&lt;7</formula>
    </cfRule>
  </conditionalFormatting>
  <conditionalFormatting sqref="D116">
    <cfRule type="cellIs" dxfId="148" priority="26" operator="notEqual">
      <formula>0</formula>
    </cfRule>
  </conditionalFormatting>
  <conditionalFormatting sqref="D117">
    <cfRule type="cellIs" dxfId="147" priority="24" operator="notEqual">
      <formula>0</formula>
    </cfRule>
  </conditionalFormatting>
  <conditionalFormatting sqref="D118">
    <cfRule type="cellIs" dxfId="146" priority="22" operator="notEqual">
      <formula>0</formula>
    </cfRule>
  </conditionalFormatting>
  <conditionalFormatting sqref="D119">
    <cfRule type="cellIs" dxfId="145" priority="20" operator="notEqual">
      <formula>0</formula>
    </cfRule>
  </conditionalFormatting>
  <conditionalFormatting sqref="D120:D122">
    <cfRule type="cellIs" dxfId="144" priority="18" operator="notEqual">
      <formula>0</formula>
    </cfRule>
  </conditionalFormatting>
  <conditionalFormatting sqref="D116:D122">
    <cfRule type="expression" dxfId="143" priority="447">
      <formula>#REF!&lt;2</formula>
    </cfRule>
  </conditionalFormatting>
  <conditionalFormatting sqref="D84">
    <cfRule type="cellIs" dxfId="142" priority="7" operator="equal">
      <formula>"WLL of FRV APS is exceeded"</formula>
    </cfRule>
  </conditionalFormatting>
  <conditionalFormatting sqref="D115">
    <cfRule type="cellIs" dxfId="141" priority="4" operator="notEqual">
      <formula>0</formula>
    </cfRule>
  </conditionalFormatting>
  <conditionalFormatting sqref="D115">
    <cfRule type="expression" dxfId="140" priority="5">
      <formula>#REF!&lt;2</formula>
    </cfRule>
  </conditionalFormatting>
  <conditionalFormatting sqref="BO54:CG54">
    <cfRule type="cellIs" dxfId="139" priority="2" operator="equal">
      <formula>0</formula>
    </cfRule>
  </conditionalFormatting>
  <conditionalFormatting sqref="BO54:CF54">
    <cfRule type="expression" dxfId="138" priority="3">
      <formula>$B$88=0</formula>
    </cfRule>
  </conditionalFormatting>
  <conditionalFormatting sqref="BM84">
    <cfRule type="cellIs" dxfId="137" priority="1" operator="equal">
      <formula>"WLL=180kg"</formula>
    </cfRule>
  </conditionalFormatting>
  <dataValidations count="6">
    <dataValidation type="decimal" allowBlank="1" showInputMessage="1" showErrorMessage="1" sqref="B88" xr:uid="{00000000-0002-0000-0200-000000000000}">
      <formula1>-89.9</formula1>
      <formula2>89.9</formula2>
    </dataValidation>
    <dataValidation type="custom" allowBlank="1" showInputMessage="1" showErrorMessage="1" sqref="D94:D105" xr:uid="{00000000-0002-0000-0200-000001000000}">
      <formula1>OR(D94=0,D94=2.5,D94=5)</formula1>
    </dataValidation>
    <dataValidation type="whole" allowBlank="1" showInputMessage="1" showErrorMessage="1" errorTitle="Coda Audio" error="YOU HAVE ENTERED A WRONG NUMBER OF CABINETS" promptTitle="Coda Audio" prompt="ENTER THE NUMBER OF CABINETS FROM 1 UP TO 4" sqref="B112" xr:uid="{00000000-0002-0000-0200-000002000000}">
      <formula1>1</formula1>
      <formula2>4</formula2>
    </dataValidation>
    <dataValidation type="whole" allowBlank="1" showInputMessage="1" showErrorMessage="1" errorTitle="Coda Audio" error="YOU HAVE ENTERED A WRONG NUMBER OF CABINETS" promptTitle="Coda Audio" prompt="ENTER THE NUMBER OF CABINETS FROM 1 UP TO 3" sqref="B91" xr:uid="{00000000-0002-0000-0200-000003000000}">
      <formula1>1</formula1>
      <formula2>3</formula2>
    </dataValidation>
    <dataValidation type="decimal" allowBlank="1" showInputMessage="1" showErrorMessage="1" sqref="G95:G105 F117:F122 F96:F105" xr:uid="{00000000-0002-0000-0200-000004000000}">
      <formula1>0</formula1>
      <formula2>8</formula2>
    </dataValidation>
    <dataValidation type="decimal" allowBlank="1" showInputMessage="1" showErrorMessage="1" sqref="F94:G94 F115:G115 G116:G122" xr:uid="{00000000-0002-0000-0200-000005000000}">
      <formula1>0</formula1>
      <formula2>4</formula2>
    </dataValidation>
  </dataValidations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H172"/>
  <sheetViews>
    <sheetView topLeftCell="A21" zoomScale="50" zoomScaleNormal="50" workbookViewId="0">
      <selection activeCell="BF99" sqref="BF99"/>
    </sheetView>
  </sheetViews>
  <sheetFormatPr baseColWidth="10" defaultColWidth="9.140625" defaultRowHeight="18" x14ac:dyDescent="0.25"/>
  <cols>
    <col min="1" max="1" width="1.5703125" style="473" customWidth="1"/>
    <col min="2" max="2" width="50.85546875" style="469" customWidth="1"/>
    <col min="3" max="3" width="22.42578125" style="469" hidden="1" customWidth="1"/>
    <col min="4" max="4" width="46.42578125" style="471" bestFit="1" customWidth="1"/>
    <col min="5" max="5" width="22.28515625" style="471" hidden="1" customWidth="1"/>
    <col min="6" max="6" width="19.42578125" style="471" hidden="1" customWidth="1"/>
    <col min="7" max="7" width="4.28515625" style="471" hidden="1" customWidth="1"/>
    <col min="8" max="8" width="11" style="472" hidden="1" customWidth="1"/>
    <col min="9" max="10" width="17.5703125" style="472" hidden="1" customWidth="1"/>
    <col min="11" max="14" width="19.42578125" style="472" hidden="1" customWidth="1"/>
    <col min="15" max="15" width="8.7109375" style="472" hidden="1" customWidth="1"/>
    <col min="16" max="17" width="19.42578125" style="472" hidden="1" customWidth="1"/>
    <col min="18" max="18" width="28" style="472" hidden="1" customWidth="1"/>
    <col min="19" max="19" width="19.42578125" style="472" hidden="1" customWidth="1"/>
    <col min="20" max="20" width="22.28515625" style="472" hidden="1" customWidth="1"/>
    <col min="21" max="21" width="8.28515625" style="472" hidden="1" customWidth="1"/>
    <col min="22" max="22" width="19.42578125" style="472" hidden="1" customWidth="1"/>
    <col min="23" max="23" width="16.5703125" style="472" hidden="1" customWidth="1"/>
    <col min="24" max="24" width="15" style="472" hidden="1" customWidth="1"/>
    <col min="25" max="25" width="16" style="472" hidden="1" customWidth="1"/>
    <col min="26" max="26" width="16.28515625" style="472" hidden="1" customWidth="1"/>
    <col min="27" max="27" width="17" style="472" hidden="1" customWidth="1"/>
    <col min="28" max="28" width="29.5703125" style="472" hidden="1" customWidth="1"/>
    <col min="29" max="29" width="28.7109375" style="472" hidden="1" customWidth="1"/>
    <col min="30" max="31" width="7.7109375" style="472" hidden="1" customWidth="1"/>
    <col min="32" max="32" width="54.7109375" style="472" hidden="1" customWidth="1"/>
    <col min="33" max="33" width="30" style="472" hidden="1" customWidth="1"/>
    <col min="34" max="34" width="17.28515625" style="472" hidden="1" customWidth="1"/>
    <col min="35" max="35" width="9.28515625" style="472" hidden="1" customWidth="1"/>
    <col min="36" max="37" width="36.5703125" style="472" hidden="1" customWidth="1"/>
    <col min="38" max="38" width="68.140625" style="472" hidden="1" customWidth="1"/>
    <col min="39" max="39" width="36.5703125" style="472" hidden="1" customWidth="1"/>
    <col min="40" max="40" width="39.5703125" style="472" hidden="1" customWidth="1"/>
    <col min="41" max="41" width="46.5703125" style="472" hidden="1" customWidth="1"/>
    <col min="42" max="42" width="96.5703125" style="472" hidden="1" customWidth="1"/>
    <col min="43" max="43" width="38.5703125" style="472" hidden="1" customWidth="1"/>
    <col min="44" max="44" width="66.42578125" style="472" hidden="1" customWidth="1"/>
    <col min="45" max="46" width="20.140625" style="472" hidden="1" customWidth="1"/>
    <col min="47" max="47" width="35.140625" style="472" hidden="1" customWidth="1"/>
    <col min="48" max="49" width="20.140625" style="472" hidden="1" customWidth="1"/>
    <col min="50" max="50" width="136" style="472" hidden="1" customWidth="1"/>
    <col min="51" max="51" width="17" style="472" hidden="1" customWidth="1"/>
    <col min="52" max="53" width="16.28515625" style="472" hidden="1" customWidth="1"/>
    <col min="54" max="54" width="15.140625" style="472" hidden="1" customWidth="1"/>
    <col min="55" max="55" width="8.85546875" style="14" hidden="1" customWidth="1"/>
    <col min="56" max="56" width="14.5703125" style="14" hidden="1" customWidth="1"/>
    <col min="57" max="57" width="3" style="14" hidden="1" customWidth="1"/>
    <col min="58" max="58" width="43.5703125" style="14" customWidth="1"/>
    <col min="59" max="59" width="7.140625" style="14" hidden="1" customWidth="1"/>
    <col min="60" max="77" width="12" style="14" customWidth="1"/>
    <col min="78" max="78" width="40.85546875" style="14" hidden="1" customWidth="1"/>
    <col min="79" max="79" width="41" style="473" customWidth="1"/>
    <col min="80" max="80" width="7.28515625" style="473" customWidth="1"/>
    <col min="81" max="110" width="6.5703125" style="473" customWidth="1"/>
    <col min="111" max="113" width="9.140625" style="473"/>
    <col min="114" max="114" width="11.42578125" style="473" customWidth="1"/>
    <col min="115" max="115" width="9.28515625" style="473" customWidth="1"/>
    <col min="116" max="16384" width="9.140625" style="473"/>
  </cols>
  <sheetData>
    <row r="1" spans="2:112" ht="26.25" hidden="1" customHeight="1" x14ac:dyDescent="0.25">
      <c r="D1" s="470" t="s">
        <v>71</v>
      </c>
      <c r="E1" s="470" t="s">
        <v>72</v>
      </c>
      <c r="F1" s="470" t="s">
        <v>73</v>
      </c>
    </row>
    <row r="2" spans="2:112" ht="26.25" hidden="1" customHeight="1" x14ac:dyDescent="0.3">
      <c r="B2" s="474" t="s">
        <v>23</v>
      </c>
      <c r="C2" s="366">
        <v>510</v>
      </c>
      <c r="D2" s="475">
        <f>+COS(($B$82*-1)*3.14159265358979/180)*C2</f>
        <v>510</v>
      </c>
      <c r="E2" s="475">
        <f>+COS(($B$82*-1)*3.14159265358979/180)*30</f>
        <v>30</v>
      </c>
      <c r="F2" s="346">
        <f>+COS((($B$82*-1)+28.5565949)*3.14159265358979/180)*45.5553</f>
        <v>40.013286477395795</v>
      </c>
    </row>
    <row r="3" spans="2:112" ht="26.25" hidden="1" customHeight="1" x14ac:dyDescent="0.35">
      <c r="B3" s="476" t="s">
        <v>74</v>
      </c>
      <c r="C3" s="477">
        <f>+C9-32.5914</f>
        <v>276.4334107151663</v>
      </c>
      <c r="D3" s="478">
        <f>+C9-F2</f>
        <v>269.01152423777052</v>
      </c>
    </row>
    <row r="4" spans="2:112" ht="54.75" hidden="1" x14ac:dyDescent="0.3">
      <c r="B4" s="479" t="s">
        <v>75</v>
      </c>
      <c r="C4" s="480"/>
      <c r="D4" s="481"/>
    </row>
    <row r="5" spans="2:112" ht="36.75" hidden="1" x14ac:dyDescent="0.3">
      <c r="B5" s="479" t="s">
        <v>76</v>
      </c>
      <c r="C5" s="480"/>
      <c r="D5" s="481"/>
    </row>
    <row r="6" spans="2:112" hidden="1" x14ac:dyDescent="0.25">
      <c r="B6" s="482"/>
      <c r="C6" s="482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</row>
    <row r="7" spans="2:112" ht="20.25" hidden="1" x14ac:dyDescent="0.3">
      <c r="B7" s="483" t="s">
        <v>17</v>
      </c>
      <c r="C7" s="484">
        <f>+C11+C15+C18+3.3+5</f>
        <v>60.7</v>
      </c>
    </row>
    <row r="8" spans="2:112" ht="20.25" hidden="1" x14ac:dyDescent="0.3">
      <c r="B8" s="483"/>
      <c r="C8" s="485"/>
    </row>
    <row r="9" spans="2:112" ht="20.25" hidden="1" x14ac:dyDescent="0.3">
      <c r="B9" s="483" t="s">
        <v>13</v>
      </c>
      <c r="C9" s="485">
        <f>+AP84</f>
        <v>309.02481071516632</v>
      </c>
    </row>
    <row r="10" spans="2:112" hidden="1" x14ac:dyDescent="0.25"/>
    <row r="11" spans="2:112" s="471" customFormat="1" ht="23.25" hidden="1" x14ac:dyDescent="0.35">
      <c r="B11" s="486" t="s">
        <v>98</v>
      </c>
      <c r="C11" s="478">
        <f>(+B87*12.2)</f>
        <v>12.2</v>
      </c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  <c r="AC11" s="472"/>
      <c r="AD11" s="472"/>
      <c r="AE11" s="472"/>
      <c r="AF11" s="472"/>
      <c r="AG11" s="472"/>
      <c r="AH11" s="472"/>
      <c r="AI11" s="472"/>
      <c r="AJ11" s="472"/>
      <c r="AK11" s="472"/>
      <c r="AL11" s="472"/>
      <c r="AM11" s="472"/>
      <c r="AN11" s="472"/>
      <c r="AO11" s="472"/>
      <c r="AP11" s="472"/>
      <c r="AQ11" s="472"/>
      <c r="AR11" s="472"/>
      <c r="AS11" s="472"/>
      <c r="AT11" s="472"/>
      <c r="AU11" s="472"/>
      <c r="AV11" s="472"/>
      <c r="AW11" s="472"/>
      <c r="AX11" s="472"/>
      <c r="AY11" s="472"/>
      <c r="AZ11" s="472"/>
      <c r="BA11" s="472"/>
      <c r="BB11" s="472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473"/>
      <c r="CB11" s="473"/>
      <c r="CC11" s="473"/>
      <c r="CD11" s="473"/>
      <c r="CE11" s="473"/>
      <c r="CF11" s="473"/>
      <c r="CG11" s="473"/>
      <c r="CH11" s="473"/>
      <c r="CI11" s="473"/>
      <c r="CJ11" s="473"/>
      <c r="CK11" s="473"/>
      <c r="CL11" s="473"/>
      <c r="CM11" s="473"/>
      <c r="CN11" s="473"/>
      <c r="CO11" s="473"/>
      <c r="CP11" s="473"/>
      <c r="CQ11" s="473"/>
      <c r="CR11" s="473"/>
      <c r="CS11" s="473"/>
      <c r="CT11" s="473"/>
      <c r="CU11" s="473"/>
      <c r="CV11" s="473"/>
      <c r="CW11" s="473"/>
      <c r="CX11" s="473"/>
      <c r="CY11" s="473"/>
      <c r="CZ11" s="473"/>
      <c r="DA11" s="473"/>
      <c r="DB11" s="473"/>
      <c r="DC11" s="473"/>
      <c r="DD11" s="473"/>
      <c r="DE11" s="473"/>
      <c r="DF11" s="473"/>
      <c r="DG11" s="473"/>
      <c r="DH11" s="473"/>
    </row>
    <row r="12" spans="2:112" s="471" customFormat="1" hidden="1" x14ac:dyDescent="0.25">
      <c r="B12" s="487"/>
      <c r="C12" s="488"/>
      <c r="D12" s="489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472"/>
      <c r="T12" s="472"/>
      <c r="U12" s="472"/>
      <c r="V12" s="472"/>
      <c r="W12" s="472"/>
      <c r="X12" s="472"/>
      <c r="Y12" s="472"/>
      <c r="Z12" s="472"/>
      <c r="AA12" s="472"/>
      <c r="AB12" s="472"/>
      <c r="AC12" s="472"/>
      <c r="AD12" s="472"/>
      <c r="AE12" s="472"/>
      <c r="AF12" s="472"/>
      <c r="AG12" s="472"/>
      <c r="AH12" s="472"/>
      <c r="AI12" s="472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2"/>
      <c r="AV12" s="472"/>
      <c r="AW12" s="472"/>
      <c r="AX12" s="472"/>
      <c r="AY12" s="472"/>
      <c r="AZ12" s="472"/>
      <c r="BA12" s="472"/>
      <c r="BB12" s="472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473"/>
      <c r="CB12" s="473"/>
      <c r="CC12" s="473"/>
      <c r="CD12" s="473"/>
      <c r="CE12" s="473"/>
      <c r="CF12" s="473"/>
      <c r="CG12" s="473"/>
      <c r="CH12" s="473"/>
      <c r="CI12" s="473"/>
      <c r="CJ12" s="473"/>
      <c r="CK12" s="473"/>
      <c r="CL12" s="473"/>
      <c r="CM12" s="473"/>
      <c r="CN12" s="473"/>
      <c r="CO12" s="473"/>
      <c r="CP12" s="473"/>
      <c r="CQ12" s="473"/>
      <c r="CR12" s="473"/>
      <c r="CS12" s="473"/>
      <c r="CT12" s="473"/>
      <c r="CU12" s="473"/>
      <c r="CV12" s="473"/>
      <c r="CW12" s="473"/>
      <c r="CX12" s="473"/>
      <c r="CY12" s="473"/>
      <c r="CZ12" s="473"/>
      <c r="DA12" s="473"/>
      <c r="DB12" s="473"/>
      <c r="DC12" s="473"/>
      <c r="DD12" s="473"/>
      <c r="DE12" s="473"/>
      <c r="DF12" s="473"/>
      <c r="DG12" s="473"/>
      <c r="DH12" s="473"/>
    </row>
    <row r="13" spans="2:112" hidden="1" x14ac:dyDescent="0.25"/>
    <row r="14" spans="2:112" hidden="1" x14ac:dyDescent="0.25"/>
    <row r="15" spans="2:112" s="471" customFormat="1" ht="23.25" hidden="1" x14ac:dyDescent="0.35">
      <c r="B15" s="486" t="s">
        <v>93</v>
      </c>
      <c r="C15" s="478">
        <f>+B101*28</f>
        <v>28</v>
      </c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2"/>
      <c r="S15" s="472"/>
      <c r="T15" s="472"/>
      <c r="U15" s="472"/>
      <c r="V15" s="472"/>
      <c r="W15" s="472"/>
      <c r="X15" s="472"/>
      <c r="Y15" s="472"/>
      <c r="Z15" s="472"/>
      <c r="AA15" s="472"/>
      <c r="AB15" s="472"/>
      <c r="AC15" s="472"/>
      <c r="AD15" s="472"/>
      <c r="AE15" s="472"/>
      <c r="AF15" s="472"/>
      <c r="AG15" s="472"/>
      <c r="AH15" s="472"/>
      <c r="AI15" s="472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473"/>
      <c r="CB15" s="473"/>
      <c r="CC15" s="473"/>
      <c r="CD15" s="473"/>
      <c r="CE15" s="473"/>
      <c r="CF15" s="473"/>
      <c r="CG15" s="473"/>
      <c r="CH15" s="473"/>
      <c r="CI15" s="473"/>
      <c r="CJ15" s="473"/>
      <c r="CK15" s="473"/>
      <c r="CL15" s="473"/>
      <c r="CM15" s="473"/>
      <c r="CN15" s="473"/>
      <c r="CO15" s="473"/>
      <c r="CP15" s="473"/>
      <c r="CQ15" s="473"/>
      <c r="CR15" s="473"/>
      <c r="CS15" s="473"/>
      <c r="CT15" s="473"/>
      <c r="CU15" s="473"/>
      <c r="CV15" s="473"/>
      <c r="CW15" s="473"/>
      <c r="CX15" s="473"/>
      <c r="CY15" s="473"/>
      <c r="CZ15" s="473"/>
      <c r="DA15" s="473"/>
      <c r="DB15" s="473"/>
      <c r="DC15" s="473"/>
      <c r="DD15" s="473"/>
      <c r="DE15" s="473"/>
      <c r="DF15" s="473"/>
      <c r="DG15" s="473"/>
      <c r="DH15" s="473"/>
    </row>
    <row r="16" spans="2:112" s="471" customFormat="1" hidden="1" x14ac:dyDescent="0.25">
      <c r="B16" s="487"/>
      <c r="C16" s="488"/>
      <c r="D16" s="489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  <c r="AF16" s="472"/>
      <c r="AG16" s="472"/>
      <c r="AH16" s="472"/>
      <c r="AI16" s="472"/>
      <c r="AJ16" s="472"/>
      <c r="AK16" s="472"/>
      <c r="AL16" s="472"/>
      <c r="AM16" s="472"/>
      <c r="AN16" s="472"/>
      <c r="AO16" s="472"/>
      <c r="AP16" s="472"/>
      <c r="AQ16" s="472"/>
      <c r="AR16" s="472"/>
      <c r="AS16" s="472"/>
      <c r="AT16" s="472"/>
      <c r="AU16" s="472"/>
      <c r="AV16" s="472"/>
      <c r="AW16" s="472"/>
      <c r="AX16" s="472"/>
      <c r="AY16" s="472"/>
      <c r="AZ16" s="472"/>
      <c r="BA16" s="472"/>
      <c r="BB16" s="472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473"/>
      <c r="CB16" s="473"/>
      <c r="CC16" s="473"/>
      <c r="CD16" s="473"/>
      <c r="CE16" s="473"/>
      <c r="CF16" s="473"/>
      <c r="CG16" s="473"/>
      <c r="CH16" s="473"/>
      <c r="CI16" s="473"/>
      <c r="CJ16" s="473"/>
      <c r="CK16" s="473"/>
      <c r="CL16" s="473"/>
      <c r="CM16" s="473"/>
      <c r="CN16" s="473"/>
      <c r="CO16" s="473"/>
      <c r="CP16" s="473"/>
      <c r="CQ16" s="473"/>
      <c r="CR16" s="473"/>
      <c r="CS16" s="473"/>
      <c r="CT16" s="473"/>
      <c r="CU16" s="473"/>
      <c r="CV16" s="473"/>
      <c r="CW16" s="473"/>
      <c r="CX16" s="473"/>
      <c r="CY16" s="473"/>
      <c r="CZ16" s="473"/>
      <c r="DA16" s="473"/>
      <c r="DB16" s="473"/>
      <c r="DC16" s="473"/>
      <c r="DD16" s="473"/>
      <c r="DE16" s="473"/>
      <c r="DF16" s="473"/>
      <c r="DG16" s="473"/>
      <c r="DH16" s="473"/>
    </row>
    <row r="17" spans="2:112" s="471" customFormat="1" hidden="1" x14ac:dyDescent="0.25">
      <c r="B17" s="469"/>
      <c r="C17" s="469"/>
      <c r="D17" s="489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2"/>
      <c r="AA17" s="472"/>
      <c r="AB17" s="472"/>
      <c r="AC17" s="472"/>
      <c r="AD17" s="472"/>
      <c r="AE17" s="472"/>
      <c r="AF17" s="472"/>
      <c r="AG17" s="472"/>
      <c r="AH17" s="472"/>
      <c r="AI17" s="472"/>
      <c r="AJ17" s="472"/>
      <c r="AK17" s="472"/>
      <c r="AL17" s="472"/>
      <c r="AM17" s="472"/>
      <c r="AN17" s="472"/>
      <c r="AO17" s="472"/>
      <c r="AP17" s="472"/>
      <c r="AQ17" s="472"/>
      <c r="AR17" s="472"/>
      <c r="AS17" s="472"/>
      <c r="AT17" s="472"/>
      <c r="AU17" s="472"/>
      <c r="AV17" s="472"/>
      <c r="AW17" s="472"/>
      <c r="AX17" s="472"/>
      <c r="AY17" s="472"/>
      <c r="AZ17" s="472"/>
      <c r="BA17" s="472"/>
      <c r="BB17" s="472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473"/>
      <c r="CB17" s="473"/>
      <c r="CC17" s="473"/>
      <c r="CD17" s="473"/>
      <c r="CE17" s="473"/>
      <c r="CF17" s="473"/>
      <c r="CG17" s="473"/>
      <c r="CH17" s="473"/>
      <c r="CI17" s="473"/>
      <c r="CJ17" s="473"/>
      <c r="CK17" s="473"/>
      <c r="CL17" s="473"/>
      <c r="CM17" s="473"/>
      <c r="CN17" s="473"/>
      <c r="CO17" s="473"/>
      <c r="CP17" s="473"/>
      <c r="CQ17" s="473"/>
      <c r="CR17" s="473"/>
      <c r="CS17" s="473"/>
      <c r="CT17" s="473"/>
      <c r="CU17" s="473"/>
      <c r="CV17" s="473"/>
      <c r="CW17" s="473"/>
      <c r="CX17" s="473"/>
      <c r="CY17" s="473"/>
      <c r="CZ17" s="473"/>
      <c r="DA17" s="473"/>
      <c r="DB17" s="473"/>
      <c r="DC17" s="473"/>
      <c r="DD17" s="473"/>
      <c r="DE17" s="473"/>
      <c r="DF17" s="473"/>
      <c r="DG17" s="473"/>
      <c r="DH17" s="473"/>
    </row>
    <row r="18" spans="2:112" s="471" customFormat="1" ht="23.25" hidden="1" x14ac:dyDescent="0.35">
      <c r="B18" s="486" t="s">
        <v>94</v>
      </c>
      <c r="C18" s="478">
        <f>(+B122*12.2)</f>
        <v>12.2</v>
      </c>
      <c r="D18" s="489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472"/>
      <c r="Z18" s="472"/>
      <c r="AA18" s="472"/>
      <c r="AB18" s="472"/>
      <c r="AC18" s="472"/>
      <c r="AD18" s="472"/>
      <c r="AE18" s="472"/>
      <c r="AF18" s="472"/>
      <c r="AG18" s="472"/>
      <c r="AH18" s="472"/>
      <c r="AI18" s="472"/>
      <c r="AJ18" s="472"/>
      <c r="AK18" s="472"/>
      <c r="AL18" s="472"/>
      <c r="AM18" s="472"/>
      <c r="AN18" s="472"/>
      <c r="AO18" s="472"/>
      <c r="AP18" s="472"/>
      <c r="AQ18" s="472"/>
      <c r="AR18" s="472"/>
      <c r="AS18" s="472"/>
      <c r="AT18" s="472"/>
      <c r="AU18" s="472"/>
      <c r="AV18" s="472"/>
      <c r="AW18" s="472"/>
      <c r="AX18" s="472"/>
      <c r="AY18" s="472"/>
      <c r="AZ18" s="472"/>
      <c r="BA18" s="472"/>
      <c r="BB18" s="472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473"/>
      <c r="CB18" s="473"/>
      <c r="CC18" s="473"/>
      <c r="CD18" s="473"/>
      <c r="CE18" s="473"/>
      <c r="CF18" s="473"/>
      <c r="CG18" s="473"/>
      <c r="CH18" s="473"/>
      <c r="CI18" s="473"/>
      <c r="CJ18" s="473"/>
      <c r="CK18" s="473"/>
      <c r="CL18" s="473"/>
      <c r="CM18" s="473"/>
      <c r="CN18" s="473"/>
      <c r="CO18" s="473"/>
      <c r="CP18" s="473"/>
      <c r="CQ18" s="473"/>
      <c r="CR18" s="473"/>
      <c r="CS18" s="473"/>
      <c r="CT18" s="473"/>
      <c r="CU18" s="473"/>
      <c r="CV18" s="473"/>
      <c r="CW18" s="473"/>
      <c r="CX18" s="473"/>
      <c r="CY18" s="473"/>
      <c r="CZ18" s="473"/>
      <c r="DA18" s="473"/>
      <c r="DB18" s="473"/>
      <c r="DC18" s="473"/>
      <c r="DD18" s="473"/>
      <c r="DE18" s="473"/>
      <c r="DF18" s="473"/>
      <c r="DG18" s="473"/>
      <c r="DH18" s="473"/>
    </row>
    <row r="19" spans="2:112" s="471" customFormat="1" hidden="1" x14ac:dyDescent="0.25">
      <c r="B19" s="487"/>
      <c r="C19" s="488"/>
      <c r="D19" s="489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  <c r="AC19" s="472"/>
      <c r="AD19" s="472"/>
      <c r="AE19" s="472"/>
      <c r="AF19" s="472"/>
      <c r="AG19" s="472"/>
      <c r="AH19" s="472"/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2"/>
      <c r="BB19" s="472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473"/>
      <c r="CB19" s="473"/>
      <c r="CC19" s="473"/>
      <c r="CD19" s="473"/>
      <c r="CE19" s="473"/>
      <c r="CF19" s="473"/>
      <c r="CG19" s="473"/>
      <c r="CH19" s="473"/>
      <c r="CI19" s="473"/>
      <c r="CJ19" s="473"/>
      <c r="CK19" s="473"/>
      <c r="CL19" s="473"/>
      <c r="CM19" s="473"/>
      <c r="CN19" s="473"/>
      <c r="CO19" s="473"/>
      <c r="CP19" s="473"/>
      <c r="CQ19" s="473"/>
      <c r="CR19" s="473"/>
      <c r="CS19" s="473"/>
      <c r="CT19" s="473"/>
      <c r="CU19" s="473"/>
      <c r="CV19" s="473"/>
      <c r="CW19" s="473"/>
      <c r="CX19" s="473"/>
      <c r="CY19" s="473"/>
      <c r="CZ19" s="473"/>
      <c r="DA19" s="473"/>
      <c r="DB19" s="473"/>
      <c r="DC19" s="473"/>
      <c r="DD19" s="473"/>
      <c r="DE19" s="473"/>
      <c r="DF19" s="473"/>
      <c r="DG19" s="473"/>
      <c r="DH19" s="473"/>
    </row>
    <row r="20" spans="2:112" s="471" customFormat="1" hidden="1" x14ac:dyDescent="0.25">
      <c r="B20" s="490"/>
      <c r="C20" s="490"/>
      <c r="D20" s="489"/>
      <c r="H20" s="472"/>
      <c r="I20" s="472"/>
      <c r="J20" s="472"/>
      <c r="K20" s="472"/>
      <c r="L20" s="472"/>
      <c r="M20" s="472"/>
      <c r="N20" s="472"/>
      <c r="O20" s="472"/>
      <c r="P20" s="472"/>
      <c r="Q20" s="472"/>
      <c r="R20" s="472"/>
      <c r="S20" s="472"/>
      <c r="T20" s="472"/>
      <c r="U20" s="472"/>
      <c r="V20" s="472"/>
      <c r="W20" s="472"/>
      <c r="X20" s="472"/>
      <c r="Y20" s="472"/>
      <c r="Z20" s="472"/>
      <c r="AA20" s="472"/>
      <c r="AB20" s="472"/>
      <c r="AC20" s="472"/>
      <c r="AD20" s="472"/>
      <c r="AE20" s="472"/>
      <c r="AF20" s="472"/>
      <c r="AG20" s="472"/>
      <c r="AH20" s="472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2"/>
      <c r="BB20" s="472"/>
      <c r="BC20" s="50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473"/>
      <c r="CB20" s="473"/>
      <c r="CC20" s="473"/>
      <c r="CD20" s="473"/>
      <c r="CE20" s="473"/>
      <c r="CF20" s="473"/>
      <c r="CG20" s="473"/>
      <c r="CH20" s="473"/>
      <c r="CI20" s="473"/>
      <c r="CJ20" s="473"/>
      <c r="CK20" s="473"/>
      <c r="CL20" s="473"/>
      <c r="CM20" s="473"/>
      <c r="CN20" s="473"/>
      <c r="CO20" s="473"/>
      <c r="CP20" s="473"/>
      <c r="CQ20" s="473"/>
      <c r="CR20" s="473"/>
      <c r="CS20" s="473"/>
      <c r="CT20" s="473"/>
      <c r="CU20" s="473"/>
      <c r="CV20" s="473"/>
      <c r="CW20" s="473"/>
      <c r="CX20" s="473"/>
      <c r="CY20" s="473"/>
      <c r="CZ20" s="473"/>
      <c r="DA20" s="473"/>
      <c r="DB20" s="473"/>
      <c r="DC20" s="473"/>
      <c r="DD20" s="473"/>
      <c r="DE20" s="473"/>
      <c r="DF20" s="473"/>
      <c r="DG20" s="473"/>
      <c r="DH20" s="473"/>
    </row>
    <row r="21" spans="2:112" ht="27.75" customHeight="1" thickBot="1" x14ac:dyDescent="0.35">
      <c r="B21" s="490"/>
      <c r="C21" s="490"/>
      <c r="D21" s="489"/>
      <c r="BG21" s="42"/>
      <c r="BH21" s="46"/>
      <c r="BI21" s="44" t="s">
        <v>22</v>
      </c>
      <c r="BJ21" s="728">
        <f>+C7</f>
        <v>60.7</v>
      </c>
      <c r="BK21" s="728"/>
      <c r="BL21" s="45" t="s">
        <v>16</v>
      </c>
      <c r="BM21" s="45"/>
      <c r="BN21" s="499" t="s">
        <v>132</v>
      </c>
      <c r="BO21" s="46"/>
      <c r="BP21" s="46"/>
      <c r="BQ21" s="46"/>
      <c r="BR21" s="46"/>
      <c r="BS21" s="46"/>
      <c r="BT21" s="46"/>
      <c r="BU21" s="47"/>
      <c r="BV21" s="47"/>
      <c r="BW21" s="47"/>
      <c r="BX21" s="47"/>
      <c r="BY21" s="47"/>
      <c r="BZ21" s="47"/>
    </row>
    <row r="22" spans="2:112" ht="24" hidden="1" thickBot="1" x14ac:dyDescent="0.4">
      <c r="E22" s="493"/>
      <c r="BD22" s="52"/>
      <c r="BE22" s="4"/>
      <c r="BF22" s="59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1"/>
      <c r="BU22" s="62"/>
      <c r="BV22" s="62"/>
      <c r="BW22" s="62"/>
      <c r="BX22" s="62"/>
      <c r="BY22" s="58"/>
      <c r="BZ22" s="58"/>
    </row>
    <row r="23" spans="2:112" ht="39.950000000000003" customHeight="1" x14ac:dyDescent="0.3">
      <c r="E23" s="493"/>
      <c r="BC23" s="50"/>
      <c r="BF23" s="326" t="s">
        <v>24</v>
      </c>
      <c r="BG23" s="699"/>
      <c r="BH23" s="381" t="s">
        <v>25</v>
      </c>
      <c r="BI23" s="382"/>
      <c r="BJ23" s="383"/>
      <c r="BK23" s="383"/>
      <c r="BL23" s="383"/>
      <c r="BM23" s="383"/>
      <c r="BN23" s="383"/>
      <c r="BO23" s="384"/>
      <c r="BP23" s="385"/>
      <c r="BQ23" s="386"/>
      <c r="BR23" s="386"/>
      <c r="BS23" s="387"/>
      <c r="BT23" s="387"/>
      <c r="BU23" s="387"/>
      <c r="BV23" s="387"/>
      <c r="BW23" s="51"/>
      <c r="BX23" s="382"/>
      <c r="BY23" s="388" t="s">
        <v>26</v>
      </c>
      <c r="BZ23" s="46"/>
    </row>
    <row r="24" spans="2:112" ht="39.950000000000003" customHeight="1" thickBot="1" x14ac:dyDescent="0.4">
      <c r="E24" s="494">
        <v>8000</v>
      </c>
      <c r="BF24" s="327"/>
      <c r="BG24" s="700"/>
      <c r="BH24" s="729">
        <f>+((D2-D3)/D2)*C7</f>
        <v>28.682353879935942</v>
      </c>
      <c r="BI24" s="730"/>
      <c r="BJ24" s="389"/>
      <c r="BK24" s="389"/>
      <c r="BL24" s="389"/>
      <c r="BM24" s="389"/>
      <c r="BN24" s="389"/>
      <c r="BO24" s="390"/>
      <c r="BP24" s="391"/>
      <c r="BQ24" s="392"/>
      <c r="BR24" s="392"/>
      <c r="BS24" s="393"/>
      <c r="BT24" s="393"/>
      <c r="BU24" s="393"/>
      <c r="BV24" s="393"/>
      <c r="BW24" s="57"/>
      <c r="BX24" s="731">
        <f>+(D3/D2)*C7</f>
        <v>32.017646120064065</v>
      </c>
      <c r="BY24" s="732"/>
      <c r="BZ24" s="46"/>
    </row>
    <row r="25" spans="2:112" ht="20.25" hidden="1" x14ac:dyDescent="0.3">
      <c r="E25" s="493"/>
      <c r="BF25" s="59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59"/>
      <c r="BR25" s="60"/>
      <c r="BS25" s="60"/>
      <c r="BT25" s="61"/>
      <c r="BU25" s="62"/>
      <c r="BV25" s="62"/>
      <c r="BW25" s="62"/>
      <c r="BX25" s="62"/>
      <c r="BY25" s="58"/>
      <c r="BZ25" s="58"/>
    </row>
    <row r="26" spans="2:112" hidden="1" x14ac:dyDescent="0.25">
      <c r="E26" s="493"/>
      <c r="BG26" s="379"/>
      <c r="BH26" s="379">
        <v>1</v>
      </c>
      <c r="BI26" s="379">
        <v>2</v>
      </c>
      <c r="BJ26" s="379">
        <v>3</v>
      </c>
      <c r="BK26" s="379">
        <v>4</v>
      </c>
      <c r="BL26" s="379">
        <v>5</v>
      </c>
      <c r="BM26" s="379">
        <v>6</v>
      </c>
      <c r="BN26" s="380"/>
      <c r="BO26" s="380"/>
      <c r="BP26" s="379">
        <v>7</v>
      </c>
      <c r="BQ26" s="379">
        <v>8</v>
      </c>
      <c r="BR26" s="379">
        <v>9</v>
      </c>
      <c r="BS26" s="379">
        <v>10</v>
      </c>
      <c r="BT26" s="379">
        <v>11</v>
      </c>
      <c r="BU26" s="379">
        <v>12</v>
      </c>
      <c r="BV26" s="379">
        <v>13</v>
      </c>
      <c r="BW26" s="379">
        <v>14</v>
      </c>
      <c r="BX26" s="379">
        <v>15</v>
      </c>
      <c r="BY26" s="379">
        <v>16</v>
      </c>
      <c r="BZ26" s="656"/>
    </row>
    <row r="27" spans="2:112" ht="21" hidden="1" thickBot="1" x14ac:dyDescent="0.35">
      <c r="E27" s="493"/>
      <c r="BF27" s="85"/>
      <c r="BG27" s="90"/>
      <c r="BH27" s="87"/>
      <c r="BI27" s="87"/>
      <c r="BJ27" s="87"/>
      <c r="BK27" s="87"/>
      <c r="BL27" s="87"/>
      <c r="BM27" s="87"/>
      <c r="BN27" s="87"/>
      <c r="BO27" s="61"/>
      <c r="BP27" s="60"/>
      <c r="BS27" s="55"/>
      <c r="BV27" s="55"/>
      <c r="BW27" s="70" t="b">
        <f>IF(BX46=17,14)</f>
        <v>0</v>
      </c>
      <c r="BX27" s="55"/>
      <c r="BY27" s="72" t="b">
        <f>IF(BX46=17,16)</f>
        <v>0</v>
      </c>
      <c r="BZ27" s="55"/>
    </row>
    <row r="28" spans="2:112" ht="21" hidden="1" thickBot="1" x14ac:dyDescent="0.35">
      <c r="E28" s="489"/>
      <c r="F28" s="489"/>
      <c r="G28" s="489"/>
      <c r="H28" s="497"/>
      <c r="I28" s="497"/>
      <c r="J28" s="497"/>
      <c r="K28" s="497"/>
      <c r="L28" s="497"/>
      <c r="M28" s="497"/>
      <c r="N28" s="497"/>
      <c r="O28" s="497"/>
      <c r="P28" s="497"/>
      <c r="Q28" s="497"/>
      <c r="R28" s="497"/>
      <c r="S28" s="497"/>
      <c r="AF28" s="497"/>
      <c r="AG28" s="497"/>
      <c r="AH28" s="497"/>
      <c r="AI28" s="497"/>
      <c r="AJ28" s="497"/>
      <c r="AK28" s="497"/>
      <c r="AL28" s="497"/>
      <c r="AM28" s="497"/>
      <c r="AN28" s="497"/>
      <c r="AO28" s="497"/>
      <c r="AP28" s="497"/>
      <c r="AQ28" s="497"/>
      <c r="AR28" s="497"/>
      <c r="AS28" s="497"/>
      <c r="AT28" s="497"/>
      <c r="AU28" s="497"/>
      <c r="AV28" s="497"/>
      <c r="AW28" s="497"/>
      <c r="AX28" s="497"/>
      <c r="AY28" s="497"/>
      <c r="AZ28" s="497"/>
      <c r="BA28" s="497"/>
      <c r="BB28" s="497"/>
      <c r="BF28" s="85"/>
      <c r="BG28" s="90"/>
      <c r="BH28" s="87"/>
      <c r="BI28" s="87"/>
      <c r="BJ28" s="87"/>
      <c r="BK28" s="87"/>
      <c r="BL28" s="87"/>
      <c r="BM28" s="87"/>
      <c r="BN28" s="87"/>
      <c r="BO28" s="61"/>
      <c r="BQ28" s="88"/>
      <c r="BR28" s="88"/>
      <c r="BS28" s="55"/>
      <c r="BT28" s="55"/>
      <c r="BU28" s="68" t="b">
        <f>IF(BW46=16,12)</f>
        <v>0</v>
      </c>
      <c r="BW28" s="655"/>
      <c r="BY28" s="63" t="b">
        <f>IF(BW46=16,16)</f>
        <v>0</v>
      </c>
      <c r="BZ28" s="55"/>
    </row>
    <row r="29" spans="2:112" ht="21" hidden="1" thickBot="1" x14ac:dyDescent="0.35">
      <c r="E29" s="489"/>
      <c r="F29" s="489"/>
      <c r="G29" s="489"/>
      <c r="H29" s="497"/>
      <c r="I29" s="497"/>
      <c r="J29" s="497"/>
      <c r="K29" s="497"/>
      <c r="L29" s="497"/>
      <c r="M29" s="497"/>
      <c r="N29" s="497"/>
      <c r="O29" s="497"/>
      <c r="P29" s="497"/>
      <c r="Q29" s="497"/>
      <c r="R29" s="497"/>
      <c r="S29" s="497"/>
      <c r="AF29" s="497"/>
      <c r="AG29" s="497"/>
      <c r="AH29" s="497"/>
      <c r="AI29" s="497"/>
      <c r="AJ29" s="497"/>
      <c r="AK29" s="497"/>
      <c r="AL29" s="497"/>
      <c r="AM29" s="497"/>
      <c r="AN29" s="497"/>
      <c r="AO29" s="497"/>
      <c r="AP29" s="497"/>
      <c r="AQ29" s="497"/>
      <c r="AR29" s="497"/>
      <c r="AS29" s="497"/>
      <c r="AT29" s="497"/>
      <c r="AU29" s="497"/>
      <c r="AV29" s="497"/>
      <c r="AW29" s="497"/>
      <c r="AX29" s="497"/>
      <c r="AY29" s="497"/>
      <c r="AZ29" s="497"/>
      <c r="BA29" s="497"/>
      <c r="BB29" s="497"/>
      <c r="BF29" s="85"/>
      <c r="BG29" s="90"/>
      <c r="BH29" s="87"/>
      <c r="BI29" s="87"/>
      <c r="BJ29" s="87"/>
      <c r="BK29" s="87"/>
      <c r="BL29" s="87"/>
      <c r="BM29" s="87"/>
      <c r="BO29" s="61"/>
      <c r="BP29" s="60"/>
      <c r="BQ29" s="88"/>
      <c r="BR29" s="88"/>
      <c r="BS29" s="68" t="b">
        <f>IF(BV46=15,10)</f>
        <v>0</v>
      </c>
      <c r="BU29" s="91"/>
      <c r="BV29" s="655"/>
      <c r="BW29" s="91"/>
      <c r="BY29" s="63" t="b">
        <f>IF(BV46=15,16)</f>
        <v>0</v>
      </c>
      <c r="BZ29" s="55"/>
    </row>
    <row r="30" spans="2:112" ht="21" hidden="1" thickBot="1" x14ac:dyDescent="0.35">
      <c r="B30" s="491" t="s">
        <v>55</v>
      </c>
      <c r="C30" s="492">
        <v>5800</v>
      </c>
      <c r="D30" s="492">
        <v>10000</v>
      </c>
      <c r="E30" s="489"/>
      <c r="F30" s="489"/>
      <c r="G30" s="489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8"/>
      <c r="V30" s="497"/>
      <c r="W30" s="497"/>
      <c r="X30" s="497"/>
      <c r="Y30" s="497"/>
      <c r="Z30" s="497"/>
      <c r="AA30" s="497"/>
      <c r="AB30" s="498"/>
      <c r="AC30" s="498"/>
      <c r="AD30" s="498"/>
      <c r="AE30" s="498"/>
      <c r="AF30" s="497"/>
      <c r="AG30" s="497"/>
      <c r="AH30" s="497"/>
      <c r="AI30" s="497"/>
      <c r="AJ30" s="497"/>
      <c r="AK30" s="497"/>
      <c r="AL30" s="497"/>
      <c r="AM30" s="497"/>
      <c r="AN30" s="497"/>
      <c r="AO30" s="497"/>
      <c r="AP30" s="497"/>
      <c r="AQ30" s="497"/>
      <c r="AR30" s="497"/>
      <c r="AS30" s="497"/>
      <c r="AT30" s="497"/>
      <c r="AU30" s="497"/>
      <c r="AV30" s="497"/>
      <c r="AW30" s="497"/>
      <c r="AX30" s="497"/>
      <c r="AY30" s="497"/>
      <c r="AZ30" s="497"/>
      <c r="BA30" s="497"/>
      <c r="BB30" s="497"/>
      <c r="BF30" s="85"/>
      <c r="BG30" s="90"/>
      <c r="BH30" s="87"/>
      <c r="BI30" s="87"/>
      <c r="BJ30" s="87"/>
      <c r="BK30" s="87"/>
      <c r="BM30" s="87"/>
      <c r="BN30" s="87"/>
      <c r="BO30" s="61"/>
      <c r="BQ30" s="68" t="b">
        <f>IF(BU46=14,8)</f>
        <v>0</v>
      </c>
      <c r="BS30" s="652"/>
      <c r="BT30" s="653"/>
      <c r="BU30" s="654"/>
      <c r="BV30" s="653"/>
      <c r="BW30" s="653"/>
      <c r="BY30" s="72" t="b">
        <f>IF(BU46=14,16)</f>
        <v>0</v>
      </c>
      <c r="BZ30" s="55"/>
    </row>
    <row r="31" spans="2:112" ht="45" hidden="1" customHeight="1" thickBot="1" x14ac:dyDescent="0.35">
      <c r="B31" s="491" t="s">
        <v>56</v>
      </c>
      <c r="C31" s="492">
        <v>5800</v>
      </c>
      <c r="D31" s="492">
        <v>5800</v>
      </c>
      <c r="E31" s="489"/>
      <c r="F31" s="489"/>
      <c r="G31" s="489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34"/>
      <c r="T31" s="501"/>
      <c r="U31" s="501"/>
      <c r="AF31" s="497"/>
      <c r="AG31" s="497"/>
      <c r="AH31" s="497"/>
      <c r="AI31" s="497"/>
      <c r="AJ31" s="497"/>
      <c r="AK31" s="497"/>
      <c r="AL31" s="497"/>
      <c r="AM31" s="497"/>
      <c r="AN31" s="497"/>
      <c r="AO31" s="497"/>
      <c r="AP31" s="497"/>
      <c r="AQ31" s="497"/>
      <c r="AR31" s="497"/>
      <c r="AS31" s="497"/>
      <c r="AT31" s="497"/>
      <c r="AU31" s="497"/>
      <c r="AV31" s="497"/>
      <c r="AW31" s="497"/>
      <c r="AX31" s="497"/>
      <c r="AY31" s="497"/>
      <c r="AZ31" s="497"/>
      <c r="BA31" s="497"/>
      <c r="BB31" s="497"/>
      <c r="BF31" s="85"/>
      <c r="BG31" s="90"/>
      <c r="BH31" s="86"/>
      <c r="BI31" s="85"/>
      <c r="BK31" s="85"/>
      <c r="BL31" s="85"/>
      <c r="BM31" s="85"/>
      <c r="BN31" s="85"/>
      <c r="BO31" s="85"/>
      <c r="BP31" s="68" t="b">
        <f>IF(BT46=13,7)</f>
        <v>0</v>
      </c>
      <c r="BQ31" s="93"/>
      <c r="BR31" s="93"/>
      <c r="BS31" s="69"/>
      <c r="BT31" s="646"/>
      <c r="BU31" s="69"/>
      <c r="BV31" s="69"/>
      <c r="BW31" s="66"/>
      <c r="BX31" s="63" t="b">
        <f>IF(BT46=13,15)</f>
        <v>0</v>
      </c>
      <c r="BZ31" s="47"/>
    </row>
    <row r="32" spans="2:112" ht="31.5" hidden="1" customHeight="1" thickBot="1" x14ac:dyDescent="0.35">
      <c r="B32" s="491" t="s">
        <v>59</v>
      </c>
      <c r="C32" s="492">
        <v>8000</v>
      </c>
      <c r="D32" s="492">
        <v>8000</v>
      </c>
      <c r="E32" s="489"/>
      <c r="F32" s="489"/>
      <c r="G32" s="489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34"/>
      <c r="T32" s="502"/>
      <c r="U32" s="501"/>
      <c r="AF32" s="497"/>
      <c r="AG32" s="497"/>
      <c r="AH32" s="497"/>
      <c r="AI32" s="497"/>
      <c r="AJ32" s="497"/>
      <c r="AK32" s="497"/>
      <c r="AL32" s="497"/>
      <c r="AM32" s="497"/>
      <c r="AN32" s="497"/>
      <c r="AO32" s="497"/>
      <c r="AP32" s="497"/>
      <c r="AQ32" s="497"/>
      <c r="AR32" s="497"/>
      <c r="AS32" s="497"/>
      <c r="AT32" s="497"/>
      <c r="AU32" s="497"/>
      <c r="AV32" s="497"/>
      <c r="AW32" s="497"/>
      <c r="AX32" s="497"/>
      <c r="AY32" s="497"/>
      <c r="AZ32" s="497"/>
      <c r="BA32" s="497"/>
      <c r="BB32" s="497"/>
      <c r="BF32" s="85"/>
      <c r="BG32" s="90"/>
      <c r="BI32" s="85"/>
      <c r="BJ32" s="85"/>
      <c r="BK32" s="85"/>
      <c r="BL32" s="85"/>
      <c r="BM32" s="68" t="b">
        <f>IF(BS46=12,6)</f>
        <v>0</v>
      </c>
      <c r="BO32" s="93"/>
      <c r="BP32" s="93"/>
      <c r="BQ32" s="69"/>
      <c r="BR32" s="93"/>
      <c r="BS32" s="646"/>
      <c r="BT32" s="93"/>
      <c r="BU32" s="69"/>
      <c r="BV32" s="69"/>
      <c r="BW32" s="66"/>
      <c r="BY32" s="63" t="b">
        <f>IF(BS46=12,16)</f>
        <v>0</v>
      </c>
      <c r="BZ32" s="47"/>
    </row>
    <row r="33" spans="2:112" ht="31.5" hidden="1" customHeight="1" thickBot="1" x14ac:dyDescent="0.35">
      <c r="B33" s="492"/>
      <c r="C33" s="492" t="s">
        <v>18</v>
      </c>
      <c r="D33" s="492" t="s">
        <v>19</v>
      </c>
      <c r="E33" s="489"/>
      <c r="F33" s="489"/>
      <c r="G33" s="489"/>
      <c r="H33" s="497"/>
      <c r="I33" s="497"/>
      <c r="J33" s="497"/>
      <c r="K33" s="497"/>
      <c r="L33" s="497"/>
      <c r="M33" s="497"/>
      <c r="N33" s="497"/>
      <c r="O33" s="497"/>
      <c r="P33" s="497"/>
      <c r="Q33" s="497"/>
      <c r="R33" s="497"/>
      <c r="S33" s="34"/>
      <c r="T33" s="34"/>
      <c r="U33" s="498"/>
      <c r="V33" s="497"/>
      <c r="W33" s="497"/>
      <c r="X33" s="497"/>
      <c r="Y33" s="497"/>
      <c r="Z33" s="497"/>
      <c r="AA33" s="497"/>
      <c r="AB33" s="498"/>
      <c r="AC33" s="498"/>
      <c r="AD33" s="498"/>
      <c r="AE33" s="498"/>
      <c r="AF33" s="497"/>
      <c r="AG33" s="497"/>
      <c r="AH33" s="497"/>
      <c r="AI33" s="497"/>
      <c r="AJ33" s="497"/>
      <c r="AK33" s="497"/>
      <c r="AL33" s="497"/>
      <c r="AM33" s="497"/>
      <c r="AN33" s="497"/>
      <c r="AO33" s="497"/>
      <c r="AP33" s="497"/>
      <c r="AQ33" s="497"/>
      <c r="AR33" s="497"/>
      <c r="AS33" s="497"/>
      <c r="AT33" s="497"/>
      <c r="AU33" s="497"/>
      <c r="AV33" s="497"/>
      <c r="AW33" s="497"/>
      <c r="AX33" s="497"/>
      <c r="AY33" s="497"/>
      <c r="AZ33" s="497"/>
      <c r="BA33" s="497"/>
      <c r="BB33" s="497"/>
      <c r="BF33" s="85"/>
      <c r="BG33" s="90"/>
      <c r="BI33" s="85"/>
      <c r="BJ33" s="85"/>
      <c r="BK33" s="68" t="b">
        <f>IF(BR46=11,4)</f>
        <v>0</v>
      </c>
      <c r="BM33" s="93"/>
      <c r="BN33" s="93"/>
      <c r="BO33" s="69"/>
      <c r="BP33" s="93"/>
      <c r="BQ33" s="69"/>
      <c r="BR33" s="651"/>
      <c r="BS33" s="69"/>
      <c r="BT33" s="93"/>
      <c r="BU33" s="69"/>
      <c r="BV33" s="69"/>
      <c r="BW33" s="66"/>
      <c r="BY33" s="63" t="b">
        <f>IF(BR46=11,16)</f>
        <v>0</v>
      </c>
      <c r="BZ33" s="47"/>
    </row>
    <row r="34" spans="2:112" ht="45" hidden="1" customHeight="1" thickBot="1" x14ac:dyDescent="0.35">
      <c r="B34" s="495" t="s">
        <v>50</v>
      </c>
      <c r="C34" s="492" t="e">
        <f>+((C8-C9)/C8)*C7</f>
        <v>#DIV/0!</v>
      </c>
      <c r="D34" s="492" t="e">
        <f>+(C9/C8)*C7</f>
        <v>#DIV/0!</v>
      </c>
      <c r="E34" s="489"/>
      <c r="F34" s="489"/>
      <c r="G34" s="489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U34" s="498"/>
      <c r="V34" s="497"/>
      <c r="W34" s="497"/>
      <c r="X34" s="497"/>
      <c r="Y34" s="497"/>
      <c r="Z34" s="497"/>
      <c r="AA34" s="497"/>
      <c r="AB34" s="498"/>
      <c r="AC34" s="498"/>
      <c r="AD34" s="498"/>
      <c r="AE34" s="498"/>
      <c r="AF34" s="497"/>
      <c r="AG34" s="497"/>
      <c r="AH34" s="497"/>
      <c r="AI34" s="497"/>
      <c r="AJ34" s="497"/>
      <c r="AK34" s="497"/>
      <c r="AL34" s="497"/>
      <c r="AM34" s="497"/>
      <c r="AN34" s="497"/>
      <c r="AO34" s="497"/>
      <c r="AP34" s="497"/>
      <c r="AQ34" s="497"/>
      <c r="AR34" s="497"/>
      <c r="AS34" s="497"/>
      <c r="AT34" s="497"/>
      <c r="AU34" s="497"/>
      <c r="AV34" s="497"/>
      <c r="AW34" s="497"/>
      <c r="AX34" s="497"/>
      <c r="AY34" s="497"/>
      <c r="AZ34" s="497"/>
      <c r="BA34" s="497"/>
      <c r="BB34" s="497"/>
      <c r="BF34" s="85"/>
      <c r="BG34" s="90"/>
      <c r="BI34" s="68">
        <f>IF(BQ46=10,2)</f>
        <v>2</v>
      </c>
      <c r="BK34" s="93"/>
      <c r="BL34" s="93"/>
      <c r="BM34" s="69"/>
      <c r="BN34" s="69"/>
      <c r="BO34" s="69"/>
      <c r="BP34" s="93"/>
      <c r="BQ34" s="646"/>
      <c r="BR34" s="93"/>
      <c r="BS34" s="69"/>
      <c r="BT34" s="93"/>
      <c r="BU34" s="69"/>
      <c r="BV34" s="69"/>
      <c r="BW34" s="66"/>
      <c r="BY34" s="63">
        <f>IF(BQ46=10,16)</f>
        <v>16</v>
      </c>
    </row>
    <row r="35" spans="2:112" ht="15.95" hidden="1" customHeight="1" thickBot="1" x14ac:dyDescent="0.35">
      <c r="B35" s="496"/>
      <c r="C35" s="496"/>
      <c r="D35" s="493"/>
      <c r="E35" s="489"/>
      <c r="F35" s="489"/>
      <c r="G35" s="489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U35" s="498"/>
      <c r="V35" s="497"/>
      <c r="W35" s="497"/>
      <c r="X35" s="497"/>
      <c r="Y35" s="497"/>
      <c r="Z35" s="497"/>
      <c r="AA35" s="497"/>
      <c r="AB35" s="498"/>
      <c r="AC35" s="498"/>
      <c r="AD35" s="498"/>
      <c r="AE35" s="498"/>
      <c r="AF35" s="497"/>
      <c r="AG35" s="497"/>
      <c r="AH35" s="497"/>
      <c r="AI35" s="497"/>
      <c r="AJ35" s="497"/>
      <c r="AK35" s="497"/>
      <c r="AL35" s="497"/>
      <c r="AM35" s="497"/>
      <c r="AN35" s="497"/>
      <c r="AO35" s="497"/>
      <c r="AP35" s="497"/>
      <c r="AQ35" s="497"/>
      <c r="AR35" s="497"/>
      <c r="AS35" s="497"/>
      <c r="AT35" s="497"/>
      <c r="AU35" s="497"/>
      <c r="AV35" s="497"/>
      <c r="AW35" s="497"/>
      <c r="AX35" s="497"/>
      <c r="AY35" s="497"/>
      <c r="AZ35" s="497"/>
      <c r="BA35" s="497"/>
      <c r="BB35" s="497"/>
      <c r="BF35" s="85"/>
      <c r="BG35" s="90"/>
      <c r="BH35" s="68" t="b">
        <f>IF(BP46=9,1)</f>
        <v>0</v>
      </c>
      <c r="BI35" s="93"/>
      <c r="BJ35" s="93"/>
      <c r="BK35" s="69"/>
      <c r="BL35" s="93"/>
      <c r="BM35" s="93"/>
      <c r="BN35" s="93"/>
      <c r="BO35" s="93"/>
      <c r="BP35" s="646"/>
      <c r="BQ35" s="93"/>
      <c r="BR35" s="93"/>
      <c r="BS35" s="93"/>
      <c r="BT35" s="93"/>
      <c r="BU35" s="69"/>
      <c r="BV35" s="69"/>
      <c r="BW35" s="66"/>
      <c r="BX35" s="63" t="b">
        <f>IF(BP46=9,15)</f>
        <v>0</v>
      </c>
      <c r="BY35" s="47"/>
      <c r="BZ35" s="47"/>
    </row>
    <row r="36" spans="2:112" ht="44.25" hidden="1" customHeight="1" thickBot="1" x14ac:dyDescent="0.35">
      <c r="E36" s="489"/>
      <c r="F36" s="489"/>
      <c r="G36" s="489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U36" s="498"/>
      <c r="V36" s="497"/>
      <c r="W36" s="497"/>
      <c r="X36" s="497"/>
      <c r="Y36" s="497"/>
      <c r="Z36" s="497"/>
      <c r="AA36" s="497"/>
      <c r="AB36" s="498"/>
      <c r="AC36" s="498"/>
      <c r="AD36" s="498"/>
      <c r="AE36" s="498"/>
      <c r="AF36" s="497"/>
      <c r="AG36" s="497"/>
      <c r="AH36" s="497"/>
      <c r="AI36" s="497"/>
      <c r="AJ36" s="497"/>
      <c r="AK36" s="497"/>
      <c r="AL36" s="497"/>
      <c r="AM36" s="497"/>
      <c r="AN36" s="497"/>
      <c r="AO36" s="497"/>
      <c r="AP36" s="497"/>
      <c r="AQ36" s="497"/>
      <c r="AR36" s="497"/>
      <c r="AS36" s="497"/>
      <c r="AT36" s="497"/>
      <c r="AU36" s="497"/>
      <c r="AV36" s="497"/>
      <c r="AW36" s="497"/>
      <c r="AX36" s="497"/>
      <c r="AY36" s="497"/>
      <c r="AZ36" s="497"/>
      <c r="BA36" s="497"/>
      <c r="BB36" s="497"/>
      <c r="BF36" s="85"/>
      <c r="BG36" s="90"/>
      <c r="BH36" s="70" t="b">
        <f>IF(BO46=8,1)</f>
        <v>0</v>
      </c>
      <c r="BJ36" s="94"/>
      <c r="BK36" s="94"/>
      <c r="BL36" s="94"/>
      <c r="BM36" s="94"/>
      <c r="BN36" s="94"/>
      <c r="BO36" s="648"/>
      <c r="BP36" s="94"/>
      <c r="BQ36" s="94"/>
      <c r="BR36" s="94"/>
      <c r="BS36" s="94"/>
      <c r="BT36" s="94"/>
      <c r="BU36" s="71"/>
      <c r="BV36" s="72" t="b">
        <f>IF(BO46=8,13)</f>
        <v>0</v>
      </c>
      <c r="BW36" s="47"/>
      <c r="BX36" s="47"/>
      <c r="BY36" s="47"/>
      <c r="BZ36" s="47"/>
    </row>
    <row r="37" spans="2:112" ht="45" hidden="1" customHeight="1" thickBot="1" x14ac:dyDescent="0.35">
      <c r="E37" s="489"/>
      <c r="F37" s="489"/>
      <c r="G37" s="489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8"/>
      <c r="V37" s="497"/>
      <c r="W37" s="497"/>
      <c r="X37" s="497"/>
      <c r="Y37" s="497"/>
      <c r="Z37" s="497"/>
      <c r="AA37" s="497"/>
      <c r="AB37" s="498"/>
      <c r="AC37" s="498"/>
      <c r="AD37" s="498"/>
      <c r="AE37" s="498"/>
      <c r="AF37" s="497"/>
      <c r="AG37" s="497"/>
      <c r="AH37" s="497"/>
      <c r="AI37" s="497"/>
      <c r="AJ37" s="497"/>
      <c r="AK37" s="497"/>
      <c r="AL37" s="497"/>
      <c r="AM37" s="497"/>
      <c r="AN37" s="497"/>
      <c r="AO37" s="497"/>
      <c r="AP37" s="497"/>
      <c r="AQ37" s="497"/>
      <c r="AR37" s="497"/>
      <c r="AS37" s="497"/>
      <c r="AT37" s="497"/>
      <c r="AU37" s="497"/>
      <c r="AV37" s="497"/>
      <c r="AW37" s="497"/>
      <c r="AX37" s="497"/>
      <c r="AY37" s="497"/>
      <c r="AZ37" s="497"/>
      <c r="BA37" s="497"/>
      <c r="BB37" s="497"/>
      <c r="BF37" s="85"/>
      <c r="BG37" s="90"/>
      <c r="BH37" s="70" t="b">
        <f>IF(BN46=7,1)</f>
        <v>0</v>
      </c>
      <c r="BI37" s="94"/>
      <c r="BJ37" s="94"/>
      <c r="BL37" s="94"/>
      <c r="BM37" s="94"/>
      <c r="BN37" s="647"/>
      <c r="BO37" s="94"/>
      <c r="BP37" s="94"/>
      <c r="BR37" s="94"/>
      <c r="BS37" s="94"/>
      <c r="BT37" s="72" t="b">
        <f>IF(BN46=7,11)</f>
        <v>0</v>
      </c>
      <c r="BU37" s="86"/>
      <c r="BW37" s="47"/>
      <c r="BX37" s="47"/>
      <c r="BY37" s="47"/>
      <c r="BZ37" s="47"/>
    </row>
    <row r="38" spans="2:112" ht="15.95" hidden="1" customHeight="1" thickBot="1" x14ac:dyDescent="0.35">
      <c r="E38" s="489"/>
      <c r="F38" s="489"/>
      <c r="G38" s="489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8"/>
      <c r="V38" s="497"/>
      <c r="W38" s="497"/>
      <c r="X38" s="497"/>
      <c r="Y38" s="497"/>
      <c r="Z38" s="497"/>
      <c r="AA38" s="497"/>
      <c r="AB38" s="498"/>
      <c r="AC38" s="498"/>
      <c r="AD38" s="498"/>
      <c r="AE38" s="498"/>
      <c r="AF38" s="497"/>
      <c r="AG38" s="497"/>
      <c r="AH38" s="497"/>
      <c r="AI38" s="497"/>
      <c r="AJ38" s="497"/>
      <c r="AK38" s="497"/>
      <c r="AL38" s="497"/>
      <c r="AM38" s="497"/>
      <c r="AN38" s="497"/>
      <c r="AO38" s="497"/>
      <c r="AP38" s="497"/>
      <c r="AQ38" s="497"/>
      <c r="AR38" s="497"/>
      <c r="AS38" s="497"/>
      <c r="AT38" s="497"/>
      <c r="AU38" s="497"/>
      <c r="AV38" s="497"/>
      <c r="AW38" s="497"/>
      <c r="AX38" s="497"/>
      <c r="AY38" s="497"/>
      <c r="AZ38" s="497"/>
      <c r="BA38" s="497"/>
      <c r="BB38" s="497"/>
      <c r="BF38" s="85"/>
      <c r="BG38" s="90"/>
      <c r="BH38" s="70" t="b">
        <f>IF(BM46=6,1)</f>
        <v>0</v>
      </c>
      <c r="BJ38" s="94"/>
      <c r="BK38" s="94"/>
      <c r="BL38" s="94"/>
      <c r="BM38" s="647"/>
      <c r="BN38" s="94"/>
      <c r="BO38" s="94"/>
      <c r="BP38" s="94"/>
      <c r="BR38" s="72" t="b">
        <f>IF(BM46=6,9)</f>
        <v>0</v>
      </c>
      <c r="BS38" s="85"/>
      <c r="BT38" s="85"/>
      <c r="BU38" s="86"/>
      <c r="BW38" s="47"/>
      <c r="BX38" s="47"/>
      <c r="BY38" s="47"/>
      <c r="BZ38" s="47"/>
    </row>
    <row r="39" spans="2:112" ht="47.25" hidden="1" customHeight="1" thickBot="1" x14ac:dyDescent="0.35">
      <c r="BF39" s="85"/>
      <c r="BG39" s="90"/>
      <c r="BH39" s="68" t="b">
        <f>IF(BL46=5,1)</f>
        <v>0</v>
      </c>
      <c r="BI39" s="93"/>
      <c r="BJ39" s="93"/>
      <c r="BK39" s="69"/>
      <c r="BL39" s="646"/>
      <c r="BM39" s="69"/>
      <c r="BN39" s="93"/>
      <c r="BO39" s="93"/>
      <c r="BP39" s="63" t="b">
        <f>IF(BL46=5,7)</f>
        <v>0</v>
      </c>
      <c r="BQ39" s="85"/>
      <c r="BR39" s="85"/>
      <c r="BS39" s="85"/>
      <c r="BT39" s="85"/>
      <c r="BU39" s="86"/>
      <c r="BW39" s="47"/>
      <c r="BX39" s="47"/>
      <c r="BY39" s="47"/>
      <c r="BZ39" s="47"/>
      <c r="DG39" s="500"/>
      <c r="DH39" s="500"/>
    </row>
    <row r="40" spans="2:112" ht="47.25" hidden="1" customHeight="1" thickBot="1" x14ac:dyDescent="0.35">
      <c r="BF40" s="85"/>
      <c r="BG40" s="90"/>
      <c r="BI40" s="68" t="b">
        <f>IF(BK46=4,2)</f>
        <v>0</v>
      </c>
      <c r="BJ40" s="69"/>
      <c r="BK40" s="646"/>
      <c r="BL40" s="69"/>
      <c r="BM40" s="63" t="b">
        <f>IF(BK46=4,6)</f>
        <v>0</v>
      </c>
      <c r="BO40" s="85"/>
      <c r="BP40" s="85"/>
      <c r="BQ40" s="85"/>
      <c r="BR40" s="85"/>
      <c r="BS40" s="85"/>
      <c r="BT40" s="85"/>
      <c r="BU40" s="86"/>
      <c r="BW40" s="47"/>
      <c r="BX40" s="47"/>
      <c r="BY40" s="47"/>
      <c r="BZ40" s="47"/>
      <c r="DG40" s="500"/>
      <c r="DH40" s="500"/>
    </row>
    <row r="41" spans="2:112" ht="21" hidden="1" thickBot="1" x14ac:dyDescent="0.35">
      <c r="BF41" s="85"/>
      <c r="BG41" s="90"/>
      <c r="BH41" s="70" t="b">
        <f>IF(BJ46=3,1)</f>
        <v>0</v>
      </c>
      <c r="BI41" s="94"/>
      <c r="BJ41" s="647"/>
      <c r="BK41" s="94"/>
      <c r="BL41" s="72" t="b">
        <f>IF(BJ46=3,5)</f>
        <v>0</v>
      </c>
      <c r="BM41" s="85"/>
      <c r="BN41" s="85"/>
      <c r="BO41" s="85"/>
      <c r="BP41" s="85"/>
      <c r="BQ41" s="85"/>
      <c r="BR41" s="85"/>
      <c r="BS41" s="85"/>
      <c r="BT41" s="85"/>
      <c r="BU41" s="86"/>
      <c r="BW41" s="47"/>
      <c r="BX41" s="47"/>
      <c r="BY41" s="47"/>
      <c r="BZ41" s="47"/>
      <c r="DG41" s="500"/>
      <c r="DH41" s="500"/>
    </row>
    <row r="42" spans="2:112" ht="48" hidden="1" customHeight="1" thickBot="1" x14ac:dyDescent="0.35">
      <c r="BF42" s="85"/>
      <c r="BG42" s="90"/>
      <c r="BH42" s="70" t="b">
        <f>IF(BI46=2,1)</f>
        <v>0</v>
      </c>
      <c r="BI42" s="94"/>
      <c r="BJ42" s="72" t="b">
        <f>IF(BI46=2,3)</f>
        <v>0</v>
      </c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6"/>
      <c r="BW42" s="47"/>
      <c r="BX42" s="47"/>
      <c r="BY42" s="47"/>
      <c r="BZ42" s="47"/>
      <c r="DG42" s="500"/>
      <c r="DH42" s="500"/>
    </row>
    <row r="43" spans="2:112" ht="36" customHeight="1" thickBot="1" x14ac:dyDescent="0.35"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6"/>
      <c r="BS43" s="64"/>
      <c r="BT43" s="64"/>
      <c r="BU43" s="64"/>
      <c r="BW43" s="47"/>
      <c r="BX43" s="47"/>
      <c r="BY43" s="47"/>
      <c r="BZ43" s="47"/>
      <c r="DG43" s="500"/>
      <c r="DH43" s="500"/>
    </row>
    <row r="44" spans="2:112" ht="39.950000000000003" customHeight="1" thickBot="1" x14ac:dyDescent="0.4">
      <c r="BC44" s="74"/>
      <c r="BF44" s="467" t="s">
        <v>92</v>
      </c>
      <c r="BG44" s="47"/>
      <c r="BH44" s="81">
        <f t="shared" ref="BH44:BY44" si="0">SUM(BH27:BH43)</f>
        <v>0</v>
      </c>
      <c r="BI44" s="82">
        <f t="shared" si="0"/>
        <v>2</v>
      </c>
      <c r="BJ44" s="82">
        <f t="shared" si="0"/>
        <v>0</v>
      </c>
      <c r="BK44" s="82">
        <f t="shared" si="0"/>
        <v>0</v>
      </c>
      <c r="BL44" s="82">
        <f t="shared" si="0"/>
        <v>0</v>
      </c>
      <c r="BM44" s="82">
        <f t="shared" si="0"/>
        <v>0</v>
      </c>
      <c r="BN44" s="82">
        <f t="shared" si="0"/>
        <v>0</v>
      </c>
      <c r="BO44" s="82">
        <f t="shared" si="0"/>
        <v>0</v>
      </c>
      <c r="BP44" s="82">
        <f t="shared" si="0"/>
        <v>0</v>
      </c>
      <c r="BQ44" s="82">
        <f t="shared" si="0"/>
        <v>0</v>
      </c>
      <c r="BR44" s="82">
        <f t="shared" si="0"/>
        <v>0</v>
      </c>
      <c r="BS44" s="82">
        <f t="shared" si="0"/>
        <v>0</v>
      </c>
      <c r="BT44" s="82">
        <f t="shared" si="0"/>
        <v>0</v>
      </c>
      <c r="BU44" s="82">
        <f t="shared" si="0"/>
        <v>0</v>
      </c>
      <c r="BV44" s="82">
        <f t="shared" si="0"/>
        <v>0</v>
      </c>
      <c r="BW44" s="82">
        <f t="shared" si="0"/>
        <v>0</v>
      </c>
      <c r="BX44" s="82">
        <f t="shared" si="0"/>
        <v>0</v>
      </c>
      <c r="BY44" s="83">
        <f t="shared" si="0"/>
        <v>16</v>
      </c>
      <c r="BZ44" s="84"/>
      <c r="DG44" s="500"/>
      <c r="DH44" s="500"/>
    </row>
    <row r="45" spans="2:112" ht="20.25" hidden="1" x14ac:dyDescent="0.3">
      <c r="BF45" s="97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47"/>
      <c r="BZ45" s="47"/>
      <c r="DG45" s="500"/>
      <c r="DH45" s="500"/>
    </row>
    <row r="46" spans="2:112" ht="20.25" hidden="1" x14ac:dyDescent="0.3">
      <c r="BC46" s="74"/>
      <c r="BF46" s="45"/>
      <c r="BG46" s="47"/>
      <c r="BH46" s="98" t="b">
        <f>+BO148</f>
        <v>0</v>
      </c>
      <c r="BI46" s="98" t="b">
        <f>+BO149</f>
        <v>0</v>
      </c>
      <c r="BJ46" s="98" t="b">
        <f>+BO150</f>
        <v>0</v>
      </c>
      <c r="BK46" s="98" t="b">
        <f>+BO151</f>
        <v>0</v>
      </c>
      <c r="BL46" s="98" t="b">
        <f>+BO152</f>
        <v>0</v>
      </c>
      <c r="BM46" s="98" t="b">
        <f>+BO153</f>
        <v>0</v>
      </c>
      <c r="BN46" s="377" t="b">
        <f>+BO154</f>
        <v>0</v>
      </c>
      <c r="BO46" s="377" t="b">
        <f>+BO155</f>
        <v>0</v>
      </c>
      <c r="BP46" s="98" t="b">
        <f>+BO156</f>
        <v>0</v>
      </c>
      <c r="BQ46" s="98">
        <f>+BO157</f>
        <v>10</v>
      </c>
      <c r="BR46" s="98" t="b">
        <f>+BO158</f>
        <v>0</v>
      </c>
      <c r="BS46" s="98" t="b">
        <f>+BO159</f>
        <v>0</v>
      </c>
      <c r="BT46" s="98" t="b">
        <f>+BO160</f>
        <v>0</v>
      </c>
      <c r="BU46" s="98" t="b">
        <f>+BO161</f>
        <v>0</v>
      </c>
      <c r="BV46" s="98" t="b">
        <f>+BO162</f>
        <v>0</v>
      </c>
      <c r="BW46" s="98" t="b">
        <f>+BO163</f>
        <v>0</v>
      </c>
      <c r="BX46" s="98" t="b">
        <f>+BO164</f>
        <v>0</v>
      </c>
      <c r="BY46" s="649" t="b">
        <f>+BO165</f>
        <v>0</v>
      </c>
      <c r="BZ46" s="99"/>
      <c r="DG46" s="500"/>
      <c r="DH46" s="500"/>
    </row>
    <row r="47" spans="2:112" ht="21" hidden="1" customHeight="1" x14ac:dyDescent="0.3">
      <c r="BC47" s="74"/>
      <c r="BF47" s="46"/>
      <c r="BG47" s="99"/>
      <c r="BH47" s="99" t="b">
        <f>+BH46</f>
        <v>0</v>
      </c>
      <c r="BI47" s="99" t="b">
        <f>+BI46</f>
        <v>0</v>
      </c>
      <c r="BJ47" s="99" t="b">
        <f>+BJ46</f>
        <v>0</v>
      </c>
      <c r="BK47" s="99" t="b">
        <f>+BK46</f>
        <v>0</v>
      </c>
      <c r="BL47" s="99" t="b">
        <f>+BL46</f>
        <v>0</v>
      </c>
      <c r="BM47" s="99" t="b">
        <f t="shared" ref="BM47:BO47" si="1">+BM46</f>
        <v>0</v>
      </c>
      <c r="BN47" s="378" t="b">
        <f t="shared" si="1"/>
        <v>0</v>
      </c>
      <c r="BO47" s="378" t="b">
        <f t="shared" si="1"/>
        <v>0</v>
      </c>
      <c r="BP47" s="99" t="b">
        <f>+BP46</f>
        <v>0</v>
      </c>
      <c r="BQ47" s="99">
        <f>+BQ46</f>
        <v>10</v>
      </c>
      <c r="BR47" s="99" t="b">
        <f t="shared" ref="BR47:BY47" si="2">+BR46</f>
        <v>0</v>
      </c>
      <c r="BS47" s="99" t="b">
        <f t="shared" si="2"/>
        <v>0</v>
      </c>
      <c r="BT47" s="99" t="b">
        <f t="shared" si="2"/>
        <v>0</v>
      </c>
      <c r="BU47" s="99" t="b">
        <f t="shared" si="2"/>
        <v>0</v>
      </c>
      <c r="BV47" s="99" t="b">
        <f t="shared" si="2"/>
        <v>0</v>
      </c>
      <c r="BW47" s="99" t="b">
        <f t="shared" si="2"/>
        <v>0</v>
      </c>
      <c r="BX47" s="99" t="b">
        <f t="shared" si="2"/>
        <v>0</v>
      </c>
      <c r="BY47" s="99" t="b">
        <f t="shared" si="2"/>
        <v>0</v>
      </c>
      <c r="BZ47" s="99"/>
      <c r="DG47" s="500"/>
      <c r="DH47" s="500"/>
    </row>
    <row r="48" spans="2:112" ht="21" customHeight="1" thickBot="1" x14ac:dyDescent="0.35">
      <c r="BC48" s="74"/>
      <c r="BF48" s="46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DG48" s="500"/>
      <c r="DH48" s="500"/>
    </row>
    <row r="49" spans="2:112" ht="39.950000000000003" customHeight="1" thickBot="1" x14ac:dyDescent="0.4">
      <c r="BC49" s="74"/>
      <c r="BF49" s="100" t="s">
        <v>80</v>
      </c>
      <c r="BG49" s="14" t="str">
        <f>IF(BG47=11,"7","")</f>
        <v/>
      </c>
      <c r="BH49" s="464" t="str">
        <f>IF(BH47=1,"1","")</f>
        <v/>
      </c>
      <c r="BI49" s="465" t="str">
        <f>IF(BI47=2,"2","")</f>
        <v/>
      </c>
      <c r="BJ49" s="465" t="str">
        <f>IF(BJ47=3,"3","")</f>
        <v/>
      </c>
      <c r="BK49" s="465" t="str">
        <f>IF(BK47=4,"4","")</f>
        <v/>
      </c>
      <c r="BL49" s="465" t="str">
        <f>IF(BL47=5,"5","")</f>
        <v/>
      </c>
      <c r="BM49" s="465" t="str">
        <f>IF(BM47=6,"6","")</f>
        <v/>
      </c>
      <c r="BN49" s="465" t="str">
        <f>IF(BN47=7,"X","")</f>
        <v/>
      </c>
      <c r="BO49" s="465" t="str">
        <f>IF(BO47=8,"X","")</f>
        <v/>
      </c>
      <c r="BP49" s="465" t="str">
        <f>IF(BP47=9,"7","")</f>
        <v/>
      </c>
      <c r="BQ49" s="465" t="str">
        <f>IF(BQ47=10,"8","")</f>
        <v>8</v>
      </c>
      <c r="BR49" s="465" t="str">
        <f>IF(BR47=11,"9","")</f>
        <v/>
      </c>
      <c r="BS49" s="465" t="str">
        <f>IF(BS47=12,"10","")</f>
        <v/>
      </c>
      <c r="BT49" s="465" t="str">
        <f>IF(BT47=13,"11","")</f>
        <v/>
      </c>
      <c r="BU49" s="465" t="str">
        <f>IF(BU47=14,"12","")</f>
        <v/>
      </c>
      <c r="BV49" s="465" t="str">
        <f>IF(BV47=15,"13","")</f>
        <v/>
      </c>
      <c r="BW49" s="465" t="str">
        <f>IF(BW47=16,"14","")</f>
        <v/>
      </c>
      <c r="BX49" s="465" t="str">
        <f>IF(BX47=17,"15","")</f>
        <v/>
      </c>
      <c r="BY49" s="466" t="str">
        <f>IF(BY47=18,"16","")</f>
        <v/>
      </c>
      <c r="BZ49" s="650"/>
      <c r="DG49" s="500"/>
      <c r="DH49" s="500"/>
    </row>
    <row r="50" spans="2:112" ht="21" customHeight="1" x14ac:dyDescent="0.3">
      <c r="DG50" s="500"/>
      <c r="DH50" s="500"/>
    </row>
    <row r="51" spans="2:112" ht="21" customHeight="1" x14ac:dyDescent="0.3">
      <c r="BC51" s="74"/>
      <c r="DG51" s="500"/>
      <c r="DH51" s="500"/>
    </row>
    <row r="52" spans="2:112" ht="21" hidden="1" customHeight="1" x14ac:dyDescent="0.3">
      <c r="DG52" s="500"/>
      <c r="DH52" s="500"/>
    </row>
    <row r="53" spans="2:112" ht="21" hidden="1" customHeight="1" x14ac:dyDescent="0.3">
      <c r="DG53" s="500"/>
      <c r="DH53" s="500"/>
    </row>
    <row r="54" spans="2:112" ht="21" hidden="1" customHeight="1" x14ac:dyDescent="0.3">
      <c r="BF54" s="78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DG54" s="500"/>
      <c r="DH54" s="500"/>
    </row>
    <row r="55" spans="2:112" ht="21" hidden="1" customHeight="1" x14ac:dyDescent="0.3">
      <c r="DG55" s="500"/>
      <c r="DH55" s="500"/>
    </row>
    <row r="56" spans="2:112" ht="21" hidden="1" customHeight="1" x14ac:dyDescent="0.3">
      <c r="DG56" s="500"/>
      <c r="DH56" s="500"/>
    </row>
    <row r="57" spans="2:112" ht="21" hidden="1" customHeight="1" x14ac:dyDescent="0.3">
      <c r="BC57" s="74"/>
      <c r="DG57" s="500"/>
      <c r="DH57" s="500"/>
    </row>
    <row r="58" spans="2:112" ht="31.5" hidden="1" customHeight="1" x14ac:dyDescent="0.3">
      <c r="BC58" s="74"/>
      <c r="DG58" s="500"/>
      <c r="DH58" s="500"/>
    </row>
    <row r="59" spans="2:112" ht="50.25" hidden="1" customHeight="1" x14ac:dyDescent="0.25">
      <c r="BC59" s="74"/>
      <c r="BD59" s="74"/>
      <c r="BE59" s="74"/>
      <c r="BN59" s="107"/>
      <c r="BO59" s="107"/>
      <c r="BP59" s="105"/>
    </row>
    <row r="60" spans="2:112" ht="22.5" hidden="1" customHeight="1" x14ac:dyDescent="0.25">
      <c r="BC60" s="74"/>
      <c r="BD60" s="108" t="s">
        <v>49</v>
      </c>
      <c r="BE60" s="74"/>
      <c r="BN60" s="107"/>
      <c r="BO60" s="107"/>
      <c r="BP60" s="105"/>
      <c r="BX60" s="110"/>
      <c r="BZ60" s="108" t="s">
        <v>48</v>
      </c>
    </row>
    <row r="61" spans="2:112" ht="22.5" hidden="1" customHeight="1" x14ac:dyDescent="0.25">
      <c r="BC61" s="74"/>
      <c r="BD61" s="108">
        <f>-+BL148</f>
        <v>269.01152423777052</v>
      </c>
      <c r="BE61" s="74"/>
      <c r="BN61" s="107"/>
      <c r="BO61" s="107"/>
      <c r="BP61" s="105"/>
      <c r="BV61" s="117"/>
      <c r="BX61" s="110"/>
      <c r="BZ61" s="108">
        <f>+-BL165</f>
        <v>-240.98847576222948</v>
      </c>
    </row>
    <row r="62" spans="2:112" ht="22.5" hidden="1" customHeight="1" x14ac:dyDescent="0.25">
      <c r="BC62" s="74"/>
      <c r="BD62" s="74"/>
      <c r="BE62" s="74"/>
      <c r="BN62" s="107"/>
      <c r="BO62" s="107"/>
      <c r="BP62" s="105"/>
    </row>
    <row r="63" spans="2:112" ht="31.5" hidden="1" customHeight="1" x14ac:dyDescent="0.25">
      <c r="BC63" s="74"/>
      <c r="BD63" s="74"/>
      <c r="BE63" s="74"/>
      <c r="BN63" s="107"/>
      <c r="BO63" s="107"/>
      <c r="BP63" s="105"/>
    </row>
    <row r="64" spans="2:112" ht="20.25" hidden="1" x14ac:dyDescent="0.3">
      <c r="B64" s="504"/>
      <c r="C64" s="504"/>
      <c r="D64" s="505"/>
      <c r="E64" s="505"/>
      <c r="F64" s="489"/>
      <c r="G64" s="489"/>
      <c r="H64" s="497"/>
      <c r="I64" s="497"/>
      <c r="J64" s="497"/>
      <c r="K64" s="497"/>
      <c r="L64" s="497"/>
      <c r="M64" s="497"/>
      <c r="N64" s="497"/>
      <c r="O64" s="497"/>
      <c r="P64" s="497"/>
      <c r="Q64" s="497"/>
      <c r="R64" s="497"/>
      <c r="S64" s="497"/>
      <c r="T64" s="497"/>
      <c r="U64" s="498"/>
      <c r="V64" s="497"/>
      <c r="W64" s="497"/>
      <c r="X64" s="497"/>
      <c r="Y64" s="497"/>
      <c r="Z64" s="497"/>
      <c r="AA64" s="497"/>
      <c r="AB64" s="498"/>
      <c r="AC64" s="498"/>
      <c r="AD64" s="498"/>
      <c r="AE64" s="498"/>
      <c r="AF64" s="497"/>
      <c r="AG64" s="497"/>
      <c r="AH64" s="497"/>
      <c r="AI64" s="497"/>
      <c r="AJ64" s="497"/>
      <c r="AK64" s="497"/>
      <c r="AL64" s="497"/>
      <c r="AM64" s="497"/>
      <c r="AN64" s="497"/>
      <c r="AO64" s="497"/>
      <c r="AP64" s="497"/>
      <c r="AQ64" s="497"/>
      <c r="AR64" s="497"/>
      <c r="AS64" s="497"/>
      <c r="AT64" s="497"/>
      <c r="AU64" s="497"/>
      <c r="AV64" s="497"/>
      <c r="AW64" s="497"/>
      <c r="AX64" s="497"/>
      <c r="AY64" s="497"/>
      <c r="AZ64" s="497"/>
      <c r="BA64" s="497"/>
      <c r="BB64" s="497"/>
      <c r="BC64" s="74"/>
      <c r="BD64" s="74"/>
      <c r="BE64" s="74"/>
      <c r="CC64" s="503"/>
      <c r="CD64" s="503"/>
      <c r="CE64" s="503"/>
      <c r="CF64" s="503"/>
      <c r="CG64" s="503"/>
      <c r="CH64" s="506"/>
      <c r="CI64" s="503"/>
      <c r="CJ64" s="503"/>
      <c r="CK64" s="503"/>
      <c r="CL64" s="503"/>
      <c r="CM64" s="503"/>
      <c r="CN64" s="503"/>
      <c r="CO64" s="503"/>
      <c r="CP64" s="503"/>
      <c r="CQ64" s="503"/>
      <c r="CR64" s="503"/>
      <c r="CS64" s="503"/>
      <c r="CT64" s="503"/>
      <c r="CU64" s="503"/>
      <c r="CV64" s="503"/>
      <c r="CW64" s="503"/>
      <c r="CX64" s="503"/>
      <c r="CY64" s="503"/>
      <c r="CZ64" s="506"/>
      <c r="DA64" s="500"/>
      <c r="DB64" s="500"/>
      <c r="DC64" s="500"/>
      <c r="DD64" s="500"/>
      <c r="DE64" s="500"/>
      <c r="DF64" s="500"/>
      <c r="DG64" s="500"/>
      <c r="DH64" s="500"/>
    </row>
    <row r="65" spans="2:112" ht="20.25" hidden="1" x14ac:dyDescent="0.3">
      <c r="B65" s="5"/>
      <c r="C65" s="504"/>
      <c r="D65" s="5"/>
      <c r="E65" s="5"/>
      <c r="F65" s="489"/>
      <c r="G65" s="489"/>
      <c r="H65" s="497"/>
      <c r="I65" s="497"/>
      <c r="J65" s="497"/>
      <c r="K65" s="497"/>
      <c r="L65" s="497"/>
      <c r="M65" s="497"/>
      <c r="N65" s="497"/>
      <c r="O65" s="497"/>
      <c r="P65" s="497"/>
      <c r="Q65" s="497"/>
      <c r="R65" s="497"/>
      <c r="S65" s="497"/>
      <c r="T65" s="497"/>
      <c r="U65" s="498"/>
      <c r="V65" s="497"/>
      <c r="W65" s="497"/>
      <c r="X65" s="497"/>
      <c r="Y65" s="497"/>
      <c r="Z65" s="497"/>
      <c r="AA65" s="497"/>
      <c r="AB65" s="498"/>
      <c r="AC65" s="498"/>
      <c r="AD65" s="498"/>
      <c r="AE65" s="498"/>
      <c r="AF65" s="497"/>
      <c r="AG65" s="497"/>
      <c r="AH65" s="497"/>
      <c r="AI65" s="497"/>
      <c r="AJ65" s="497"/>
      <c r="AK65" s="497"/>
      <c r="AL65" s="497"/>
      <c r="AM65" s="497"/>
      <c r="AN65" s="497"/>
      <c r="AO65" s="497"/>
      <c r="AP65" s="497"/>
      <c r="AQ65" s="497"/>
      <c r="AR65" s="497"/>
      <c r="AS65" s="497"/>
      <c r="AT65" s="497"/>
      <c r="AU65" s="497"/>
      <c r="AV65" s="497"/>
      <c r="AW65" s="497"/>
      <c r="AX65" s="497"/>
      <c r="AY65" s="497"/>
      <c r="AZ65" s="497"/>
      <c r="BA65" s="497"/>
      <c r="BB65" s="497"/>
      <c r="BC65" s="74"/>
      <c r="BD65" s="74"/>
      <c r="BE65" s="74"/>
      <c r="DG65" s="500"/>
      <c r="DH65" s="500"/>
    </row>
    <row r="66" spans="2:112" ht="21.75" hidden="1" x14ac:dyDescent="0.4">
      <c r="B66" s="490"/>
      <c r="C66" s="490"/>
      <c r="D66" s="507"/>
      <c r="E66" s="507"/>
      <c r="F66" s="489"/>
      <c r="G66" s="489"/>
      <c r="H66" s="497"/>
      <c r="I66" s="497"/>
      <c r="J66" s="497"/>
      <c r="K66" s="497"/>
      <c r="L66" s="497"/>
      <c r="M66" s="497"/>
      <c r="N66" s="497"/>
      <c r="O66" s="497"/>
      <c r="P66" s="497"/>
      <c r="Q66" s="497"/>
      <c r="R66" s="497"/>
      <c r="S66" s="497"/>
      <c r="T66" s="497"/>
      <c r="U66" s="498"/>
      <c r="V66" s="497"/>
      <c r="W66" s="497"/>
      <c r="X66" s="497"/>
      <c r="Y66" s="497"/>
      <c r="Z66" s="497"/>
      <c r="AA66" s="497"/>
      <c r="AB66" s="498"/>
      <c r="AC66" s="498"/>
      <c r="AD66" s="498"/>
      <c r="AE66" s="498"/>
      <c r="AF66" s="497"/>
      <c r="AG66" s="497"/>
      <c r="AH66" s="497"/>
      <c r="AI66" s="497"/>
      <c r="AJ66" s="497"/>
      <c r="AK66" s="497"/>
      <c r="AL66" s="497"/>
      <c r="AM66" s="497"/>
      <c r="AN66" s="497"/>
      <c r="AO66" s="497"/>
      <c r="AP66" s="497"/>
      <c r="AQ66" s="497"/>
      <c r="AR66" s="497"/>
      <c r="AS66" s="497"/>
      <c r="AT66" s="497"/>
      <c r="AU66" s="497"/>
      <c r="AV66" s="497"/>
      <c r="AW66" s="497"/>
      <c r="AX66" s="497"/>
      <c r="AY66" s="497"/>
      <c r="AZ66" s="497"/>
      <c r="BA66" s="497"/>
      <c r="BB66" s="497"/>
      <c r="BC66" s="120"/>
      <c r="BD66" s="120"/>
      <c r="BE66" s="120"/>
      <c r="DG66" s="500"/>
      <c r="DH66" s="500"/>
    </row>
    <row r="67" spans="2:112" ht="21.75" hidden="1" x14ac:dyDescent="0.4">
      <c r="B67" s="490"/>
      <c r="C67" s="490"/>
      <c r="D67" s="507"/>
      <c r="E67" s="507"/>
      <c r="F67" s="507"/>
      <c r="G67" s="489"/>
      <c r="H67" s="497"/>
      <c r="I67" s="497"/>
      <c r="J67" s="497"/>
      <c r="K67" s="497"/>
      <c r="L67" s="497"/>
      <c r="M67" s="497"/>
      <c r="N67" s="497"/>
      <c r="O67" s="497"/>
      <c r="P67" s="497"/>
      <c r="Q67" s="497"/>
      <c r="R67" s="497"/>
      <c r="S67" s="497"/>
      <c r="T67" s="497"/>
      <c r="U67" s="498"/>
      <c r="V67" s="497"/>
      <c r="W67" s="497"/>
      <c r="X67" s="497"/>
      <c r="Y67" s="497"/>
      <c r="Z67" s="497"/>
      <c r="AA67" s="497"/>
      <c r="AB67" s="498"/>
      <c r="AC67" s="498"/>
      <c r="AD67" s="498"/>
      <c r="AE67" s="498"/>
      <c r="AF67" s="497"/>
      <c r="AG67" s="497"/>
      <c r="AH67" s="497"/>
      <c r="AI67" s="497"/>
      <c r="AJ67" s="497"/>
      <c r="AK67" s="497"/>
      <c r="AL67" s="497"/>
      <c r="AM67" s="497"/>
      <c r="AN67" s="497"/>
      <c r="AO67" s="497"/>
      <c r="AP67" s="497"/>
      <c r="AQ67" s="497"/>
      <c r="AR67" s="497"/>
      <c r="AS67" s="497"/>
      <c r="AT67" s="497"/>
      <c r="AU67" s="497"/>
      <c r="AV67" s="497"/>
      <c r="AW67" s="497"/>
      <c r="AX67" s="497"/>
      <c r="AY67" s="497"/>
      <c r="AZ67" s="497"/>
      <c r="BA67" s="497"/>
      <c r="BB67" s="497"/>
      <c r="BC67" s="120"/>
      <c r="BD67" s="120"/>
      <c r="BE67" s="120"/>
      <c r="DG67" s="500"/>
      <c r="DH67" s="500"/>
    </row>
    <row r="68" spans="2:112" ht="21.75" hidden="1" x14ac:dyDescent="0.4">
      <c r="B68" s="490"/>
      <c r="C68" s="490"/>
      <c r="G68" s="489"/>
      <c r="H68" s="497"/>
      <c r="I68" s="497"/>
      <c r="J68" s="497"/>
      <c r="K68" s="497"/>
      <c r="L68" s="497"/>
      <c r="M68" s="497"/>
      <c r="N68" s="497"/>
      <c r="O68" s="497"/>
      <c r="P68" s="497"/>
      <c r="Q68" s="497"/>
      <c r="R68" s="497"/>
      <c r="S68" s="497"/>
      <c r="T68" s="497"/>
      <c r="U68" s="498"/>
      <c r="V68" s="497"/>
      <c r="W68" s="497"/>
      <c r="X68" s="497"/>
      <c r="Y68" s="497"/>
      <c r="Z68" s="497"/>
      <c r="AA68" s="497"/>
      <c r="AB68" s="498"/>
      <c r="AC68" s="498"/>
      <c r="AD68" s="498"/>
      <c r="AE68" s="498"/>
      <c r="AF68" s="497"/>
      <c r="AG68" s="497"/>
      <c r="AH68" s="497"/>
      <c r="AI68" s="497"/>
      <c r="AJ68" s="497"/>
      <c r="AK68" s="497"/>
      <c r="AL68" s="497"/>
      <c r="AM68" s="497"/>
      <c r="AN68" s="497"/>
      <c r="AO68" s="497"/>
      <c r="AP68" s="497"/>
      <c r="AQ68" s="497"/>
      <c r="AR68" s="497"/>
      <c r="AS68" s="497"/>
      <c r="AT68" s="497"/>
      <c r="AU68" s="497"/>
      <c r="AV68" s="497"/>
      <c r="AW68" s="497"/>
      <c r="AX68" s="497"/>
      <c r="AY68" s="497"/>
      <c r="AZ68" s="497"/>
      <c r="BA68" s="497"/>
      <c r="BB68" s="497"/>
      <c r="BC68" s="120"/>
      <c r="BD68" s="120"/>
      <c r="BE68" s="120"/>
      <c r="BU68" s="106"/>
      <c r="BV68" s="106"/>
      <c r="BW68" s="106"/>
      <c r="BX68" s="106"/>
      <c r="BY68" s="106"/>
      <c r="BZ68" s="106"/>
      <c r="DG68" s="500"/>
      <c r="DH68" s="500"/>
    </row>
    <row r="69" spans="2:112" ht="21.75" hidden="1" x14ac:dyDescent="0.4">
      <c r="C69" s="498"/>
      <c r="G69" s="489"/>
      <c r="H69" s="497"/>
      <c r="I69" s="497"/>
      <c r="J69" s="497"/>
      <c r="K69" s="497"/>
      <c r="L69" s="497"/>
      <c r="M69" s="497"/>
      <c r="N69" s="497"/>
      <c r="O69" s="497"/>
      <c r="P69" s="497"/>
      <c r="Q69" s="497"/>
      <c r="R69" s="497"/>
      <c r="S69" s="497"/>
      <c r="T69" s="497"/>
      <c r="U69" s="498"/>
      <c r="V69" s="497"/>
      <c r="W69" s="497"/>
      <c r="X69" s="497"/>
      <c r="Y69" s="497"/>
      <c r="Z69" s="497"/>
      <c r="AA69" s="497"/>
      <c r="AB69" s="498"/>
      <c r="AC69" s="498"/>
      <c r="AD69" s="498"/>
      <c r="AE69" s="498"/>
      <c r="AF69" s="497"/>
      <c r="AG69" s="497"/>
      <c r="AH69" s="497"/>
      <c r="AI69" s="497"/>
      <c r="AJ69" s="497"/>
      <c r="AK69" s="497"/>
      <c r="AL69" s="497"/>
      <c r="AM69" s="497"/>
      <c r="AN69" s="497"/>
      <c r="AO69" s="497"/>
      <c r="AP69" s="497"/>
      <c r="AQ69" s="497"/>
      <c r="AR69" s="497"/>
      <c r="AS69" s="497"/>
      <c r="AT69" s="497"/>
      <c r="AU69" s="497"/>
      <c r="AV69" s="497"/>
      <c r="AW69" s="497"/>
      <c r="AX69" s="497"/>
      <c r="AY69" s="497"/>
      <c r="AZ69" s="497"/>
      <c r="BA69" s="497"/>
      <c r="BB69" s="497"/>
      <c r="BC69" s="120"/>
      <c r="BD69" s="120"/>
      <c r="BE69" s="120"/>
      <c r="DG69" s="500"/>
      <c r="DH69" s="500"/>
    </row>
    <row r="70" spans="2:112" ht="21.75" hidden="1" x14ac:dyDescent="0.4">
      <c r="B70" s="508"/>
      <c r="C70" s="508"/>
      <c r="D70" s="509"/>
      <c r="E70" s="509"/>
      <c r="F70" s="509"/>
      <c r="G70" s="509"/>
      <c r="BC70" s="120"/>
      <c r="BD70" s="120"/>
      <c r="BE70" s="120"/>
      <c r="DG70" s="500"/>
      <c r="DH70" s="500"/>
    </row>
    <row r="71" spans="2:112" ht="21.75" hidden="1" x14ac:dyDescent="0.4">
      <c r="BC71" s="120"/>
      <c r="BD71" s="120"/>
      <c r="BE71" s="120"/>
      <c r="DG71" s="500"/>
      <c r="DH71" s="500"/>
    </row>
    <row r="72" spans="2:112" ht="21.75" hidden="1" x14ac:dyDescent="0.4">
      <c r="B72" s="471"/>
      <c r="BC72" s="120"/>
      <c r="BD72" s="120"/>
      <c r="BE72" s="120"/>
      <c r="DG72" s="500"/>
      <c r="DH72" s="500"/>
    </row>
    <row r="73" spans="2:112" ht="21.75" hidden="1" x14ac:dyDescent="0.4">
      <c r="B73" s="508"/>
      <c r="C73" s="508"/>
      <c r="D73" s="509"/>
      <c r="E73" s="509"/>
      <c r="F73" s="509"/>
      <c r="G73" s="509"/>
      <c r="BC73" s="120"/>
      <c r="BD73" s="120"/>
      <c r="BE73" s="120"/>
      <c r="DG73" s="500"/>
      <c r="DH73" s="500"/>
    </row>
    <row r="74" spans="2:112" ht="21.75" hidden="1" x14ac:dyDescent="0.4">
      <c r="B74" s="508"/>
      <c r="C74" s="508"/>
      <c r="D74" s="509"/>
      <c r="E74" s="509"/>
      <c r="F74" s="509"/>
      <c r="G74" s="509"/>
      <c r="BC74" s="120"/>
      <c r="BD74" s="120"/>
      <c r="BE74" s="120"/>
      <c r="DG74" s="500"/>
      <c r="DH74" s="500"/>
    </row>
    <row r="75" spans="2:112" ht="21.75" hidden="1" x14ac:dyDescent="0.4">
      <c r="BC75" s="120"/>
      <c r="BD75" s="120"/>
      <c r="BE75" s="120"/>
      <c r="DG75" s="500"/>
      <c r="DH75" s="500"/>
    </row>
    <row r="76" spans="2:112" ht="56.1" hidden="1" customHeight="1" x14ac:dyDescent="0.4">
      <c r="BC76" s="120"/>
      <c r="BD76" s="120"/>
      <c r="BE76" s="120"/>
      <c r="DG76" s="500"/>
      <c r="DH76" s="500"/>
    </row>
    <row r="77" spans="2:112" ht="45" customHeight="1" thickBot="1" x14ac:dyDescent="0.45">
      <c r="BC77" s="120"/>
      <c r="BD77" s="120"/>
      <c r="BE77" s="120"/>
      <c r="DG77" s="500"/>
      <c r="DH77" s="500"/>
    </row>
    <row r="78" spans="2:112" ht="51.75" customHeight="1" thickBot="1" x14ac:dyDescent="0.45">
      <c r="D78" s="510" t="str">
        <f>IF(BJ21&gt;90,"WLL of FRV-N-APS is exceeded","")</f>
        <v/>
      </c>
      <c r="BC78" s="120"/>
      <c r="BD78" s="120"/>
      <c r="BE78" s="120"/>
      <c r="BF78" s="692" t="str">
        <f>IF(BJ21&gt;90,"WLL=90kg","")</f>
        <v/>
      </c>
      <c r="DG78" s="500"/>
      <c r="DH78" s="500"/>
    </row>
    <row r="79" spans="2:112" ht="41.25" customHeight="1" x14ac:dyDescent="0.4">
      <c r="B79" s="733" t="s">
        <v>101</v>
      </c>
      <c r="D79" s="736" t="str">
        <f>IF(BD61&gt;0," ","change the angle of frame")</f>
        <v xml:space="preserve"> </v>
      </c>
      <c r="E79" s="511"/>
      <c r="F79" s="511"/>
      <c r="G79" s="511"/>
      <c r="H79" s="501"/>
      <c r="I79" s="501"/>
      <c r="J79" s="501"/>
      <c r="K79" s="501"/>
      <c r="L79" s="501"/>
      <c r="M79" s="501"/>
      <c r="N79" s="501"/>
      <c r="O79" s="501"/>
      <c r="P79" s="501"/>
      <c r="Q79" s="501"/>
      <c r="R79" s="501"/>
      <c r="S79" s="501"/>
      <c r="T79" s="501"/>
      <c r="V79" s="501"/>
      <c r="W79" s="501"/>
      <c r="X79" s="501"/>
      <c r="Y79" s="501"/>
      <c r="Z79" s="501"/>
      <c r="AA79" s="501"/>
      <c r="AF79" s="501"/>
      <c r="AG79" s="501"/>
      <c r="AH79" s="501"/>
      <c r="AI79" s="501"/>
      <c r="AJ79" s="501"/>
      <c r="AK79" s="501"/>
      <c r="AL79" s="501"/>
      <c r="AM79" s="501"/>
      <c r="AN79" s="501"/>
      <c r="AO79" s="501"/>
      <c r="AP79" s="501"/>
      <c r="AQ79" s="501"/>
      <c r="AR79" s="501"/>
      <c r="AS79" s="501"/>
      <c r="AT79" s="501"/>
      <c r="AU79" s="501"/>
      <c r="AV79" s="501"/>
      <c r="AW79" s="501"/>
      <c r="AX79" s="501"/>
      <c r="AY79" s="501"/>
      <c r="AZ79" s="501"/>
      <c r="BA79" s="501"/>
      <c r="BB79" s="501"/>
      <c r="BC79" s="120"/>
      <c r="BD79" s="120"/>
      <c r="BE79" s="120"/>
    </row>
    <row r="80" spans="2:112" ht="41.25" customHeight="1" thickBot="1" x14ac:dyDescent="0.45">
      <c r="B80" s="734"/>
      <c r="D80" s="737"/>
      <c r="E80" s="511"/>
      <c r="F80" s="511"/>
      <c r="G80" s="511"/>
      <c r="H80" s="501"/>
      <c r="I80" s="501"/>
      <c r="J80" s="501"/>
      <c r="K80" s="501"/>
      <c r="L80" s="501"/>
      <c r="M80" s="501"/>
      <c r="N80" s="501"/>
      <c r="O80" s="501"/>
      <c r="P80" s="501"/>
      <c r="Q80" s="501"/>
      <c r="R80" s="501"/>
      <c r="S80" s="501"/>
      <c r="T80" s="501"/>
      <c r="V80" s="514"/>
      <c r="W80" s="514"/>
      <c r="X80" s="514"/>
      <c r="Y80" s="514"/>
      <c r="Z80" s="514"/>
      <c r="AA80" s="514"/>
      <c r="AF80" s="502"/>
      <c r="AG80" s="502"/>
      <c r="AH80" s="502"/>
      <c r="AI80" s="502"/>
      <c r="AJ80" s="502"/>
      <c r="AK80" s="502"/>
      <c r="AL80" s="502"/>
      <c r="AM80" s="502"/>
      <c r="AN80" s="502"/>
      <c r="AO80" s="502"/>
      <c r="AP80" s="502"/>
      <c r="AQ80" s="502"/>
      <c r="AR80" s="502"/>
      <c r="AS80" s="502"/>
      <c r="AT80" s="502"/>
      <c r="AU80" s="502"/>
      <c r="AV80" s="502"/>
      <c r="AW80" s="502"/>
      <c r="AX80" s="502"/>
      <c r="AY80" s="502"/>
      <c r="AZ80" s="502"/>
      <c r="BA80" s="502"/>
      <c r="BB80" s="502"/>
      <c r="BC80" s="120"/>
      <c r="BD80" s="120"/>
      <c r="BE80" s="120"/>
    </row>
    <row r="81" spans="2:57" ht="41.25" customHeight="1" thickBot="1" x14ac:dyDescent="0.45">
      <c r="B81" s="735"/>
      <c r="C81" s="515"/>
      <c r="D81" s="736" t="str">
        <f>IF(BZ61&lt;0," ","change the angle of frame")</f>
        <v xml:space="preserve"> </v>
      </c>
      <c r="E81" s="511"/>
      <c r="F81" s="511"/>
      <c r="G81" s="511"/>
      <c r="H81" s="501"/>
      <c r="I81" s="501"/>
      <c r="J81" s="501"/>
      <c r="K81" s="501"/>
      <c r="L81" s="501"/>
      <c r="M81" s="501"/>
      <c r="N81" s="501"/>
      <c r="O81" s="501"/>
      <c r="P81" s="501"/>
      <c r="Q81" s="501"/>
      <c r="R81" s="501"/>
      <c r="S81" s="501"/>
      <c r="T81" s="501"/>
      <c r="AF81" s="501"/>
      <c r="AG81" s="501"/>
      <c r="AH81" s="501"/>
      <c r="AI81" s="501"/>
      <c r="AJ81" s="501"/>
      <c r="AK81" s="501"/>
      <c r="AL81" s="501"/>
      <c r="AM81" s="501"/>
      <c r="AN81" s="501"/>
      <c r="AO81" s="501"/>
      <c r="AP81" s="501"/>
      <c r="AQ81" s="501"/>
      <c r="AR81" s="501"/>
      <c r="AS81" s="501"/>
      <c r="AT81" s="501"/>
      <c r="AU81" s="501"/>
      <c r="AV81" s="501"/>
      <c r="AW81" s="501"/>
      <c r="AX81" s="501"/>
      <c r="AY81" s="501"/>
      <c r="AZ81" s="501"/>
      <c r="BA81" s="501"/>
      <c r="BB81" s="501"/>
      <c r="BC81" s="120"/>
      <c r="BD81" s="120"/>
      <c r="BE81" s="120"/>
    </row>
    <row r="82" spans="2:57" ht="41.25" customHeight="1" thickBot="1" x14ac:dyDescent="0.45">
      <c r="B82" s="516">
        <v>0</v>
      </c>
      <c r="C82" s="515"/>
      <c r="D82" s="737"/>
      <c r="E82" s="511"/>
      <c r="F82" s="511"/>
      <c r="G82" s="511"/>
      <c r="AF82" s="501"/>
      <c r="AG82" s="501"/>
      <c r="AH82" s="501"/>
      <c r="AI82" s="501"/>
      <c r="AJ82" s="501"/>
      <c r="AK82" s="501"/>
      <c r="AL82" s="336" t="s">
        <v>102</v>
      </c>
      <c r="AM82" s="518"/>
      <c r="AN82" s="518"/>
      <c r="AO82" s="518"/>
      <c r="AP82" s="334" t="s">
        <v>126</v>
      </c>
      <c r="AQ82" s="501"/>
      <c r="AR82" s="501"/>
      <c r="AS82" s="501"/>
      <c r="AT82" s="501"/>
      <c r="AU82" s="501"/>
      <c r="AV82" s="501"/>
      <c r="AW82" s="501"/>
      <c r="AX82" s="501"/>
      <c r="AY82" s="501"/>
      <c r="AZ82" s="501"/>
      <c r="BA82" s="501"/>
      <c r="BB82" s="501"/>
      <c r="BC82" s="120"/>
      <c r="BD82" s="120"/>
      <c r="BE82" s="120"/>
    </row>
    <row r="83" spans="2:57" ht="57.75" hidden="1" customHeight="1" thickBot="1" x14ac:dyDescent="0.45">
      <c r="AF83" s="501"/>
      <c r="AG83" s="501"/>
      <c r="AH83" s="501"/>
      <c r="AI83" s="501"/>
      <c r="AJ83" s="501"/>
      <c r="AK83" s="501"/>
      <c r="AL83" s="521" t="s">
        <v>85</v>
      </c>
      <c r="AM83" s="517" t="s">
        <v>86</v>
      </c>
      <c r="AN83" s="517" t="s">
        <v>87</v>
      </c>
      <c r="AO83" s="357" t="s">
        <v>103</v>
      </c>
      <c r="AP83" s="522" t="s">
        <v>89</v>
      </c>
      <c r="AQ83" s="501"/>
      <c r="AR83" s="501"/>
      <c r="AS83" s="501"/>
      <c r="AT83" s="501"/>
      <c r="AU83" s="501"/>
      <c r="AV83" s="501"/>
      <c r="AW83" s="501"/>
      <c r="AX83" s="501"/>
      <c r="AY83" s="501"/>
      <c r="AZ83" s="501"/>
      <c r="BA83" s="501"/>
      <c r="BB83" s="501"/>
      <c r="BC83" s="120"/>
      <c r="BD83" s="120"/>
      <c r="BE83" s="120"/>
    </row>
    <row r="84" spans="2:57" ht="73.5" hidden="1" customHeight="1" thickBot="1" x14ac:dyDescent="0.45">
      <c r="B84" s="524"/>
      <c r="C84" s="525"/>
      <c r="D84" s="524"/>
      <c r="E84" s="524"/>
      <c r="F84" s="524"/>
      <c r="G84" s="524"/>
      <c r="T84" s="526"/>
      <c r="U84" s="501"/>
      <c r="V84" s="501"/>
      <c r="W84" s="501"/>
      <c r="X84" s="501"/>
      <c r="Y84" s="501"/>
      <c r="Z84" s="501"/>
      <c r="AA84" s="501"/>
      <c r="AB84" s="501"/>
      <c r="AC84" s="501"/>
      <c r="AD84" s="501"/>
      <c r="AE84" s="501"/>
      <c r="AF84" s="501"/>
      <c r="AG84" s="501"/>
      <c r="AH84" s="501"/>
      <c r="AI84" s="501"/>
      <c r="AJ84" s="501"/>
      <c r="AK84" s="501"/>
      <c r="AL84" s="527">
        <v>3.1490949000000001</v>
      </c>
      <c r="AM84" s="517">
        <f>+$B$82-AL84</f>
        <v>-3.1490949000000001</v>
      </c>
      <c r="AN84" s="528">
        <f>COS(AM84*3.14159265358979/180)</f>
        <v>0.99848996537257584</v>
      </c>
      <c r="AO84" s="456">
        <f>+AN84*260.556</f>
        <v>260.16255141761684</v>
      </c>
      <c r="AP84" s="529">
        <f>+((AP90*AR90)+(AO84*3.3))/(AR90+3.3)</f>
        <v>309.02481071516632</v>
      </c>
      <c r="AQ84" s="501"/>
      <c r="AR84" s="501"/>
      <c r="AS84" s="501"/>
      <c r="AT84" s="501"/>
      <c r="AU84" s="501"/>
      <c r="AV84" s="501"/>
      <c r="AW84" s="501"/>
      <c r="AX84" s="501"/>
      <c r="AY84" s="501"/>
      <c r="AZ84" s="501"/>
      <c r="BA84" s="501"/>
      <c r="BB84" s="501"/>
      <c r="BC84" s="120"/>
      <c r="BD84" s="120"/>
      <c r="BE84" s="120"/>
    </row>
    <row r="85" spans="2:57" ht="26.25" customHeight="1" thickBot="1" x14ac:dyDescent="0.45">
      <c r="U85" s="497"/>
      <c r="V85" s="526"/>
      <c r="W85" s="526"/>
      <c r="X85" s="526"/>
      <c r="Y85" s="526"/>
      <c r="Z85" s="526"/>
      <c r="AA85" s="526"/>
      <c r="AB85" s="526"/>
      <c r="AC85" s="526"/>
      <c r="AD85" s="526"/>
      <c r="AE85" s="526"/>
      <c r="AF85" s="526"/>
      <c r="AG85" s="526"/>
      <c r="AH85" s="526"/>
      <c r="AI85" s="526"/>
      <c r="AJ85" s="526"/>
      <c r="AK85" s="526"/>
      <c r="AL85" s="526"/>
      <c r="AM85" s="526"/>
      <c r="AN85" s="526"/>
      <c r="AO85" s="526"/>
      <c r="AP85" s="526"/>
      <c r="AQ85" s="526"/>
      <c r="AR85" s="526"/>
      <c r="AS85" s="526"/>
      <c r="AT85" s="526"/>
      <c r="AU85" s="526"/>
      <c r="AV85" s="526"/>
      <c r="AW85" s="526"/>
      <c r="AX85" s="526"/>
      <c r="AY85" s="526"/>
      <c r="AZ85" s="526"/>
      <c r="BA85" s="526"/>
      <c r="BB85" s="526"/>
      <c r="BC85" s="120"/>
      <c r="BD85" s="120"/>
      <c r="BE85" s="120"/>
    </row>
    <row r="86" spans="2:57" ht="73.5" customHeight="1" thickBot="1" x14ac:dyDescent="0.45">
      <c r="B86" s="616" t="s">
        <v>117</v>
      </c>
      <c r="C86" s="531"/>
      <c r="D86" s="532"/>
      <c r="E86" s="533"/>
      <c r="F86" s="533"/>
      <c r="G86" s="533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4"/>
      <c r="S86" s="535" t="s">
        <v>127</v>
      </c>
      <c r="T86" s="535">
        <f>SUM(V90:V95)/B87</f>
        <v>172.84201690088929</v>
      </c>
      <c r="U86" s="536"/>
      <c r="V86" s="526"/>
      <c r="W86" s="526"/>
      <c r="X86" s="526"/>
      <c r="Y86" s="526"/>
      <c r="Z86" s="526"/>
      <c r="AA86" s="526"/>
      <c r="AB86" s="526"/>
      <c r="AC86" s="526"/>
      <c r="AD86" s="526"/>
      <c r="AE86" s="526"/>
      <c r="AF86" s="526"/>
      <c r="AG86" s="526"/>
      <c r="AH86" s="526"/>
      <c r="AI86" s="526"/>
      <c r="AJ86" s="526"/>
      <c r="AK86" s="526"/>
      <c r="AL86" s="526"/>
      <c r="AM86" s="526"/>
      <c r="AN86" s="526"/>
      <c r="AO86" s="526"/>
      <c r="AP86" s="526"/>
      <c r="AQ86" s="526"/>
      <c r="AR86" s="526"/>
      <c r="AS86" s="526"/>
      <c r="AT86" s="526"/>
      <c r="AU86" s="526"/>
      <c r="AV86" s="526"/>
      <c r="AW86" s="526"/>
      <c r="AX86" s="526"/>
      <c r="AY86" s="526"/>
      <c r="AZ86" s="526"/>
      <c r="BA86" s="526"/>
      <c r="BB86" s="526"/>
      <c r="BC86" s="120"/>
      <c r="BD86" s="120"/>
      <c r="BE86" s="120"/>
    </row>
    <row r="87" spans="2:57" ht="43.5" customHeight="1" thickBot="1" x14ac:dyDescent="0.45">
      <c r="B87" s="537">
        <v>1</v>
      </c>
      <c r="C87" s="538"/>
      <c r="D87" s="530"/>
      <c r="E87" s="539"/>
      <c r="F87" s="539"/>
      <c r="G87" s="539"/>
      <c r="H87" s="540"/>
      <c r="I87" s="541"/>
      <c r="J87" s="542"/>
      <c r="K87" s="542"/>
      <c r="L87" s="542"/>
      <c r="M87" s="542"/>
      <c r="N87" s="542"/>
      <c r="O87" s="542"/>
      <c r="P87" s="542"/>
      <c r="Q87" s="542"/>
      <c r="R87" s="542"/>
      <c r="S87" s="543"/>
      <c r="T87" s="544"/>
      <c r="U87" s="502"/>
      <c r="V87" s="545"/>
      <c r="W87" s="545"/>
      <c r="X87" s="545"/>
      <c r="Y87" s="545"/>
      <c r="Z87" s="545"/>
      <c r="AA87" s="545"/>
      <c r="AB87" s="545"/>
      <c r="AC87" s="545"/>
      <c r="AD87" s="545"/>
      <c r="AE87" s="545"/>
      <c r="AF87" s="545"/>
      <c r="AG87" s="545"/>
      <c r="AH87" s="545"/>
      <c r="AI87" s="545"/>
      <c r="AJ87" s="545"/>
      <c r="AK87" s="545"/>
      <c r="AL87" s="545"/>
      <c r="AM87" s="545"/>
      <c r="AN87" s="545"/>
      <c r="AO87" s="545"/>
      <c r="AP87" s="545"/>
      <c r="AQ87" s="545"/>
      <c r="AR87" s="545"/>
      <c r="AS87" s="545"/>
      <c r="AT87" s="545"/>
      <c r="AU87" s="545"/>
      <c r="AV87" s="545"/>
      <c r="AW87" s="545"/>
      <c r="AX87" s="545"/>
      <c r="AY87" s="545"/>
      <c r="AZ87" s="545"/>
      <c r="BA87" s="739" t="s">
        <v>44</v>
      </c>
      <c r="BB87" s="740"/>
      <c r="BC87" s="120"/>
      <c r="BD87" s="120"/>
      <c r="BE87" s="120"/>
    </row>
    <row r="88" spans="2:57" ht="75" hidden="1" customHeight="1" thickBot="1" x14ac:dyDescent="0.45">
      <c r="B88" s="546"/>
      <c r="C88" s="547"/>
      <c r="D88" s="548"/>
      <c r="E88" s="507"/>
      <c r="F88" s="507"/>
      <c r="G88" s="507"/>
      <c r="H88" s="549" t="s">
        <v>4</v>
      </c>
      <c r="I88" s="549" t="s">
        <v>1</v>
      </c>
      <c r="J88" s="534" t="s">
        <v>0</v>
      </c>
      <c r="K88" s="534" t="s">
        <v>2</v>
      </c>
      <c r="L88" s="534" t="s">
        <v>3</v>
      </c>
      <c r="M88" s="534" t="s">
        <v>8</v>
      </c>
      <c r="N88" s="534" t="s">
        <v>5</v>
      </c>
      <c r="O88" s="534" t="s">
        <v>6</v>
      </c>
      <c r="P88" s="534" t="s">
        <v>7</v>
      </c>
      <c r="Q88" s="534" t="s">
        <v>9</v>
      </c>
      <c r="R88" s="550" t="s">
        <v>10</v>
      </c>
      <c r="S88" s="534" t="s">
        <v>11</v>
      </c>
      <c r="T88" s="551" t="s">
        <v>12</v>
      </c>
      <c r="U88" s="34"/>
      <c r="V88" s="552"/>
      <c r="W88" s="741" t="s">
        <v>66</v>
      </c>
      <c r="X88" s="741"/>
      <c r="Y88" s="741"/>
      <c r="Z88" s="741"/>
      <c r="AA88" s="741"/>
      <c r="AB88" s="552"/>
      <c r="AC88" s="535" t="s">
        <v>70</v>
      </c>
      <c r="AD88" s="552"/>
      <c r="AE88" s="552"/>
      <c r="AF88" s="552"/>
      <c r="AG88" s="552"/>
      <c r="AH88" s="552"/>
      <c r="AI88" s="552"/>
      <c r="AJ88" s="553" t="s">
        <v>90</v>
      </c>
      <c r="AK88" s="553" t="s">
        <v>90</v>
      </c>
      <c r="AL88" s="553" t="s">
        <v>90</v>
      </c>
      <c r="AM88" s="553" t="s">
        <v>90</v>
      </c>
      <c r="AN88" s="553" t="s">
        <v>90</v>
      </c>
      <c r="AO88" s="553" t="s">
        <v>90</v>
      </c>
      <c r="AP88" s="552"/>
      <c r="AQ88" s="552"/>
      <c r="AR88" s="552"/>
      <c r="AS88" s="552"/>
      <c r="AT88" s="552"/>
      <c r="AU88" s="552"/>
      <c r="AV88" s="552"/>
      <c r="AW88" s="552"/>
      <c r="AX88" s="552"/>
      <c r="AY88" s="554"/>
      <c r="AZ88" s="552"/>
      <c r="BA88" s="552"/>
      <c r="BB88" s="552"/>
      <c r="BC88" s="120"/>
      <c r="BD88" s="120"/>
      <c r="BE88" s="120"/>
    </row>
    <row r="89" spans="2:57" ht="55.5" hidden="1" customHeight="1" thickBot="1" x14ac:dyDescent="0.45">
      <c r="B89" s="555"/>
      <c r="C89" s="556"/>
      <c r="D89" s="557" t="s">
        <v>97</v>
      </c>
      <c r="E89" s="539"/>
      <c r="F89" s="558"/>
      <c r="G89" s="559"/>
      <c r="H89" s="560"/>
      <c r="I89" s="561"/>
      <c r="J89" s="501"/>
      <c r="K89" s="501"/>
      <c r="L89" s="501"/>
      <c r="M89" s="501"/>
      <c r="N89" s="501"/>
      <c r="O89" s="501"/>
      <c r="P89" s="501"/>
      <c r="Q89" s="501"/>
      <c r="R89" s="562"/>
      <c r="S89" s="501"/>
      <c r="T89" s="563"/>
      <c r="U89" s="34"/>
      <c r="V89" s="552"/>
      <c r="W89" s="564" t="s">
        <v>118</v>
      </c>
      <c r="X89" s="565" t="s">
        <v>67</v>
      </c>
      <c r="Y89" s="564" t="s">
        <v>99</v>
      </c>
      <c r="Z89" s="566" t="s">
        <v>68</v>
      </c>
      <c r="AA89" s="566" t="s">
        <v>69</v>
      </c>
      <c r="AB89" s="552"/>
      <c r="AC89" s="567">
        <f>SUM(AC90:AC97)</f>
        <v>172.84201690088929</v>
      </c>
      <c r="AD89" s="552"/>
      <c r="AE89" s="552"/>
      <c r="AF89" s="552" t="s">
        <v>34</v>
      </c>
      <c r="AG89" s="552"/>
      <c r="AH89" s="568" t="s">
        <v>27</v>
      </c>
      <c r="AI89" s="568"/>
      <c r="AJ89" s="569" t="s">
        <v>77</v>
      </c>
      <c r="AK89" s="570" t="s">
        <v>28</v>
      </c>
      <c r="AL89" s="571" t="s">
        <v>83</v>
      </c>
      <c r="AM89" s="569" t="s">
        <v>78</v>
      </c>
      <c r="AN89" s="572" t="s">
        <v>30</v>
      </c>
      <c r="AO89" s="571" t="s">
        <v>84</v>
      </c>
      <c r="AP89" s="573" t="s">
        <v>41</v>
      </c>
      <c r="AQ89" s="574" t="s">
        <v>119</v>
      </c>
      <c r="AR89" s="573" t="s">
        <v>120</v>
      </c>
      <c r="AS89" s="575" t="s">
        <v>33</v>
      </c>
      <c r="AT89" s="575" t="s">
        <v>35</v>
      </c>
      <c r="AU89" s="575"/>
      <c r="AV89" s="575" t="s">
        <v>36</v>
      </c>
      <c r="AW89" s="576" t="s">
        <v>37</v>
      </c>
      <c r="AX89" s="576" t="s">
        <v>38</v>
      </c>
      <c r="AY89" s="577" t="s">
        <v>20</v>
      </c>
      <c r="AZ89" s="577" t="s">
        <v>21</v>
      </c>
      <c r="BA89" s="578" t="s">
        <v>20</v>
      </c>
      <c r="BB89" s="578" t="s">
        <v>21</v>
      </c>
      <c r="BC89" s="120"/>
      <c r="BD89" s="120"/>
      <c r="BE89" s="120"/>
    </row>
    <row r="90" spans="2:57" ht="21" hidden="1" thickBot="1" x14ac:dyDescent="0.45">
      <c r="B90" s="580">
        <v>1</v>
      </c>
      <c r="C90" s="581">
        <f>(B82*-1)+D90</f>
        <v>10</v>
      </c>
      <c r="D90" s="582">
        <v>10</v>
      </c>
      <c r="E90" s="583"/>
      <c r="F90" s="584"/>
      <c r="G90" s="584">
        <f>+D90</f>
        <v>10</v>
      </c>
      <c r="H90" s="585">
        <v>188.8612</v>
      </c>
      <c r="I90" s="586">
        <v>67.527957799999996</v>
      </c>
      <c r="J90" s="587">
        <f>+I90-C90</f>
        <v>57.527957799999996</v>
      </c>
      <c r="K90" s="587">
        <f>+J90/2</f>
        <v>28.763978899999998</v>
      </c>
      <c r="L90" s="587">
        <f t="shared" ref="L90:L97" si="3">SIN(K90*3.14159265358979/180)</f>
        <v>0.48120265649386118</v>
      </c>
      <c r="M90" s="587">
        <f t="shared" ref="M90:M97" si="4">+L90*H90</f>
        <v>90.88051114861841</v>
      </c>
      <c r="N90" s="587">
        <f t="shared" ref="N90:N97" si="5">+M90*2</f>
        <v>181.76102229723682</v>
      </c>
      <c r="O90" s="587">
        <f>+C90/2</f>
        <v>5</v>
      </c>
      <c r="P90" s="587">
        <f t="shared" ref="P90:P97" si="6">SIN(O90*3.14159265358979/180)</f>
        <v>8.7155742747658083E-2</v>
      </c>
      <c r="Q90" s="587">
        <f t="shared" ref="Q90:Q97" si="7">+P90*N90</f>
        <v>15.841516900889317</v>
      </c>
      <c r="R90" s="588">
        <v>157.00049999999999</v>
      </c>
      <c r="S90" s="587">
        <f>+R90+Q90</f>
        <v>172.84201690088929</v>
      </c>
      <c r="T90" s="589">
        <f t="shared" ref="T90:T97" si="8">+S90</f>
        <v>172.84201690088929</v>
      </c>
      <c r="V90" s="590">
        <f t="shared" ref="V90:V97" si="9">IF(B90&lt;($B$87+1),T90,0)</f>
        <v>172.84201690088929</v>
      </c>
      <c r="W90" s="552"/>
      <c r="X90" s="552"/>
      <c r="Y90" s="552"/>
      <c r="Z90" s="552"/>
      <c r="AA90" s="552"/>
      <c r="AB90" s="591"/>
      <c r="AC90" s="592">
        <f>IF(AD90=1,AF90)</f>
        <v>172.84201690088929</v>
      </c>
      <c r="AD90" s="592">
        <f>MAX(AE$90:AE$97)</f>
        <v>1</v>
      </c>
      <c r="AE90" s="592">
        <f>IF(V90=0,0,1)</f>
        <v>1</v>
      </c>
      <c r="AF90" s="590">
        <f>SUM(V90:V97)/($B$87)</f>
        <v>172.84201690088929</v>
      </c>
      <c r="AG90" s="590"/>
      <c r="AH90" s="593">
        <f>C90</f>
        <v>10</v>
      </c>
      <c r="AI90" s="594">
        <f>IF(B90&lt;($B$87+1),AH90)</f>
        <v>10</v>
      </c>
      <c r="AJ90" s="595">
        <f>66.2555484-AH90</f>
        <v>56.255548399999995</v>
      </c>
      <c r="AK90" s="596">
        <f t="shared" ref="AK90:AK97" si="10">SIN(AJ90*3.14159265358979/180)</f>
        <v>0.83152340862977814</v>
      </c>
      <c r="AL90" s="595">
        <f>+AK90*304.3209</f>
        <v>253.04995208528186</v>
      </c>
      <c r="AM90" s="595">
        <f>50.0185497+AH90</f>
        <v>60.018549700000001</v>
      </c>
      <c r="AN90" s="596">
        <f>SIN(AM90*3.14159265358979/180)</f>
        <v>0.8661872350649823</v>
      </c>
      <c r="AO90" s="595">
        <f>+AN90*279.0605</f>
        <v>241.71864291085149</v>
      </c>
      <c r="AP90" s="597">
        <f>+((AF90*AQ90)+($AG$104*$AQ$104)+($AQ$125*$AG$125))/AR90</f>
        <v>312.10201406787456</v>
      </c>
      <c r="AQ90" s="574">
        <f>12.2*B87</f>
        <v>12.2</v>
      </c>
      <c r="AR90" s="598">
        <f>+AQ90+$AQ$104+$AQ$125</f>
        <v>52.400000000000006</v>
      </c>
      <c r="AS90" s="599">
        <f>+AO90+AL90</f>
        <v>494.76859499613334</v>
      </c>
      <c r="AT90" s="600">
        <f>+V90-AO90</f>
        <v>-68.876626009962195</v>
      </c>
      <c r="AU90" s="600"/>
      <c r="AV90" s="600">
        <f>+AF90-AT90</f>
        <v>241.71864291085149</v>
      </c>
      <c r="AW90" s="600">
        <f>+((AS90-AV90)/AS90)*AQ90</f>
        <v>6.2397036648305573</v>
      </c>
      <c r="AX90" s="600">
        <f>+(AV90/AS90)*AQ90</f>
        <v>5.9602963351694429</v>
      </c>
      <c r="AY90" s="601">
        <f t="shared" ref="AY90:AY97" si="11">2*$C$30/AW90</f>
        <v>1859.0626451352484</v>
      </c>
      <c r="AZ90" s="601">
        <f t="shared" ref="AZ90:AZ97" si="12">$D$30/AX90</f>
        <v>1677.7689292047112</v>
      </c>
      <c r="BA90" s="601">
        <f>ABS(AY90)</f>
        <v>1859.0626451352484</v>
      </c>
      <c r="BB90" s="601">
        <f>ABS(AZ90)</f>
        <v>1677.7689292047112</v>
      </c>
      <c r="BC90" s="120"/>
      <c r="BD90" s="120"/>
      <c r="BE90" s="120"/>
    </row>
    <row r="91" spans="2:57" ht="21" hidden="1" thickBot="1" x14ac:dyDescent="0.45">
      <c r="B91" s="602">
        <v>2</v>
      </c>
      <c r="C91" s="603"/>
      <c r="D91" s="604">
        <v>20</v>
      </c>
      <c r="E91" s="605"/>
      <c r="F91" s="584"/>
      <c r="G91" s="584">
        <f t="shared" ref="G91:G97" si="13">+D91</f>
        <v>20</v>
      </c>
      <c r="H91" s="585">
        <v>188.8612</v>
      </c>
      <c r="I91" s="586">
        <v>67.527957799999996</v>
      </c>
      <c r="J91" s="587">
        <f t="shared" ref="J91:J97" si="14">+I91-D91</f>
        <v>47.527957799999996</v>
      </c>
      <c r="K91" s="587">
        <f t="shared" ref="K91:K97" si="15">+J91/2</f>
        <v>23.763978899999998</v>
      </c>
      <c r="L91" s="587">
        <f t="shared" si="3"/>
        <v>0.40296999357892477</v>
      </c>
      <c r="M91" s="587">
        <f t="shared" si="4"/>
        <v>76.105396551308019</v>
      </c>
      <c r="N91" s="587">
        <f t="shared" si="5"/>
        <v>152.21079310261604</v>
      </c>
      <c r="O91" s="587">
        <f>+C90+(D91/2)</f>
        <v>20</v>
      </c>
      <c r="P91" s="587">
        <f t="shared" si="6"/>
        <v>0.34202014332566838</v>
      </c>
      <c r="Q91" s="587">
        <f t="shared" si="7"/>
        <v>52.05915727267039</v>
      </c>
      <c r="R91" s="587">
        <f t="shared" ref="R91:R97" si="16">+T90</f>
        <v>172.84201690088929</v>
      </c>
      <c r="S91" s="587">
        <f>+R91+Q91</f>
        <v>224.9011741735597</v>
      </c>
      <c r="T91" s="589">
        <f t="shared" si="8"/>
        <v>224.9011741735597</v>
      </c>
      <c r="V91" s="590">
        <f t="shared" si="9"/>
        <v>0</v>
      </c>
      <c r="W91" s="606">
        <v>33.760569500000003</v>
      </c>
      <c r="X91" s="607">
        <f>+W91+AI98</f>
        <v>43.760569500000003</v>
      </c>
      <c r="Y91" s="606">
        <v>188.8612</v>
      </c>
      <c r="Z91" s="608">
        <f>+COS(X91*3.14159265358979/180)*Y91</f>
        <v>136.40243027452675</v>
      </c>
      <c r="AA91" s="609">
        <f>+AC89-Z91</f>
        <v>36.439586626362541</v>
      </c>
      <c r="AB91" s="591"/>
      <c r="AC91" s="592" t="b">
        <f>IF(AD91=2,AF91)</f>
        <v>0</v>
      </c>
      <c r="AD91" s="592">
        <f t="shared" ref="AD91:AD97" si="17">MAX(AE$90:AE$97)</f>
        <v>1</v>
      </c>
      <c r="AE91" s="592">
        <f>IF(V91=0,0,2)</f>
        <v>0</v>
      </c>
      <c r="AF91" s="590" t="e">
        <f>SUM(V91:V97)/($B$87-B90)</f>
        <v>#DIV/0!</v>
      </c>
      <c r="AG91" s="590"/>
      <c r="AH91" s="593">
        <f>SUM(D91)+$C$90</f>
        <v>30</v>
      </c>
      <c r="AI91" s="594" t="b">
        <f t="shared" ref="AI91:AI97" si="18">IF(B91&lt;($B$87+1),AH91)</f>
        <v>0</v>
      </c>
      <c r="AJ91" s="595">
        <f t="shared" ref="AJ91:AJ97" si="19">66.2555484-AH91</f>
        <v>36.255548399999995</v>
      </c>
      <c r="AK91" s="596">
        <f t="shared" si="10"/>
        <v>0.59138773995112026</v>
      </c>
      <c r="AL91" s="595">
        <f t="shared" ref="AL91:AL97" si="20">+AK91*304.3209</f>
        <v>179.97164927089088</v>
      </c>
      <c r="AM91" s="595">
        <f t="shared" ref="AM91:AM97" si="21">50.0185497+AH91</f>
        <v>80.018549699999994</v>
      </c>
      <c r="AN91" s="596">
        <f t="shared" ref="AN91:AN97" si="22">SIN(AM91*3.14159265358979/180)</f>
        <v>0.98486392057685967</v>
      </c>
      <c r="AO91" s="595">
        <f t="shared" ref="AO91:AO97" si="23">+AN91*279.0605</f>
        <v>274.83661810813874</v>
      </c>
      <c r="AP91" s="597" t="e">
        <f t="shared" ref="AP91:AP97" si="24">+((AF91*AQ91)+($AG$104*$AQ$104)+($AQ$125*$AG$125))/AR91</f>
        <v>#DIV/0!</v>
      </c>
      <c r="AQ91" s="574">
        <f t="shared" ref="AQ91:AQ97" si="25">12.2*($B$87-B90)</f>
        <v>0</v>
      </c>
      <c r="AR91" s="598">
        <f t="shared" ref="AR91:AR97" si="26">+AQ91+$AQ$104+$AQ$125</f>
        <v>40.200000000000003</v>
      </c>
      <c r="AS91" s="599">
        <f t="shared" ref="AS91:AS97" si="27">+AO91+AL91</f>
        <v>454.80826737902964</v>
      </c>
      <c r="AT91" s="600">
        <f>+V91-AO91</f>
        <v>-274.83661810813874</v>
      </c>
      <c r="AU91" s="600"/>
      <c r="AV91" s="600" t="e">
        <f>+AF91-AT91</f>
        <v>#DIV/0!</v>
      </c>
      <c r="AW91" s="600" t="e">
        <f t="shared" ref="AW91:AW97" si="28">+((AS91-AV91)/AS91)*AQ91</f>
        <v>#DIV/0!</v>
      </c>
      <c r="AX91" s="600" t="e">
        <f t="shared" ref="AX91:AX97" si="29">+(AV91/AS91)*AQ91</f>
        <v>#DIV/0!</v>
      </c>
      <c r="AY91" s="601" t="e">
        <f t="shared" si="11"/>
        <v>#DIV/0!</v>
      </c>
      <c r="AZ91" s="601" t="e">
        <f t="shared" si="12"/>
        <v>#DIV/0!</v>
      </c>
      <c r="BA91" s="601" t="e">
        <f t="shared" ref="BA91:BB97" si="30">ABS(AY91)</f>
        <v>#DIV/0!</v>
      </c>
      <c r="BB91" s="601" t="e">
        <f t="shared" si="30"/>
        <v>#DIV/0!</v>
      </c>
      <c r="BC91" s="120"/>
      <c r="BD91" s="120"/>
      <c r="BE91" s="120"/>
    </row>
    <row r="92" spans="2:57" ht="21" hidden="1" thickBot="1" x14ac:dyDescent="0.45">
      <c r="B92" s="602">
        <v>3</v>
      </c>
      <c r="C92" s="603"/>
      <c r="D92" s="604">
        <v>20</v>
      </c>
      <c r="E92" s="605"/>
      <c r="F92" s="584"/>
      <c r="G92" s="584">
        <f t="shared" si="13"/>
        <v>20</v>
      </c>
      <c r="H92" s="585">
        <v>188.8612</v>
      </c>
      <c r="I92" s="586">
        <v>67.527957799999996</v>
      </c>
      <c r="J92" s="587">
        <f t="shared" si="14"/>
        <v>47.527957799999996</v>
      </c>
      <c r="K92" s="587">
        <f t="shared" si="15"/>
        <v>23.763978899999998</v>
      </c>
      <c r="L92" s="587">
        <f t="shared" si="3"/>
        <v>0.40296999357892477</v>
      </c>
      <c r="M92" s="587">
        <f t="shared" si="4"/>
        <v>76.105396551308019</v>
      </c>
      <c r="N92" s="587">
        <f t="shared" si="5"/>
        <v>152.21079310261604</v>
      </c>
      <c r="O92" s="587">
        <f>+C90+D91+(D92/2)</f>
        <v>40</v>
      </c>
      <c r="P92" s="587">
        <f t="shared" si="6"/>
        <v>0.64278760968653881</v>
      </c>
      <c r="Q92" s="587">
        <f t="shared" si="7"/>
        <v>97.839211866922867</v>
      </c>
      <c r="R92" s="587">
        <f t="shared" si="16"/>
        <v>224.9011741735597</v>
      </c>
      <c r="S92" s="587">
        <f t="shared" ref="S92:S97" si="31">+S91+Q92</f>
        <v>322.74038604048258</v>
      </c>
      <c r="T92" s="589">
        <f t="shared" si="8"/>
        <v>322.74038604048258</v>
      </c>
      <c r="V92" s="590">
        <f t="shared" si="9"/>
        <v>0</v>
      </c>
      <c r="W92" s="590"/>
      <c r="X92" s="590"/>
      <c r="Y92" s="590"/>
      <c r="Z92" s="590"/>
      <c r="AA92" s="590"/>
      <c r="AB92" s="591"/>
      <c r="AC92" s="592" t="b">
        <f>IF(AD92=3,AF92)</f>
        <v>0</v>
      </c>
      <c r="AD92" s="592">
        <f t="shared" si="17"/>
        <v>1</v>
      </c>
      <c r="AE92" s="592">
        <f>IF(V92=0,0,3)</f>
        <v>0</v>
      </c>
      <c r="AF92" s="590">
        <f>SUM(V92:V97)/($B$87-B91)</f>
        <v>0</v>
      </c>
      <c r="AG92" s="590"/>
      <c r="AH92" s="593">
        <f>SUM(D91:D92)+$C$90</f>
        <v>50</v>
      </c>
      <c r="AI92" s="594" t="b">
        <f t="shared" si="18"/>
        <v>0</v>
      </c>
      <c r="AJ92" s="595">
        <f t="shared" si="19"/>
        <v>16.255548399999995</v>
      </c>
      <c r="AK92" s="596">
        <f t="shared" si="10"/>
        <v>0.27992198188086886</v>
      </c>
      <c r="AL92" s="595">
        <f t="shared" si="20"/>
        <v>85.18610945576971</v>
      </c>
      <c r="AM92" s="595">
        <f t="shared" si="21"/>
        <v>100.01854969999999</v>
      </c>
      <c r="AN92" s="596">
        <f t="shared" si="22"/>
        <v>0.98475148222372599</v>
      </c>
      <c r="AO92" s="595">
        <f t="shared" si="23"/>
        <v>274.8052410050941</v>
      </c>
      <c r="AP92" s="597">
        <f t="shared" si="24"/>
        <v>508.76689039163506</v>
      </c>
      <c r="AQ92" s="574">
        <f t="shared" si="25"/>
        <v>-12.2</v>
      </c>
      <c r="AR92" s="598">
        <f t="shared" si="26"/>
        <v>28</v>
      </c>
      <c r="AS92" s="599">
        <f t="shared" si="27"/>
        <v>359.99135046086383</v>
      </c>
      <c r="AT92" s="600">
        <f>+V92-AO92</f>
        <v>-274.8052410050941</v>
      </c>
      <c r="AU92" s="600"/>
      <c r="AV92" s="600">
        <f>+AF92-AT92</f>
        <v>274.8052410050941</v>
      </c>
      <c r="AW92" s="600">
        <f t="shared" si="28"/>
        <v>-2.8869319610871429</v>
      </c>
      <c r="AX92" s="600">
        <f t="shared" si="29"/>
        <v>-9.3130680389128564</v>
      </c>
      <c r="AY92" s="601">
        <f t="shared" si="11"/>
        <v>-4018.1064730156454</v>
      </c>
      <c r="AZ92" s="601">
        <f t="shared" si="12"/>
        <v>-1073.7600067149656</v>
      </c>
      <c r="BA92" s="601">
        <f t="shared" si="30"/>
        <v>4018.1064730156454</v>
      </c>
      <c r="BB92" s="601">
        <f t="shared" si="30"/>
        <v>1073.7600067149656</v>
      </c>
      <c r="BC92" s="120"/>
      <c r="BD92" s="120"/>
      <c r="BE92" s="120"/>
    </row>
    <row r="93" spans="2:57" ht="21" hidden="1" thickBot="1" x14ac:dyDescent="0.45">
      <c r="B93" s="602">
        <v>4</v>
      </c>
      <c r="C93" s="603"/>
      <c r="D93" s="604">
        <v>20</v>
      </c>
      <c r="E93" s="605"/>
      <c r="F93" s="584"/>
      <c r="G93" s="584">
        <f t="shared" si="13"/>
        <v>20</v>
      </c>
      <c r="H93" s="585">
        <v>188.8612</v>
      </c>
      <c r="I93" s="586">
        <v>67.527957799999996</v>
      </c>
      <c r="J93" s="587">
        <f t="shared" si="14"/>
        <v>47.527957799999996</v>
      </c>
      <c r="K93" s="587">
        <f t="shared" si="15"/>
        <v>23.763978899999998</v>
      </c>
      <c r="L93" s="587">
        <f t="shared" si="3"/>
        <v>0.40296999357892477</v>
      </c>
      <c r="M93" s="587">
        <f t="shared" si="4"/>
        <v>76.105396551308019</v>
      </c>
      <c r="N93" s="587">
        <f t="shared" si="5"/>
        <v>152.21079310261604</v>
      </c>
      <c r="O93" s="587">
        <f>+C90+D91+D92+(D93/2)</f>
        <v>60</v>
      </c>
      <c r="P93" s="587">
        <f t="shared" si="6"/>
        <v>0.86602540378443815</v>
      </c>
      <c r="Q93" s="587">
        <f t="shared" si="7"/>
        <v>131.81841355704262</v>
      </c>
      <c r="R93" s="587">
        <f t="shared" si="16"/>
        <v>322.74038604048258</v>
      </c>
      <c r="S93" s="587">
        <f t="shared" si="31"/>
        <v>454.55879959752519</v>
      </c>
      <c r="T93" s="589">
        <f t="shared" si="8"/>
        <v>454.55879959752519</v>
      </c>
      <c r="V93" s="590">
        <f t="shared" si="9"/>
        <v>0</v>
      </c>
      <c r="W93" s="590"/>
      <c r="X93" s="590"/>
      <c r="Y93" s="590"/>
      <c r="Z93" s="590"/>
      <c r="AA93" s="590"/>
      <c r="AB93" s="591"/>
      <c r="AC93" s="592" t="b">
        <f>IF(AD93=4,AF93)</f>
        <v>0</v>
      </c>
      <c r="AD93" s="592">
        <f t="shared" si="17"/>
        <v>1</v>
      </c>
      <c r="AE93" s="592">
        <f>IF(V93=0,0,4)</f>
        <v>0</v>
      </c>
      <c r="AF93" s="590">
        <f>SUM(V93:V98)/($B$87-B92)</f>
        <v>0</v>
      </c>
      <c r="AG93" s="590"/>
      <c r="AH93" s="593">
        <f>SUM(D91:D93)+$C$90</f>
        <v>70</v>
      </c>
      <c r="AI93" s="594" t="b">
        <f t="shared" si="18"/>
        <v>0</v>
      </c>
      <c r="AJ93" s="595">
        <f t="shared" si="19"/>
        <v>-3.744451600000005</v>
      </c>
      <c r="AK93" s="596">
        <f t="shared" si="10"/>
        <v>-6.5306498412681727E-2</v>
      </c>
      <c r="AL93" s="595">
        <f t="shared" si="20"/>
        <v>-19.874132372795874</v>
      </c>
      <c r="AM93" s="595">
        <f t="shared" si="21"/>
        <v>120.01854969999999</v>
      </c>
      <c r="AN93" s="596">
        <f t="shared" si="22"/>
        <v>0.86586348173038241</v>
      </c>
      <c r="AO93" s="595">
        <f t="shared" si="23"/>
        <v>241.62829614342138</v>
      </c>
      <c r="AP93" s="597">
        <f t="shared" si="24"/>
        <v>901.612210820619</v>
      </c>
      <c r="AQ93" s="574">
        <f t="shared" si="25"/>
        <v>-24.4</v>
      </c>
      <c r="AR93" s="598">
        <f t="shared" si="26"/>
        <v>15.8</v>
      </c>
      <c r="AS93" s="599">
        <f t="shared" si="27"/>
        <v>221.7541637706255</v>
      </c>
      <c r="AT93" s="600">
        <f>+V93-AO93</f>
        <v>-241.62829614342138</v>
      </c>
      <c r="AU93" s="600"/>
      <c r="AV93" s="600">
        <f t="shared" ref="AV93:AV97" si="32">+AF93-AT93</f>
        <v>241.62829614342138</v>
      </c>
      <c r="AW93" s="600">
        <f t="shared" si="28"/>
        <v>2.186785680370865</v>
      </c>
      <c r="AX93" s="600">
        <f t="shared" si="29"/>
        <v>-26.586785680370863</v>
      </c>
      <c r="AY93" s="601">
        <f t="shared" si="11"/>
        <v>5304.5893359026904</v>
      </c>
      <c r="AZ93" s="601">
        <f t="shared" si="12"/>
        <v>-376.12670144563742</v>
      </c>
      <c r="BA93" s="601">
        <f t="shared" si="30"/>
        <v>5304.5893359026904</v>
      </c>
      <c r="BB93" s="601">
        <f t="shared" si="30"/>
        <v>376.12670144563742</v>
      </c>
      <c r="BC93" s="120"/>
      <c r="BD93" s="120"/>
      <c r="BE93" s="120"/>
    </row>
    <row r="94" spans="2:57" ht="21" hidden="1" thickBot="1" x14ac:dyDescent="0.45">
      <c r="B94" s="602">
        <v>5</v>
      </c>
      <c r="C94" s="603"/>
      <c r="D94" s="604">
        <v>20</v>
      </c>
      <c r="E94" s="605"/>
      <c r="F94" s="584"/>
      <c r="G94" s="584">
        <f t="shared" si="13"/>
        <v>20</v>
      </c>
      <c r="H94" s="585">
        <v>188.8612</v>
      </c>
      <c r="I94" s="586">
        <v>67.527957799999996</v>
      </c>
      <c r="J94" s="587">
        <f t="shared" si="14"/>
        <v>47.527957799999996</v>
      </c>
      <c r="K94" s="587">
        <f t="shared" si="15"/>
        <v>23.763978899999998</v>
      </c>
      <c r="L94" s="587">
        <f t="shared" si="3"/>
        <v>0.40296999357892477</v>
      </c>
      <c r="M94" s="587">
        <f t="shared" si="4"/>
        <v>76.105396551308019</v>
      </c>
      <c r="N94" s="587">
        <f t="shared" si="5"/>
        <v>152.21079310261604</v>
      </c>
      <c r="O94" s="587">
        <f>+C90+D91+D92+D93+(D94/2)</f>
        <v>80</v>
      </c>
      <c r="P94" s="587">
        <f t="shared" si="6"/>
        <v>0.9848077530122078</v>
      </c>
      <c r="Q94" s="587">
        <f t="shared" si="7"/>
        <v>149.89836913959337</v>
      </c>
      <c r="R94" s="587">
        <f t="shared" si="16"/>
        <v>454.55879959752519</v>
      </c>
      <c r="S94" s="587">
        <f t="shared" si="31"/>
        <v>604.45716873711854</v>
      </c>
      <c r="T94" s="589">
        <f t="shared" si="8"/>
        <v>604.45716873711854</v>
      </c>
      <c r="V94" s="590">
        <f t="shared" si="9"/>
        <v>0</v>
      </c>
      <c r="W94" s="590"/>
      <c r="X94" s="590"/>
      <c r="Y94" s="590"/>
      <c r="Z94" s="590"/>
      <c r="AA94" s="590"/>
      <c r="AB94" s="591"/>
      <c r="AC94" s="592" t="b">
        <f>IF(AD94=5,AF94)</f>
        <v>0</v>
      </c>
      <c r="AD94" s="592">
        <f t="shared" si="17"/>
        <v>1</v>
      </c>
      <c r="AE94" s="592">
        <f>IF(V94=0,0,5)</f>
        <v>0</v>
      </c>
      <c r="AF94" s="590">
        <f>SUM(V94:V98)/($B$87-B93)</f>
        <v>0</v>
      </c>
      <c r="AG94" s="590"/>
      <c r="AH94" s="593">
        <f>SUM(D91:D94)+$C$90</f>
        <v>90</v>
      </c>
      <c r="AI94" s="594" t="b">
        <f t="shared" si="18"/>
        <v>0</v>
      </c>
      <c r="AJ94" s="595">
        <f t="shared" si="19"/>
        <v>-23.744451600000005</v>
      </c>
      <c r="AK94" s="596">
        <f t="shared" si="10"/>
        <v>-0.40265805117639619</v>
      </c>
      <c r="AL94" s="595">
        <f t="shared" si="20"/>
        <v>-122.53726052624694</v>
      </c>
      <c r="AM94" s="595">
        <f t="shared" si="21"/>
        <v>140.01854969999999</v>
      </c>
      <c r="AN94" s="596">
        <f t="shared" si="22"/>
        <v>0.6425395665563437</v>
      </c>
      <c r="AO94" s="595">
        <f t="shared" si="23"/>
        <v>179.30741271299655</v>
      </c>
      <c r="AP94" s="597">
        <f t="shared" si="24"/>
        <v>3957.0758141571559</v>
      </c>
      <c r="AQ94" s="574">
        <f t="shared" si="25"/>
        <v>-36.599999999999994</v>
      </c>
      <c r="AR94" s="598">
        <f t="shared" si="26"/>
        <v>3.600000000000005</v>
      </c>
      <c r="AS94" s="599">
        <f t="shared" si="27"/>
        <v>56.770152186749613</v>
      </c>
      <c r="AT94" s="600">
        <f t="shared" ref="AT94:AT97" si="33">+V94-AO94</f>
        <v>-179.30741271299655</v>
      </c>
      <c r="AU94" s="600"/>
      <c r="AV94" s="600">
        <f t="shared" si="32"/>
        <v>179.30741271299655</v>
      </c>
      <c r="AW94" s="600">
        <f t="shared" si="28"/>
        <v>79.00038246343513</v>
      </c>
      <c r="AX94" s="600">
        <f t="shared" si="29"/>
        <v>-115.60038246343512</v>
      </c>
      <c r="AY94" s="601">
        <f t="shared" si="11"/>
        <v>146.8347321656195</v>
      </c>
      <c r="AZ94" s="601">
        <f t="shared" si="12"/>
        <v>-86.504904109318502</v>
      </c>
      <c r="BA94" s="601">
        <f t="shared" si="30"/>
        <v>146.8347321656195</v>
      </c>
      <c r="BB94" s="601">
        <f t="shared" si="30"/>
        <v>86.504904109318502</v>
      </c>
      <c r="BC94" s="120"/>
      <c r="BD94" s="120"/>
      <c r="BE94" s="120"/>
    </row>
    <row r="95" spans="2:57" ht="21" hidden="1" thickBot="1" x14ac:dyDescent="0.45">
      <c r="B95" s="602">
        <v>6</v>
      </c>
      <c r="C95" s="603"/>
      <c r="D95" s="604">
        <v>20</v>
      </c>
      <c r="E95" s="605"/>
      <c r="F95" s="584"/>
      <c r="G95" s="584">
        <f t="shared" si="13"/>
        <v>20</v>
      </c>
      <c r="H95" s="585">
        <v>188.8612</v>
      </c>
      <c r="I95" s="586">
        <v>67.527957799999996</v>
      </c>
      <c r="J95" s="587">
        <f t="shared" si="14"/>
        <v>47.527957799999996</v>
      </c>
      <c r="K95" s="587">
        <f t="shared" si="15"/>
        <v>23.763978899999998</v>
      </c>
      <c r="L95" s="587">
        <f t="shared" si="3"/>
        <v>0.40296999357892477</v>
      </c>
      <c r="M95" s="587">
        <f t="shared" si="4"/>
        <v>76.105396551308019</v>
      </c>
      <c r="N95" s="587">
        <f t="shared" si="5"/>
        <v>152.21079310261604</v>
      </c>
      <c r="O95" s="587">
        <f>+C90+D91+D92+D93+D94+(D95/2)</f>
        <v>100</v>
      </c>
      <c r="P95" s="587">
        <f t="shared" si="6"/>
        <v>0.98480775301220835</v>
      </c>
      <c r="Q95" s="587">
        <f t="shared" si="7"/>
        <v>149.89836913959343</v>
      </c>
      <c r="R95" s="587">
        <f t="shared" si="16"/>
        <v>604.45716873711854</v>
      </c>
      <c r="S95" s="587">
        <f t="shared" si="31"/>
        <v>754.35553787671199</v>
      </c>
      <c r="T95" s="589">
        <f t="shared" si="8"/>
        <v>754.35553787671199</v>
      </c>
      <c r="V95" s="590">
        <f t="shared" si="9"/>
        <v>0</v>
      </c>
      <c r="W95" s="590"/>
      <c r="X95" s="590"/>
      <c r="Y95" s="590"/>
      <c r="Z95" s="590"/>
      <c r="AA95" s="590"/>
      <c r="AB95" s="591"/>
      <c r="AC95" s="592" t="b">
        <f>IF(AD95=6,AF95)</f>
        <v>0</v>
      </c>
      <c r="AD95" s="592">
        <f t="shared" si="17"/>
        <v>1</v>
      </c>
      <c r="AE95" s="592">
        <f>IF(V95=0,0,6)</f>
        <v>0</v>
      </c>
      <c r="AF95" s="590">
        <f>SUM(V95:V98)/($B$87-B94)</f>
        <v>0</v>
      </c>
      <c r="AG95" s="590"/>
      <c r="AH95" s="593">
        <f>SUM(D91:D95)+$C$90</f>
        <v>110</v>
      </c>
      <c r="AI95" s="594" t="b">
        <f t="shared" si="18"/>
        <v>0</v>
      </c>
      <c r="AJ95" s="595">
        <f t="shared" si="19"/>
        <v>-43.744451600000005</v>
      </c>
      <c r="AK95" s="596">
        <f t="shared" si="10"/>
        <v>-0.6914431003683067</v>
      </c>
      <c r="AL95" s="595">
        <f t="shared" si="20"/>
        <v>-210.42058660287341</v>
      </c>
      <c r="AM95" s="595">
        <f t="shared" si="21"/>
        <v>160.01854969999999</v>
      </c>
      <c r="AN95" s="596">
        <f t="shared" si="22"/>
        <v>0.34171589678156161</v>
      </c>
      <c r="AO95" s="595">
        <f t="shared" si="23"/>
        <v>95.359409013810975</v>
      </c>
      <c r="AP95" s="597">
        <f t="shared" si="24"/>
        <v>-1656.4503408099749</v>
      </c>
      <c r="AQ95" s="574">
        <f t="shared" si="25"/>
        <v>-48.8</v>
      </c>
      <c r="AR95" s="598">
        <f t="shared" si="26"/>
        <v>-8.5999999999999979</v>
      </c>
      <c r="AS95" s="599">
        <f t="shared" si="27"/>
        <v>-115.06117758906244</v>
      </c>
      <c r="AT95" s="600">
        <f t="shared" si="33"/>
        <v>-95.359409013810975</v>
      </c>
      <c r="AU95" s="600"/>
      <c r="AV95" s="600">
        <f t="shared" si="32"/>
        <v>95.359409013810975</v>
      </c>
      <c r="AW95" s="600">
        <f t="shared" si="28"/>
        <v>-89.244042529218248</v>
      </c>
      <c r="AX95" s="600">
        <f t="shared" si="29"/>
        <v>40.444042529218251</v>
      </c>
      <c r="AY95" s="601">
        <f t="shared" si="11"/>
        <v>-129.98066505338093</v>
      </c>
      <c r="AZ95" s="601">
        <f t="shared" si="12"/>
        <v>247.25520434253414</v>
      </c>
      <c r="BA95" s="601">
        <f t="shared" si="30"/>
        <v>129.98066505338093</v>
      </c>
      <c r="BB95" s="601">
        <f t="shared" si="30"/>
        <v>247.25520434253414</v>
      </c>
      <c r="BC95" s="120"/>
      <c r="BD95" s="120"/>
      <c r="BE95" s="120"/>
    </row>
    <row r="96" spans="2:57" ht="21" hidden="1" thickBot="1" x14ac:dyDescent="0.45">
      <c r="B96" s="602">
        <v>7</v>
      </c>
      <c r="C96" s="603"/>
      <c r="D96" s="604">
        <v>20</v>
      </c>
      <c r="E96" s="605"/>
      <c r="F96" s="584"/>
      <c r="G96" s="584">
        <f t="shared" si="13"/>
        <v>20</v>
      </c>
      <c r="H96" s="585">
        <v>188.8612</v>
      </c>
      <c r="I96" s="586">
        <v>67.527957799999996</v>
      </c>
      <c r="J96" s="587">
        <f t="shared" si="14"/>
        <v>47.527957799999996</v>
      </c>
      <c r="K96" s="587">
        <f t="shared" si="15"/>
        <v>23.763978899999998</v>
      </c>
      <c r="L96" s="587">
        <f t="shared" si="3"/>
        <v>0.40296999357892477</v>
      </c>
      <c r="M96" s="587">
        <f t="shared" si="4"/>
        <v>76.105396551308019</v>
      </c>
      <c r="N96" s="587">
        <f t="shared" si="5"/>
        <v>152.21079310261604</v>
      </c>
      <c r="O96" s="587">
        <f>+C90+D92+D93+D94+D95+D91+(D96/2)</f>
        <v>120</v>
      </c>
      <c r="P96" s="587">
        <f t="shared" si="6"/>
        <v>0.8660254037844396</v>
      </c>
      <c r="Q96" s="587">
        <f t="shared" si="7"/>
        <v>131.81841355704285</v>
      </c>
      <c r="R96" s="587">
        <f t="shared" si="16"/>
        <v>754.35553787671199</v>
      </c>
      <c r="S96" s="587">
        <f t="shared" si="31"/>
        <v>886.17395143375484</v>
      </c>
      <c r="T96" s="589">
        <f t="shared" si="8"/>
        <v>886.17395143375484</v>
      </c>
      <c r="V96" s="590">
        <f t="shared" si="9"/>
        <v>0</v>
      </c>
      <c r="W96" s="590"/>
      <c r="X96" s="590"/>
      <c r="Y96" s="590"/>
      <c r="Z96" s="590"/>
      <c r="AA96" s="590"/>
      <c r="AB96" s="591"/>
      <c r="AC96" s="592" t="b">
        <f>IF(AD96=7,AF96)</f>
        <v>0</v>
      </c>
      <c r="AD96" s="592">
        <f t="shared" si="17"/>
        <v>1</v>
      </c>
      <c r="AE96" s="592">
        <f>IF(V96=0,0,7)</f>
        <v>0</v>
      </c>
      <c r="AF96" s="590">
        <f>SUM(V96:V98)/($B$87-B95)</f>
        <v>0</v>
      </c>
      <c r="AG96" s="590"/>
      <c r="AH96" s="593">
        <f>SUM(D91:D96)+$C$90</f>
        <v>130</v>
      </c>
      <c r="AI96" s="594" t="b">
        <f t="shared" si="18"/>
        <v>0</v>
      </c>
      <c r="AJ96" s="595">
        <f t="shared" si="19"/>
        <v>-63.744451600000005</v>
      </c>
      <c r="AK96" s="596">
        <f t="shared" si="10"/>
        <v>-0.89682990704246002</v>
      </c>
      <c r="AL96" s="595">
        <f t="shared" si="20"/>
        <v>-272.92408445807774</v>
      </c>
      <c r="AM96" s="595">
        <f t="shared" si="21"/>
        <v>180.01854969999999</v>
      </c>
      <c r="AN96" s="596">
        <f t="shared" si="22"/>
        <v>-3.2375333459769561E-4</v>
      </c>
      <c r="AO96" s="595">
        <f t="shared" si="23"/>
        <v>-9.0346767429500235E-2</v>
      </c>
      <c r="AP96" s="597">
        <f t="shared" si="24"/>
        <v>-684.87850629643174</v>
      </c>
      <c r="AQ96" s="574">
        <f t="shared" si="25"/>
        <v>-61</v>
      </c>
      <c r="AR96" s="598">
        <f t="shared" si="26"/>
        <v>-20.8</v>
      </c>
      <c r="AS96" s="599">
        <f t="shared" si="27"/>
        <v>-273.01443122550722</v>
      </c>
      <c r="AT96" s="600">
        <f t="shared" si="33"/>
        <v>9.0346767429500235E-2</v>
      </c>
      <c r="AU96" s="600"/>
      <c r="AV96" s="600">
        <f t="shared" si="32"/>
        <v>-9.0346767429500235E-2</v>
      </c>
      <c r="AW96" s="600">
        <f t="shared" si="28"/>
        <v>-60.979813694138954</v>
      </c>
      <c r="AX96" s="600">
        <f t="shared" si="29"/>
        <v>-2.0186305861053026E-2</v>
      </c>
      <c r="AY96" s="601">
        <f t="shared" si="11"/>
        <v>-190.22688488657892</v>
      </c>
      <c r="AZ96" s="601">
        <f t="shared" si="12"/>
        <v>-495385.34038036945</v>
      </c>
      <c r="BA96" s="601">
        <f t="shared" si="30"/>
        <v>190.22688488657892</v>
      </c>
      <c r="BB96" s="601">
        <f t="shared" si="30"/>
        <v>495385.34038036945</v>
      </c>
      <c r="BC96" s="120"/>
      <c r="BD96" s="120"/>
      <c r="BE96" s="120"/>
    </row>
    <row r="97" spans="2:73" ht="21" hidden="1" thickBot="1" x14ac:dyDescent="0.45">
      <c r="B97" s="602">
        <v>8</v>
      </c>
      <c r="C97" s="603"/>
      <c r="D97" s="604">
        <v>20</v>
      </c>
      <c r="E97" s="605"/>
      <c r="F97" s="584"/>
      <c r="G97" s="584">
        <f t="shared" si="13"/>
        <v>20</v>
      </c>
      <c r="H97" s="585">
        <v>188.8612</v>
      </c>
      <c r="I97" s="586">
        <v>67.527957799999996</v>
      </c>
      <c r="J97" s="587">
        <f t="shared" si="14"/>
        <v>47.527957799999996</v>
      </c>
      <c r="K97" s="587">
        <f t="shared" si="15"/>
        <v>23.763978899999998</v>
      </c>
      <c r="L97" s="587">
        <f t="shared" si="3"/>
        <v>0.40296999357892477</v>
      </c>
      <c r="M97" s="587">
        <f t="shared" si="4"/>
        <v>76.105396551308019</v>
      </c>
      <c r="N97" s="587">
        <f t="shared" si="5"/>
        <v>152.21079310261604</v>
      </c>
      <c r="O97" s="587">
        <f>+C90+D93+D94+D95+D96+D92+D91+(D97/2)</f>
        <v>140</v>
      </c>
      <c r="P97" s="587">
        <f t="shared" si="6"/>
        <v>0.64278760968654114</v>
      </c>
      <c r="Q97" s="587">
        <f t="shared" si="7"/>
        <v>97.839211866923222</v>
      </c>
      <c r="R97" s="587">
        <f t="shared" si="16"/>
        <v>886.17395143375484</v>
      </c>
      <c r="S97" s="587">
        <f t="shared" si="31"/>
        <v>984.01316330067812</v>
      </c>
      <c r="T97" s="589">
        <f t="shared" si="8"/>
        <v>984.01316330067812</v>
      </c>
      <c r="V97" s="590">
        <f t="shared" si="9"/>
        <v>0</v>
      </c>
      <c r="W97" s="590"/>
      <c r="X97" s="590"/>
      <c r="Y97" s="590"/>
      <c r="Z97" s="590"/>
      <c r="AA97" s="590"/>
      <c r="AB97" s="591"/>
      <c r="AC97" s="592" t="b">
        <f>IF(AD97=8,AF97)</f>
        <v>0</v>
      </c>
      <c r="AD97" s="592">
        <f t="shared" si="17"/>
        <v>1</v>
      </c>
      <c r="AE97" s="592">
        <f>IF(V97=0,0,8)</f>
        <v>0</v>
      </c>
      <c r="AF97" s="590">
        <f>SUM(V97:V98)/($B$87-B96)</f>
        <v>0</v>
      </c>
      <c r="AG97" s="590"/>
      <c r="AH97" s="593">
        <f>SUM(D91:D97)+$C$90</f>
        <v>150</v>
      </c>
      <c r="AI97" s="594" t="b">
        <f t="shared" si="18"/>
        <v>0</v>
      </c>
      <c r="AJ97" s="595">
        <f t="shared" si="19"/>
        <v>-83.744451600000005</v>
      </c>
      <c r="AK97" s="596">
        <f t="shared" si="10"/>
        <v>-0.99404579112751723</v>
      </c>
      <c r="AL97" s="595">
        <f t="shared" si="20"/>
        <v>-302.50890979713807</v>
      </c>
      <c r="AM97" s="595">
        <f t="shared" si="21"/>
        <v>200.01854969999999</v>
      </c>
      <c r="AN97" s="596">
        <f t="shared" si="22"/>
        <v>-0.34232435402051542</v>
      </c>
      <c r="AO97" s="595">
        <f t="shared" si="23"/>
        <v>-95.529205395142043</v>
      </c>
      <c r="AP97" s="597">
        <f t="shared" si="24"/>
        <v>-431.68099790805417</v>
      </c>
      <c r="AQ97" s="574">
        <f t="shared" si="25"/>
        <v>-73.199999999999989</v>
      </c>
      <c r="AR97" s="598">
        <f t="shared" si="26"/>
        <v>-32.999999999999986</v>
      </c>
      <c r="AS97" s="599">
        <f t="shared" si="27"/>
        <v>-398.03811519228009</v>
      </c>
      <c r="AT97" s="600">
        <f t="shared" si="33"/>
        <v>95.529205395142043</v>
      </c>
      <c r="AU97" s="600"/>
      <c r="AV97" s="600">
        <f t="shared" si="32"/>
        <v>-95.529205395142043</v>
      </c>
      <c r="AW97" s="600">
        <f t="shared" si="28"/>
        <v>-55.631989379845137</v>
      </c>
      <c r="AX97" s="600">
        <f t="shared" si="29"/>
        <v>-17.568010620154851</v>
      </c>
      <c r="AY97" s="601">
        <f t="shared" si="11"/>
        <v>-208.51312579885115</v>
      </c>
      <c r="AZ97" s="601">
        <f t="shared" si="12"/>
        <v>-569.21641364034281</v>
      </c>
      <c r="BA97" s="601">
        <f t="shared" si="30"/>
        <v>208.51312579885115</v>
      </c>
      <c r="BB97" s="601">
        <f t="shared" si="30"/>
        <v>569.21641364034281</v>
      </c>
      <c r="BC97" s="120"/>
      <c r="BD97" s="120"/>
      <c r="BE97" s="120"/>
    </row>
    <row r="98" spans="2:73" ht="21" hidden="1" thickBot="1" x14ac:dyDescent="0.45">
      <c r="AC98" s="501"/>
      <c r="AD98" s="501"/>
      <c r="AE98" s="501"/>
      <c r="AH98" s="610" t="s">
        <v>58</v>
      </c>
      <c r="AI98" s="611">
        <f>MAX(AI90:AI97)</f>
        <v>10</v>
      </c>
      <c r="BC98" s="120"/>
      <c r="BD98" s="120"/>
      <c r="BE98" s="120"/>
    </row>
    <row r="99" spans="2:73" ht="26.25" customHeight="1" thickBot="1" x14ac:dyDescent="0.4">
      <c r="B99" s="524"/>
      <c r="C99" s="525"/>
      <c r="D99" s="524"/>
      <c r="E99" s="524"/>
      <c r="F99" s="524"/>
      <c r="G99" s="524"/>
      <c r="T99" s="526"/>
      <c r="U99" s="501"/>
      <c r="V99" s="501"/>
      <c r="W99" s="501"/>
      <c r="X99" s="501"/>
      <c r="Y99" s="501"/>
      <c r="Z99" s="501"/>
      <c r="AA99" s="501"/>
      <c r="AB99" s="501"/>
      <c r="AC99" s="501"/>
      <c r="AD99" s="501"/>
      <c r="AE99" s="501"/>
      <c r="AF99" s="501"/>
      <c r="AG99" s="501"/>
      <c r="AH99" s="501"/>
      <c r="AI99" s="501"/>
      <c r="AJ99" s="501"/>
      <c r="AK99" s="501"/>
      <c r="AL99" s="612"/>
      <c r="AM99" s="613"/>
      <c r="AN99" s="4"/>
      <c r="AO99" s="614"/>
      <c r="AP99" s="615"/>
      <c r="AQ99" s="501"/>
      <c r="AR99" s="501"/>
      <c r="AS99" s="501"/>
      <c r="AT99" s="501"/>
      <c r="AU99" s="501"/>
      <c r="AV99" s="501"/>
      <c r="AW99" s="501"/>
      <c r="AX99" s="501"/>
      <c r="AY99" s="501"/>
      <c r="AZ99" s="501"/>
      <c r="BA99" s="501"/>
      <c r="BB99" s="501"/>
    </row>
    <row r="100" spans="2:73" ht="73.5" customHeight="1" thickBot="1" x14ac:dyDescent="0.4">
      <c r="B100" s="616" t="s">
        <v>108</v>
      </c>
      <c r="C100" s="525"/>
      <c r="D100" s="524"/>
      <c r="E100" s="524"/>
      <c r="F100" s="524"/>
      <c r="G100" s="524"/>
      <c r="T100" s="526"/>
      <c r="U100" s="501"/>
      <c r="V100" s="501"/>
      <c r="W100" s="501"/>
      <c r="X100" s="501"/>
      <c r="Y100" s="501"/>
      <c r="Z100" s="501"/>
      <c r="AA100" s="501"/>
      <c r="AB100" s="501"/>
      <c r="AC100" s="501"/>
      <c r="AD100" s="501"/>
      <c r="AE100" s="501"/>
      <c r="AF100" s="501"/>
      <c r="AG100" s="501"/>
      <c r="AH100" s="501"/>
      <c r="AI100" s="501"/>
      <c r="AJ100" s="501"/>
      <c r="AK100" s="501"/>
      <c r="AL100" s="612"/>
      <c r="AM100" s="613"/>
      <c r="AN100" s="4"/>
      <c r="AO100" s="614"/>
      <c r="AP100" s="615"/>
      <c r="AQ100" s="501"/>
      <c r="AR100" s="501"/>
      <c r="AS100" s="501"/>
      <c r="AT100" s="501"/>
      <c r="AU100" s="501"/>
      <c r="AV100" s="501"/>
      <c r="AW100" s="501"/>
      <c r="AX100" s="501"/>
      <c r="AY100" s="501"/>
      <c r="AZ100" s="501"/>
      <c r="BA100" s="501"/>
      <c r="BB100" s="501"/>
    </row>
    <row r="101" spans="2:73" ht="43.5" customHeight="1" thickBot="1" x14ac:dyDescent="0.45">
      <c r="B101" s="537">
        <v>1</v>
      </c>
      <c r="C101" s="538"/>
      <c r="D101" s="530"/>
      <c r="E101" s="539"/>
      <c r="F101" s="539"/>
      <c r="G101" s="539"/>
      <c r="H101" s="617" t="s">
        <v>60</v>
      </c>
      <c r="I101" s="617" t="s">
        <v>61</v>
      </c>
      <c r="J101" s="617" t="s">
        <v>62</v>
      </c>
      <c r="K101" s="473"/>
      <c r="L101" s="473"/>
      <c r="M101" s="473"/>
      <c r="N101" s="473"/>
      <c r="O101" s="473"/>
      <c r="P101" s="617" t="s">
        <v>63</v>
      </c>
      <c r="Q101" s="617" t="s">
        <v>64</v>
      </c>
      <c r="R101" s="539"/>
      <c r="S101" s="617" t="s">
        <v>65</v>
      </c>
      <c r="T101" s="618"/>
      <c r="W101" s="741" t="s">
        <v>66</v>
      </c>
      <c r="X101" s="741"/>
      <c r="Y101" s="741"/>
      <c r="Z101" s="741"/>
      <c r="AA101" s="741"/>
      <c r="AC101" s="501"/>
      <c r="AD101" s="501"/>
      <c r="AE101" s="501"/>
      <c r="AF101" s="501"/>
      <c r="AG101" s="501"/>
      <c r="AH101" s="501"/>
      <c r="AI101" s="501"/>
      <c r="AJ101" s="501"/>
      <c r="AK101" s="501"/>
      <c r="AL101" s="501"/>
      <c r="AM101" s="501"/>
      <c r="AN101" s="501"/>
      <c r="AO101" s="501"/>
      <c r="AP101" s="501"/>
      <c r="AQ101" s="501"/>
      <c r="AR101" s="501"/>
      <c r="AS101" s="501"/>
      <c r="AT101" s="501"/>
      <c r="AU101" s="501"/>
      <c r="AV101" s="501"/>
      <c r="AW101" s="501"/>
      <c r="AX101" s="501"/>
      <c r="AY101" s="501"/>
      <c r="AZ101" s="554"/>
      <c r="BA101" s="739" t="s">
        <v>44</v>
      </c>
      <c r="BB101" s="740"/>
    </row>
    <row r="102" spans="2:73" ht="31.5" hidden="1" thickBot="1" x14ac:dyDescent="0.3">
      <c r="B102" s="546"/>
      <c r="C102" s="547"/>
      <c r="D102" s="557" t="s">
        <v>97</v>
      </c>
      <c r="E102" s="507"/>
      <c r="F102" s="507"/>
      <c r="G102" s="507"/>
      <c r="H102" s="564" t="s">
        <v>4</v>
      </c>
      <c r="I102" s="564" t="s">
        <v>1</v>
      </c>
      <c r="J102" s="619" t="s">
        <v>54</v>
      </c>
      <c r="K102" s="620" t="s">
        <v>2</v>
      </c>
      <c r="L102" s="620" t="s">
        <v>3</v>
      </c>
      <c r="M102" s="620" t="s">
        <v>8</v>
      </c>
      <c r="N102" s="620" t="s">
        <v>5</v>
      </c>
      <c r="O102" s="620" t="s">
        <v>6</v>
      </c>
      <c r="P102" s="620" t="s">
        <v>7</v>
      </c>
      <c r="Q102" s="620" t="s">
        <v>9</v>
      </c>
      <c r="R102" s="564" t="s">
        <v>10</v>
      </c>
      <c r="S102" s="620" t="s">
        <v>11</v>
      </c>
      <c r="T102" s="621" t="s">
        <v>12</v>
      </c>
      <c r="W102" s="564" t="s">
        <v>121</v>
      </c>
      <c r="X102" s="565" t="s">
        <v>67</v>
      </c>
      <c r="Y102" s="564" t="s">
        <v>122</v>
      </c>
      <c r="Z102" s="566" t="s">
        <v>68</v>
      </c>
      <c r="AA102" s="566" t="s">
        <v>69</v>
      </c>
      <c r="AC102" s="620" t="s">
        <v>70</v>
      </c>
      <c r="AD102" s="620"/>
      <c r="AE102" s="620"/>
      <c r="AF102" s="552"/>
      <c r="AG102" s="552"/>
      <c r="AH102" s="552"/>
      <c r="AI102" s="552"/>
      <c r="AJ102" s="553" t="s">
        <v>90</v>
      </c>
      <c r="AK102" s="553" t="s">
        <v>90</v>
      </c>
      <c r="AL102" s="553" t="s">
        <v>90</v>
      </c>
      <c r="AM102" s="553" t="s">
        <v>90</v>
      </c>
      <c r="AN102" s="553" t="s">
        <v>90</v>
      </c>
      <c r="AO102" s="553" t="s">
        <v>90</v>
      </c>
      <c r="AP102" s="552" t="s">
        <v>123</v>
      </c>
      <c r="AQ102" s="552"/>
      <c r="AR102" s="552" t="s">
        <v>115</v>
      </c>
      <c r="AS102" s="575"/>
      <c r="AT102" s="575"/>
      <c r="AU102" s="575" t="s">
        <v>82</v>
      </c>
      <c r="AV102" s="575"/>
      <c r="AW102" s="575"/>
      <c r="AX102" s="575"/>
      <c r="AY102" s="622"/>
      <c r="AZ102" s="622"/>
      <c r="BA102" s="575"/>
      <c r="BB102" s="575"/>
    </row>
    <row r="103" spans="2:73" ht="70.5" hidden="1" customHeight="1" thickBot="1" x14ac:dyDescent="0.35">
      <c r="B103" s="555"/>
      <c r="C103" s="556"/>
      <c r="D103" s="623"/>
      <c r="E103" s="539"/>
      <c r="F103" s="539"/>
      <c r="G103" s="559"/>
      <c r="H103" s="564"/>
      <c r="I103" s="564"/>
      <c r="J103" s="619"/>
      <c r="K103" s="620"/>
      <c r="L103" s="620"/>
      <c r="M103" s="620"/>
      <c r="N103" s="620"/>
      <c r="O103" s="620"/>
      <c r="P103" s="620"/>
      <c r="Q103" s="620"/>
      <c r="R103" s="564"/>
      <c r="S103" s="620"/>
      <c r="T103" s="621"/>
      <c r="U103" s="34"/>
      <c r="V103" s="552"/>
      <c r="W103" s="552"/>
      <c r="X103" s="552"/>
      <c r="Y103" s="552"/>
      <c r="Z103" s="552"/>
      <c r="AA103" s="552"/>
      <c r="AB103" s="552"/>
      <c r="AC103" s="567">
        <f>SUM(AC104:AC115)</f>
        <v>311.83352058692088</v>
      </c>
      <c r="AD103" s="624"/>
      <c r="AE103" s="624"/>
      <c r="AF103" s="552" t="s">
        <v>34</v>
      </c>
      <c r="AG103" s="625" t="s">
        <v>100</v>
      </c>
      <c r="AH103" s="568" t="s">
        <v>27</v>
      </c>
      <c r="AI103" s="568"/>
      <c r="AJ103" s="572" t="s">
        <v>51</v>
      </c>
      <c r="AK103" s="570" t="s">
        <v>28</v>
      </c>
      <c r="AL103" s="572" t="s">
        <v>29</v>
      </c>
      <c r="AM103" s="569" t="s">
        <v>52</v>
      </c>
      <c r="AN103" s="572" t="s">
        <v>30</v>
      </c>
      <c r="AO103" s="572" t="s">
        <v>31</v>
      </c>
      <c r="AP103" s="573" t="s">
        <v>41</v>
      </c>
      <c r="AQ103" s="574" t="s">
        <v>125</v>
      </c>
      <c r="AR103" s="573" t="s">
        <v>124</v>
      </c>
      <c r="AS103" s="575" t="s">
        <v>40</v>
      </c>
      <c r="AT103" s="575" t="s">
        <v>35</v>
      </c>
      <c r="AU103" s="575" t="s">
        <v>43</v>
      </c>
      <c r="AV103" s="575" t="s">
        <v>42</v>
      </c>
      <c r="AW103" s="576" t="s">
        <v>37</v>
      </c>
      <c r="AX103" s="576" t="s">
        <v>38</v>
      </c>
      <c r="AY103" s="577" t="s">
        <v>20</v>
      </c>
      <c r="AZ103" s="577" t="s">
        <v>21</v>
      </c>
      <c r="BA103" s="578" t="s">
        <v>20</v>
      </c>
      <c r="BB103" s="578" t="s">
        <v>21</v>
      </c>
    </row>
    <row r="104" spans="2:73" ht="24.75" hidden="1" customHeight="1" thickBot="1" x14ac:dyDescent="0.3">
      <c r="B104" s="580">
        <v>1</v>
      </c>
      <c r="C104" s="581">
        <f>+AI98+10</f>
        <v>20</v>
      </c>
      <c r="D104" s="582">
        <v>0</v>
      </c>
      <c r="E104" s="626"/>
      <c r="F104" s="607"/>
      <c r="G104" s="607"/>
      <c r="H104" s="627">
        <v>330.56150000000002</v>
      </c>
      <c r="I104" s="628">
        <v>39.378894899999999</v>
      </c>
      <c r="J104" s="617">
        <f>+I104-C104</f>
        <v>19.378894899999999</v>
      </c>
      <c r="K104" s="607"/>
      <c r="L104" s="607"/>
      <c r="M104" s="607"/>
      <c r="N104" s="607"/>
      <c r="O104" s="607"/>
      <c r="P104" s="617">
        <f>COS(J104*3.14159265358979/180)</f>
        <v>0.94334494666475333</v>
      </c>
      <c r="Q104" s="617">
        <f>+P104*H104</f>
        <v>311.83352058692088</v>
      </c>
      <c r="R104" s="629">
        <v>255.51323882084287</v>
      </c>
      <c r="S104" s="617">
        <f>+Q104</f>
        <v>311.83352058692088</v>
      </c>
      <c r="T104" s="607">
        <f t="shared" ref="T104:T115" si="34">+S104</f>
        <v>311.83352058692088</v>
      </c>
      <c r="U104" s="607"/>
      <c r="V104" s="607">
        <f t="shared" ref="V104:V115" si="35">IF(B104&lt;($B$101+1),T104,0)</f>
        <v>311.83352058692088</v>
      </c>
      <c r="W104" s="606">
        <v>39.378894899999999</v>
      </c>
      <c r="X104" s="607">
        <f>+W104+AI116</f>
        <v>59.378894899999999</v>
      </c>
      <c r="Y104" s="606">
        <v>330.56150000000002</v>
      </c>
      <c r="Z104" s="608">
        <f>+COS(X104*3.14159265358979/180)*Y104</f>
        <v>168.37428947918622</v>
      </c>
      <c r="AA104" s="609">
        <f>+AC103-Z104</f>
        <v>143.45923110773467</v>
      </c>
      <c r="AB104" s="607"/>
      <c r="AC104" s="592">
        <f>IF(AD104=1,AF104)</f>
        <v>311.83352058692088</v>
      </c>
      <c r="AD104" s="592">
        <f t="shared" ref="AD104:AD115" si="36">MAX(AE$104:AE$115)</f>
        <v>1</v>
      </c>
      <c r="AE104" s="592">
        <f>IF(V104=0,0,1)</f>
        <v>1</v>
      </c>
      <c r="AF104" s="590">
        <f>SUM(V104:V115)/($B$101)</f>
        <v>311.83352058692088</v>
      </c>
      <c r="AG104" s="590">
        <f>+AF104+AA91</f>
        <v>348.27310721328342</v>
      </c>
      <c r="AH104" s="630">
        <f>+D104+C104</f>
        <v>20</v>
      </c>
      <c r="AI104" s="594">
        <f t="shared" ref="AI104:AI115" si="37">IF(B104&lt;($B$101+1),AH104)</f>
        <v>20</v>
      </c>
      <c r="AJ104" s="631">
        <f>54.5017821+AH104</f>
        <v>74.5017821</v>
      </c>
      <c r="AK104" s="596">
        <f>SIN(AJ104*3.14159265358979/180)</f>
        <v>0.96363876479469701</v>
      </c>
      <c r="AL104" s="631">
        <f>+AK104*421.92</f>
        <v>406.57846764217857</v>
      </c>
      <c r="AM104" s="631">
        <f>58.7344156-AH104</f>
        <v>38.734415599999998</v>
      </c>
      <c r="AN104" s="596">
        <f>SIN(AM104*3.14159265358979/180)</f>
        <v>0.62571132116144235</v>
      </c>
      <c r="AO104" s="631">
        <f>+AN104*472.06</f>
        <v>295.37328626747046</v>
      </c>
      <c r="AP104" s="632">
        <f t="shared" ref="AP104:AP115" si="38">+((AF104*AQ104)+($AQ$125*($AF$125+$AA$104)))/AR104</f>
        <v>317.92541165636828</v>
      </c>
      <c r="AQ104" s="574">
        <f>28*B101</f>
        <v>28</v>
      </c>
      <c r="AR104" s="598">
        <f>+AQ104+$AQ$125</f>
        <v>40.200000000000003</v>
      </c>
      <c r="AS104" s="599">
        <f>+AO104+AL104</f>
        <v>701.95175390964903</v>
      </c>
      <c r="AT104" s="600">
        <f>+V104-AO104</f>
        <v>16.460234319450421</v>
      </c>
      <c r="AU104" s="600">
        <f>+AP104-AT104</f>
        <v>301.46517733691786</v>
      </c>
      <c r="AV104" s="600">
        <f>+AF104-AT104</f>
        <v>295.37328626747046</v>
      </c>
      <c r="AW104" s="600">
        <f>+((AS104-AU104)/AS104)*AR104</f>
        <v>22.935422966826909</v>
      </c>
      <c r="AX104" s="600">
        <f>+(AU104/AS104)*AR104</f>
        <v>17.264577033173094</v>
      </c>
      <c r="AY104" s="601">
        <f t="shared" ref="AY104:AY115" si="39">2*$C$31/AW104</f>
        <v>505.76786906340828</v>
      </c>
      <c r="AZ104" s="601">
        <f t="shared" ref="AZ104:AZ115" si="40">2*$D$31/AX104</f>
        <v>671.89598550321455</v>
      </c>
      <c r="BA104" s="633">
        <f>ABS(AY104)</f>
        <v>505.76786906340828</v>
      </c>
      <c r="BB104" s="633">
        <f>ABS(AZ104)</f>
        <v>671.89598550321455</v>
      </c>
    </row>
    <row r="105" spans="2:73" ht="24.75" hidden="1" customHeight="1" thickBot="1" x14ac:dyDescent="0.3">
      <c r="B105" s="602">
        <v>2</v>
      </c>
      <c r="C105" s="603"/>
      <c r="D105" s="604">
        <v>0</v>
      </c>
      <c r="E105" s="583"/>
      <c r="F105" s="584"/>
      <c r="G105" s="584"/>
      <c r="H105" s="634">
        <v>402.55</v>
      </c>
      <c r="I105" s="634">
        <v>90.416363899999993</v>
      </c>
      <c r="J105" s="584">
        <f>+I105+D105</f>
        <v>90.416363899999993</v>
      </c>
      <c r="K105" s="584">
        <f t="shared" ref="K105:K115" si="41">+J105/2</f>
        <v>45.208181949999997</v>
      </c>
      <c r="L105" s="584">
        <f t="shared" ref="L105:L115" si="42">SIN(K105*3.14159265358979/180)</f>
        <v>0.70967135245226309</v>
      </c>
      <c r="M105" s="584">
        <f t="shared" ref="M105:M115" si="43">+L105*H105</f>
        <v>285.67820292965854</v>
      </c>
      <c r="N105" s="584">
        <f t="shared" ref="N105:N115" si="44">+M105*2</f>
        <v>571.35640585931708</v>
      </c>
      <c r="O105" s="584">
        <f>+C104+(D105/2)</f>
        <v>20</v>
      </c>
      <c r="P105" s="584">
        <f t="shared" ref="P105:P115" si="45">SIN(O105*3.14159265358979/180)</f>
        <v>0.34202014332566838</v>
      </c>
      <c r="Q105" s="584">
        <f t="shared" ref="Q105:Q115" si="46">+P105*N105</f>
        <v>195.41539982204239</v>
      </c>
      <c r="R105" s="584">
        <f t="shared" ref="R105:R115" si="47">+T104</f>
        <v>311.83352058692088</v>
      </c>
      <c r="S105" s="584">
        <f>+R105+Q105</f>
        <v>507.24892040896327</v>
      </c>
      <c r="T105" s="584">
        <f t="shared" si="34"/>
        <v>507.24892040896327</v>
      </c>
      <c r="U105" s="584"/>
      <c r="V105" s="584">
        <f t="shared" si="35"/>
        <v>0</v>
      </c>
      <c r="W105" s="584"/>
      <c r="X105" s="584"/>
      <c r="Y105" s="584"/>
      <c r="Z105" s="584"/>
      <c r="AA105" s="584"/>
      <c r="AB105" s="584"/>
      <c r="AC105" s="592" t="b">
        <f>IF(AD105=2,AF105)</f>
        <v>0</v>
      </c>
      <c r="AD105" s="592">
        <f t="shared" si="36"/>
        <v>1</v>
      </c>
      <c r="AE105" s="592">
        <f>IF(V105=0,0,2)</f>
        <v>0</v>
      </c>
      <c r="AF105" s="590" t="e">
        <f>SUM(V105:V115)/($B$101-B104)</f>
        <v>#DIV/0!</v>
      </c>
      <c r="AG105" s="590"/>
      <c r="AH105" s="593">
        <f>SUM(D105)+$C$104</f>
        <v>20</v>
      </c>
      <c r="AI105" s="594" t="b">
        <f t="shared" si="37"/>
        <v>0</v>
      </c>
      <c r="AJ105" s="631">
        <f t="shared" ref="AJ105:AJ115" si="48">54.5017821+AH105</f>
        <v>74.5017821</v>
      </c>
      <c r="AK105" s="596">
        <f>SIN(AJ105*3.14159265358979/180)</f>
        <v>0.96363876479469701</v>
      </c>
      <c r="AL105" s="631">
        <f t="shared" ref="AL105:AL115" si="49">+AK105*421.92</f>
        <v>406.57846764217857</v>
      </c>
      <c r="AM105" s="631">
        <f t="shared" ref="AM105:AM115" si="50">58.7344156-AH105</f>
        <v>38.734415599999998</v>
      </c>
      <c r="AN105" s="596">
        <f t="shared" ref="AN105:AN115" si="51">SIN(AM105*3.14159265358979/180)</f>
        <v>0.62571132116144235</v>
      </c>
      <c r="AO105" s="631">
        <f t="shared" ref="AO105:AO115" si="52">+AN105*472.06</f>
        <v>295.37328626747046</v>
      </c>
      <c r="AP105" s="632" t="e">
        <f t="shared" si="38"/>
        <v>#DIV/0!</v>
      </c>
      <c r="AQ105" s="574">
        <f>28*($B$101-B104)</f>
        <v>0</v>
      </c>
      <c r="AR105" s="598">
        <f>+AQ105+$AQ$125</f>
        <v>12.2</v>
      </c>
      <c r="AS105" s="599">
        <f t="shared" ref="AS105:AS115" si="53">+AO105+AL105</f>
        <v>701.95175390964903</v>
      </c>
      <c r="AT105" s="600">
        <f>+V105-AO105</f>
        <v>-295.37328626747046</v>
      </c>
      <c r="AU105" s="600" t="e">
        <f t="shared" ref="AU105:AU115" si="54">+AP105-AT105</f>
        <v>#DIV/0!</v>
      </c>
      <c r="AV105" s="600" t="e">
        <f>+AF105-AT105</f>
        <v>#DIV/0!</v>
      </c>
      <c r="AW105" s="600" t="e">
        <f t="shared" ref="AW105:AW115" si="55">+((AS105-AU105)/AS105)*AR105</f>
        <v>#DIV/0!</v>
      </c>
      <c r="AX105" s="600" t="e">
        <f t="shared" ref="AX105:AX115" si="56">+(AU105/AS105)*AR105</f>
        <v>#DIV/0!</v>
      </c>
      <c r="AY105" s="601" t="e">
        <f t="shared" si="39"/>
        <v>#DIV/0!</v>
      </c>
      <c r="AZ105" s="601" t="e">
        <f t="shared" si="40"/>
        <v>#DIV/0!</v>
      </c>
      <c r="BA105" s="601" t="e">
        <f t="shared" ref="BA105:BB115" si="57">ABS(AY105)</f>
        <v>#DIV/0!</v>
      </c>
      <c r="BB105" s="601" t="e">
        <f t="shared" si="57"/>
        <v>#DIV/0!</v>
      </c>
    </row>
    <row r="106" spans="2:73" ht="24.75" hidden="1" customHeight="1" thickBot="1" x14ac:dyDescent="0.3">
      <c r="B106" s="602">
        <v>3</v>
      </c>
      <c r="C106" s="603"/>
      <c r="D106" s="604">
        <v>0</v>
      </c>
      <c r="E106" s="583"/>
      <c r="F106" s="584"/>
      <c r="G106" s="584"/>
      <c r="H106" s="634">
        <v>402.55</v>
      </c>
      <c r="I106" s="634">
        <v>90.416363899999993</v>
      </c>
      <c r="J106" s="584">
        <f t="shared" ref="J106:J115" si="58">+I106+D106</f>
        <v>90.416363899999993</v>
      </c>
      <c r="K106" s="584">
        <f t="shared" si="41"/>
        <v>45.208181949999997</v>
      </c>
      <c r="L106" s="584">
        <f t="shared" si="42"/>
        <v>0.70967135245226309</v>
      </c>
      <c r="M106" s="584">
        <f t="shared" si="43"/>
        <v>285.67820292965854</v>
      </c>
      <c r="N106" s="584">
        <f t="shared" si="44"/>
        <v>571.35640585931708</v>
      </c>
      <c r="O106" s="584">
        <f>+C104+D105+(D106/2)</f>
        <v>20</v>
      </c>
      <c r="P106" s="584">
        <f t="shared" si="45"/>
        <v>0.34202014332566838</v>
      </c>
      <c r="Q106" s="584">
        <f t="shared" si="46"/>
        <v>195.41539982204239</v>
      </c>
      <c r="R106" s="584">
        <f t="shared" si="47"/>
        <v>507.24892040896327</v>
      </c>
      <c r="S106" s="584">
        <f t="shared" ref="S106:S115" si="59">+S105+Q106</f>
        <v>702.6643202310056</v>
      </c>
      <c r="T106" s="584">
        <f t="shared" si="34"/>
        <v>702.6643202310056</v>
      </c>
      <c r="U106" s="584"/>
      <c r="V106" s="584">
        <f t="shared" si="35"/>
        <v>0</v>
      </c>
      <c r="W106" s="584"/>
      <c r="X106" s="584"/>
      <c r="Y106" s="584"/>
      <c r="Z106" s="584"/>
      <c r="AA106" s="584"/>
      <c r="AB106" s="584"/>
      <c r="AC106" s="592" t="b">
        <f>IF(AD106=3,AF106)</f>
        <v>0</v>
      </c>
      <c r="AD106" s="592">
        <f t="shared" si="36"/>
        <v>1</v>
      </c>
      <c r="AE106" s="592">
        <f>IF(V106=0,0,3)</f>
        <v>0</v>
      </c>
      <c r="AF106" s="590">
        <f>SUM(V106:V115)/($B$101-B105)</f>
        <v>0</v>
      </c>
      <c r="AG106" s="590"/>
      <c r="AH106" s="593">
        <f>SUM(D105:D106)+$C$104</f>
        <v>20</v>
      </c>
      <c r="AI106" s="594" t="b">
        <f t="shared" si="37"/>
        <v>0</v>
      </c>
      <c r="AJ106" s="631">
        <f t="shared" si="48"/>
        <v>74.5017821</v>
      </c>
      <c r="AK106" s="596">
        <f t="shared" ref="AK106:AK115" si="60">SIN(AJ106*3.14159265358979/180)</f>
        <v>0.96363876479469701</v>
      </c>
      <c r="AL106" s="631">
        <f t="shared" si="49"/>
        <v>406.57846764217857</v>
      </c>
      <c r="AM106" s="631">
        <f t="shared" si="50"/>
        <v>38.734415599999998</v>
      </c>
      <c r="AN106" s="596">
        <f t="shared" si="51"/>
        <v>0.62571132116144235</v>
      </c>
      <c r="AO106" s="631">
        <f t="shared" si="52"/>
        <v>295.37328626747046</v>
      </c>
      <c r="AP106" s="632">
        <f t="shared" si="38"/>
        <v>-256.28246659191268</v>
      </c>
      <c r="AQ106" s="574">
        <f>28*($B$101-B105)</f>
        <v>-28</v>
      </c>
      <c r="AR106" s="598">
        <f t="shared" ref="AR106:AR115" si="61">+AQ106+$AQ$125</f>
        <v>-15.8</v>
      </c>
      <c r="AS106" s="599">
        <f t="shared" si="53"/>
        <v>701.95175390964903</v>
      </c>
      <c r="AT106" s="600">
        <f>+V106-AO106</f>
        <v>-295.37328626747046</v>
      </c>
      <c r="AU106" s="600">
        <f t="shared" si="54"/>
        <v>39.090819675557782</v>
      </c>
      <c r="AV106" s="600">
        <f>+AF106-AT106</f>
        <v>295.37328626747046</v>
      </c>
      <c r="AW106" s="600">
        <f t="shared" si="55"/>
        <v>-14.92011766131535</v>
      </c>
      <c r="AX106" s="600">
        <f t="shared" si="56"/>
        <v>-0.87988233868464871</v>
      </c>
      <c r="AY106" s="601">
        <f t="shared" si="39"/>
        <v>-777.47376148891237</v>
      </c>
      <c r="AZ106" s="601">
        <f t="shared" si="40"/>
        <v>-13183.580906216439</v>
      </c>
      <c r="BA106" s="601">
        <f t="shared" si="57"/>
        <v>777.47376148891237</v>
      </c>
      <c r="BB106" s="601">
        <f t="shared" si="57"/>
        <v>13183.580906216439</v>
      </c>
    </row>
    <row r="107" spans="2:73" ht="24.75" hidden="1" customHeight="1" thickBot="1" x14ac:dyDescent="0.3">
      <c r="B107" s="602">
        <v>4</v>
      </c>
      <c r="C107" s="603"/>
      <c r="D107" s="604">
        <v>0</v>
      </c>
      <c r="E107" s="583"/>
      <c r="F107" s="584"/>
      <c r="G107" s="584"/>
      <c r="H107" s="634">
        <v>402.55</v>
      </c>
      <c r="I107" s="634">
        <v>90.416363899999993</v>
      </c>
      <c r="J107" s="584">
        <f t="shared" si="58"/>
        <v>90.416363899999993</v>
      </c>
      <c r="K107" s="584">
        <f t="shared" si="41"/>
        <v>45.208181949999997</v>
      </c>
      <c r="L107" s="584">
        <f t="shared" si="42"/>
        <v>0.70967135245226309</v>
      </c>
      <c r="M107" s="584">
        <f t="shared" si="43"/>
        <v>285.67820292965854</v>
      </c>
      <c r="N107" s="584">
        <f t="shared" si="44"/>
        <v>571.35640585931708</v>
      </c>
      <c r="O107" s="584">
        <f>+C104+D105+D106+(D107/2)</f>
        <v>20</v>
      </c>
      <c r="P107" s="584">
        <f t="shared" si="45"/>
        <v>0.34202014332566838</v>
      </c>
      <c r="Q107" s="584">
        <f t="shared" si="46"/>
        <v>195.41539982204239</v>
      </c>
      <c r="R107" s="584">
        <f t="shared" si="47"/>
        <v>702.6643202310056</v>
      </c>
      <c r="S107" s="584">
        <f t="shared" si="59"/>
        <v>898.07972005304805</v>
      </c>
      <c r="T107" s="584">
        <f t="shared" si="34"/>
        <v>898.07972005304805</v>
      </c>
      <c r="U107" s="584"/>
      <c r="V107" s="584">
        <f t="shared" si="35"/>
        <v>0</v>
      </c>
      <c r="W107" s="584"/>
      <c r="X107" s="584"/>
      <c r="Y107" s="584"/>
      <c r="Z107" s="584"/>
      <c r="AA107" s="584"/>
      <c r="AB107" s="584"/>
      <c r="AC107" s="592" t="b">
        <f>IF(AD107=4,AF107)</f>
        <v>0</v>
      </c>
      <c r="AD107" s="592">
        <f t="shared" si="36"/>
        <v>1</v>
      </c>
      <c r="AE107" s="592">
        <f>IF(V107=0,0,4)</f>
        <v>0</v>
      </c>
      <c r="AF107" s="590">
        <f>SUM(V107:V115)/($B$101-B106)</f>
        <v>0</v>
      </c>
      <c r="AG107" s="590"/>
      <c r="AH107" s="593">
        <f>SUM(D105:D107)+$C$104</f>
        <v>20</v>
      </c>
      <c r="AI107" s="594" t="b">
        <f t="shared" si="37"/>
        <v>0</v>
      </c>
      <c r="AJ107" s="631">
        <f t="shared" si="48"/>
        <v>74.5017821</v>
      </c>
      <c r="AK107" s="596">
        <f t="shared" si="60"/>
        <v>0.96363876479469701</v>
      </c>
      <c r="AL107" s="631">
        <f t="shared" si="49"/>
        <v>406.57846764217857</v>
      </c>
      <c r="AM107" s="631">
        <f t="shared" si="50"/>
        <v>38.734415599999998</v>
      </c>
      <c r="AN107" s="596">
        <f t="shared" si="51"/>
        <v>0.62571132116144235</v>
      </c>
      <c r="AO107" s="631">
        <f t="shared" si="52"/>
        <v>295.37328626747046</v>
      </c>
      <c r="AP107" s="632">
        <f t="shared" si="38"/>
        <v>-92.44892630484523</v>
      </c>
      <c r="AQ107" s="574">
        <f>28*($B$101-B106)</f>
        <v>-56</v>
      </c>
      <c r="AR107" s="598">
        <f t="shared" si="61"/>
        <v>-43.8</v>
      </c>
      <c r="AS107" s="599">
        <f t="shared" si="53"/>
        <v>701.95175390964903</v>
      </c>
      <c r="AT107" s="600">
        <f>+V107-AO107</f>
        <v>-295.37328626747046</v>
      </c>
      <c r="AU107" s="600">
        <f t="shared" si="54"/>
        <v>202.92435996262523</v>
      </c>
      <c r="AV107" s="600">
        <f t="shared" ref="AV107:AV115" si="62">+AF107-AT107</f>
        <v>295.37328626747046</v>
      </c>
      <c r="AW107" s="600">
        <f t="shared" si="55"/>
        <v>-31.138037241364305</v>
      </c>
      <c r="AX107" s="600">
        <f t="shared" si="56"/>
        <v>-12.661962758635696</v>
      </c>
      <c r="AY107" s="601">
        <f t="shared" si="39"/>
        <v>-372.5347204797597</v>
      </c>
      <c r="AZ107" s="601">
        <f t="shared" si="40"/>
        <v>-916.12968866841618</v>
      </c>
      <c r="BA107" s="601">
        <f t="shared" si="57"/>
        <v>372.5347204797597</v>
      </c>
      <c r="BB107" s="601">
        <f t="shared" si="57"/>
        <v>916.12968866841618</v>
      </c>
    </row>
    <row r="108" spans="2:73" ht="24.75" hidden="1" customHeight="1" thickBot="1" x14ac:dyDescent="0.3">
      <c r="B108" s="602">
        <v>5</v>
      </c>
      <c r="C108" s="603"/>
      <c r="D108" s="604">
        <v>0</v>
      </c>
      <c r="E108" s="583"/>
      <c r="F108" s="584"/>
      <c r="G108" s="584"/>
      <c r="H108" s="634">
        <v>402.55</v>
      </c>
      <c r="I108" s="634">
        <v>90.416363899999993</v>
      </c>
      <c r="J108" s="584">
        <f t="shared" si="58"/>
        <v>90.416363899999993</v>
      </c>
      <c r="K108" s="584">
        <f t="shared" si="41"/>
        <v>45.208181949999997</v>
      </c>
      <c r="L108" s="584">
        <f t="shared" si="42"/>
        <v>0.70967135245226309</v>
      </c>
      <c r="M108" s="584">
        <f t="shared" si="43"/>
        <v>285.67820292965854</v>
      </c>
      <c r="N108" s="584">
        <f t="shared" si="44"/>
        <v>571.35640585931708</v>
      </c>
      <c r="O108" s="584">
        <f>+C104+D105+D106+D107+(D108/2)</f>
        <v>20</v>
      </c>
      <c r="P108" s="584">
        <f t="shared" si="45"/>
        <v>0.34202014332566838</v>
      </c>
      <c r="Q108" s="584">
        <f t="shared" si="46"/>
        <v>195.41539982204239</v>
      </c>
      <c r="R108" s="584">
        <f t="shared" si="47"/>
        <v>898.07972005304805</v>
      </c>
      <c r="S108" s="584">
        <f t="shared" si="59"/>
        <v>1093.4951198750905</v>
      </c>
      <c r="T108" s="584">
        <f t="shared" si="34"/>
        <v>1093.4951198750905</v>
      </c>
      <c r="U108" s="584"/>
      <c r="V108" s="584">
        <f t="shared" si="35"/>
        <v>0</v>
      </c>
      <c r="W108" s="584"/>
      <c r="X108" s="584"/>
      <c r="Y108" s="584"/>
      <c r="Z108" s="584"/>
      <c r="AA108" s="584"/>
      <c r="AB108" s="584"/>
      <c r="AC108" s="592" t="b">
        <f>IF(AD108=5,AF108)</f>
        <v>0</v>
      </c>
      <c r="AD108" s="592">
        <f t="shared" si="36"/>
        <v>1</v>
      </c>
      <c r="AE108" s="592">
        <f>IF(V108=0,0,5)</f>
        <v>0</v>
      </c>
      <c r="AF108" s="590">
        <f>SUM(V108:V115)/($B$101-B107)</f>
        <v>0</v>
      </c>
      <c r="AG108" s="590"/>
      <c r="AH108" s="593">
        <f>SUM(D105:D108)+$C$104</f>
        <v>20</v>
      </c>
      <c r="AI108" s="594" t="b">
        <f t="shared" si="37"/>
        <v>0</v>
      </c>
      <c r="AJ108" s="631">
        <f t="shared" si="48"/>
        <v>74.5017821</v>
      </c>
      <c r="AK108" s="596">
        <f t="shared" si="60"/>
        <v>0.96363876479469701</v>
      </c>
      <c r="AL108" s="631">
        <f t="shared" si="49"/>
        <v>406.57846764217857</v>
      </c>
      <c r="AM108" s="631">
        <f t="shared" si="50"/>
        <v>38.734415599999998</v>
      </c>
      <c r="AN108" s="596">
        <f t="shared" si="51"/>
        <v>0.62571132116144235</v>
      </c>
      <c r="AO108" s="631">
        <f t="shared" si="52"/>
        <v>295.37328626747046</v>
      </c>
      <c r="AP108" s="632">
        <f t="shared" si="38"/>
        <v>-56.396420224961297</v>
      </c>
      <c r="AQ108" s="574">
        <f>28*($B$101-B107)</f>
        <v>-84</v>
      </c>
      <c r="AR108" s="598">
        <f t="shared" si="61"/>
        <v>-71.8</v>
      </c>
      <c r="AS108" s="599">
        <f t="shared" si="53"/>
        <v>701.95175390964903</v>
      </c>
      <c r="AT108" s="600">
        <f t="shared" ref="AT108:AT115" si="63">+V108-AO108</f>
        <v>-295.37328626747046</v>
      </c>
      <c r="AU108" s="600">
        <f t="shared" si="54"/>
        <v>238.97686604250916</v>
      </c>
      <c r="AV108" s="600">
        <f t="shared" si="62"/>
        <v>295.37328626747046</v>
      </c>
      <c r="AW108" s="600">
        <f t="shared" si="55"/>
        <v>-47.355956821413251</v>
      </c>
      <c r="AX108" s="600">
        <f t="shared" si="56"/>
        <v>-24.444043178586742</v>
      </c>
      <c r="AY108" s="601">
        <f t="shared" si="39"/>
        <v>-244.95334438591161</v>
      </c>
      <c r="AZ108" s="601">
        <f t="shared" si="40"/>
        <v>-474.55324453696477</v>
      </c>
      <c r="BA108" s="601">
        <f t="shared" si="57"/>
        <v>244.95334438591161</v>
      </c>
      <c r="BB108" s="601">
        <f t="shared" si="57"/>
        <v>474.55324453696477</v>
      </c>
    </row>
    <row r="109" spans="2:73" ht="24.75" hidden="1" customHeight="1" thickBot="1" x14ac:dyDescent="0.3">
      <c r="B109" s="602">
        <v>6</v>
      </c>
      <c r="C109" s="603"/>
      <c r="D109" s="604">
        <v>0</v>
      </c>
      <c r="E109" s="583"/>
      <c r="F109" s="584"/>
      <c r="G109" s="584"/>
      <c r="H109" s="634">
        <v>402.55</v>
      </c>
      <c r="I109" s="634">
        <v>90.416363899999993</v>
      </c>
      <c r="J109" s="584">
        <f t="shared" si="58"/>
        <v>90.416363899999993</v>
      </c>
      <c r="K109" s="584">
        <f t="shared" si="41"/>
        <v>45.208181949999997</v>
      </c>
      <c r="L109" s="584">
        <f t="shared" si="42"/>
        <v>0.70967135245226309</v>
      </c>
      <c r="M109" s="584">
        <f t="shared" si="43"/>
        <v>285.67820292965854</v>
      </c>
      <c r="N109" s="584">
        <f t="shared" si="44"/>
        <v>571.35640585931708</v>
      </c>
      <c r="O109" s="584">
        <f>+C104+D105+D106+D107+D108+(D109/2)</f>
        <v>20</v>
      </c>
      <c r="P109" s="584">
        <f t="shared" si="45"/>
        <v>0.34202014332566838</v>
      </c>
      <c r="Q109" s="584">
        <f t="shared" si="46"/>
        <v>195.41539982204239</v>
      </c>
      <c r="R109" s="584">
        <f t="shared" si="47"/>
        <v>1093.4951198750905</v>
      </c>
      <c r="S109" s="584">
        <f t="shared" si="59"/>
        <v>1288.9105196971329</v>
      </c>
      <c r="T109" s="584">
        <f t="shared" si="34"/>
        <v>1288.9105196971329</v>
      </c>
      <c r="U109" s="584"/>
      <c r="V109" s="584">
        <f t="shared" si="35"/>
        <v>0</v>
      </c>
      <c r="W109" s="584"/>
      <c r="X109" s="584"/>
      <c r="Y109" s="584"/>
      <c r="Z109" s="584"/>
      <c r="AA109" s="584"/>
      <c r="AB109" s="584"/>
      <c r="AC109" s="592" t="b">
        <f>IF(AD109=6,AF109)</f>
        <v>0</v>
      </c>
      <c r="AD109" s="592">
        <f t="shared" si="36"/>
        <v>1</v>
      </c>
      <c r="AE109" s="592">
        <f>IF(V109=0,0,6)</f>
        <v>0</v>
      </c>
      <c r="AF109" s="590">
        <f>SUM(V109:V115)/($B$101-B108)</f>
        <v>0</v>
      </c>
      <c r="AG109" s="590"/>
      <c r="AH109" s="593">
        <f>SUM(D105:D109)+$C$104</f>
        <v>20</v>
      </c>
      <c r="AI109" s="594" t="b">
        <f t="shared" si="37"/>
        <v>0</v>
      </c>
      <c r="AJ109" s="631">
        <f t="shared" si="48"/>
        <v>74.5017821</v>
      </c>
      <c r="AK109" s="596">
        <f t="shared" si="60"/>
        <v>0.96363876479469701</v>
      </c>
      <c r="AL109" s="631">
        <f t="shared" si="49"/>
        <v>406.57846764217857</v>
      </c>
      <c r="AM109" s="631">
        <f t="shared" si="50"/>
        <v>38.734415599999998</v>
      </c>
      <c r="AN109" s="596">
        <f t="shared" si="51"/>
        <v>0.62571132116144235</v>
      </c>
      <c r="AO109" s="631">
        <f t="shared" si="52"/>
        <v>295.37328626747046</v>
      </c>
      <c r="AP109" s="632">
        <f t="shared" si="38"/>
        <v>-40.57377727607436</v>
      </c>
      <c r="AQ109" s="574">
        <f t="shared" ref="AQ109:AQ115" si="64">28*($B$101-B108)</f>
        <v>-112</v>
      </c>
      <c r="AR109" s="598">
        <f t="shared" si="61"/>
        <v>-99.8</v>
      </c>
      <c r="AS109" s="599">
        <f t="shared" si="53"/>
        <v>701.95175390964903</v>
      </c>
      <c r="AT109" s="600">
        <f t="shared" si="63"/>
        <v>-295.37328626747046</v>
      </c>
      <c r="AU109" s="600">
        <f t="shared" si="54"/>
        <v>254.7995089913961</v>
      </c>
      <c r="AV109" s="600">
        <f t="shared" si="62"/>
        <v>295.37328626747046</v>
      </c>
      <c r="AW109" s="600">
        <f t="shared" si="55"/>
        <v>-63.573876401462208</v>
      </c>
      <c r="AX109" s="600">
        <f t="shared" si="56"/>
        <v>-36.226123598537789</v>
      </c>
      <c r="AY109" s="601">
        <f t="shared" si="39"/>
        <v>-182.46488426704147</v>
      </c>
      <c r="AZ109" s="601">
        <f t="shared" si="40"/>
        <v>-320.2109099100025</v>
      </c>
      <c r="BA109" s="601">
        <f t="shared" si="57"/>
        <v>182.46488426704147</v>
      </c>
      <c r="BB109" s="601">
        <f t="shared" si="57"/>
        <v>320.2109099100025</v>
      </c>
    </row>
    <row r="110" spans="2:73" ht="24.75" hidden="1" customHeight="1" thickBot="1" x14ac:dyDescent="0.3">
      <c r="B110" s="602">
        <v>7</v>
      </c>
      <c r="C110" s="603"/>
      <c r="D110" s="604">
        <v>0</v>
      </c>
      <c r="E110" s="583"/>
      <c r="F110" s="584"/>
      <c r="G110" s="584"/>
      <c r="H110" s="634">
        <v>402.55</v>
      </c>
      <c r="I110" s="634">
        <v>90.416363899999993</v>
      </c>
      <c r="J110" s="584">
        <f t="shared" si="58"/>
        <v>90.416363899999993</v>
      </c>
      <c r="K110" s="584">
        <f t="shared" si="41"/>
        <v>45.208181949999997</v>
      </c>
      <c r="L110" s="584">
        <f t="shared" si="42"/>
        <v>0.70967135245226309</v>
      </c>
      <c r="M110" s="584">
        <f t="shared" si="43"/>
        <v>285.67820292965854</v>
      </c>
      <c r="N110" s="584">
        <f t="shared" si="44"/>
        <v>571.35640585931708</v>
      </c>
      <c r="O110" s="584">
        <f>+C104+D105+D106+D107+D108+D109+(D110/2)</f>
        <v>20</v>
      </c>
      <c r="P110" s="584">
        <f t="shared" si="45"/>
        <v>0.34202014332566838</v>
      </c>
      <c r="Q110" s="584">
        <f t="shared" si="46"/>
        <v>195.41539982204239</v>
      </c>
      <c r="R110" s="584">
        <f t="shared" si="47"/>
        <v>1288.9105196971329</v>
      </c>
      <c r="S110" s="584">
        <f t="shared" si="59"/>
        <v>1484.3259195191754</v>
      </c>
      <c r="T110" s="584">
        <f t="shared" si="34"/>
        <v>1484.3259195191754</v>
      </c>
      <c r="U110" s="584"/>
      <c r="V110" s="584">
        <f t="shared" si="35"/>
        <v>0</v>
      </c>
      <c r="W110" s="584"/>
      <c r="X110" s="584"/>
      <c r="Y110" s="584"/>
      <c r="Z110" s="584"/>
      <c r="AA110" s="584"/>
      <c r="AB110" s="584"/>
      <c r="AC110" s="592" t="b">
        <f>IF(AD110=7,AF110)</f>
        <v>0</v>
      </c>
      <c r="AD110" s="592">
        <f t="shared" si="36"/>
        <v>1</v>
      </c>
      <c r="AE110" s="592">
        <f>IF(V110=0,0,7)</f>
        <v>0</v>
      </c>
      <c r="AF110" s="590">
        <f>SUM(V110:V115)/($B$101-B109)</f>
        <v>0</v>
      </c>
      <c r="AG110" s="590"/>
      <c r="AH110" s="593">
        <f>SUM(D105:D110)+$C$104</f>
        <v>20</v>
      </c>
      <c r="AI110" s="594" t="b">
        <f t="shared" si="37"/>
        <v>0</v>
      </c>
      <c r="AJ110" s="631">
        <f t="shared" si="48"/>
        <v>74.5017821</v>
      </c>
      <c r="AK110" s="596">
        <f t="shared" si="60"/>
        <v>0.96363876479469701</v>
      </c>
      <c r="AL110" s="631">
        <f t="shared" si="49"/>
        <v>406.57846764217857</v>
      </c>
      <c r="AM110" s="631">
        <f t="shared" si="50"/>
        <v>38.734415599999998</v>
      </c>
      <c r="AN110" s="596">
        <f t="shared" si="51"/>
        <v>0.62571132116144235</v>
      </c>
      <c r="AO110" s="631">
        <f t="shared" si="52"/>
        <v>295.37328626747046</v>
      </c>
      <c r="AP110" s="632">
        <f t="shared" si="38"/>
        <v>-31.684373804007986</v>
      </c>
      <c r="AQ110" s="574">
        <f t="shared" si="64"/>
        <v>-140</v>
      </c>
      <c r="AR110" s="598">
        <f t="shared" si="61"/>
        <v>-127.8</v>
      </c>
      <c r="AS110" s="599">
        <f t="shared" si="53"/>
        <v>701.95175390964903</v>
      </c>
      <c r="AT110" s="600">
        <f t="shared" si="63"/>
        <v>-295.37328626747046</v>
      </c>
      <c r="AU110" s="600">
        <f t="shared" si="54"/>
        <v>263.68891246346249</v>
      </c>
      <c r="AV110" s="600">
        <f t="shared" si="62"/>
        <v>295.37328626747046</v>
      </c>
      <c r="AW110" s="600">
        <f t="shared" si="55"/>
        <v>-79.791795981511157</v>
      </c>
      <c r="AX110" s="600">
        <f t="shared" si="56"/>
        <v>-48.00820401848884</v>
      </c>
      <c r="AY110" s="601">
        <f t="shared" si="39"/>
        <v>-145.37835447002442</v>
      </c>
      <c r="AZ110" s="601">
        <f t="shared" si="40"/>
        <v>-241.62536877098395</v>
      </c>
      <c r="BA110" s="601">
        <f t="shared" si="57"/>
        <v>145.37835447002442</v>
      </c>
      <c r="BB110" s="601">
        <f t="shared" si="57"/>
        <v>241.62536877098395</v>
      </c>
    </row>
    <row r="111" spans="2:73" ht="24.75" hidden="1" customHeight="1" thickBot="1" x14ac:dyDescent="0.3">
      <c r="B111" s="602">
        <v>8</v>
      </c>
      <c r="C111" s="603"/>
      <c r="D111" s="604">
        <v>0</v>
      </c>
      <c r="E111" s="583"/>
      <c r="F111" s="584"/>
      <c r="G111" s="584"/>
      <c r="H111" s="634">
        <v>402.55</v>
      </c>
      <c r="I111" s="634">
        <v>90.416363899999993</v>
      </c>
      <c r="J111" s="584">
        <f t="shared" si="58"/>
        <v>90.416363899999993</v>
      </c>
      <c r="K111" s="584">
        <f t="shared" si="41"/>
        <v>45.208181949999997</v>
      </c>
      <c r="L111" s="584">
        <f t="shared" si="42"/>
        <v>0.70967135245226309</v>
      </c>
      <c r="M111" s="584">
        <f t="shared" si="43"/>
        <v>285.67820292965854</v>
      </c>
      <c r="N111" s="584">
        <f t="shared" si="44"/>
        <v>571.35640585931708</v>
      </c>
      <c r="O111" s="584">
        <f>+C104+D105+D106+D107+D108+D109+D110+(D111/2)</f>
        <v>20</v>
      </c>
      <c r="P111" s="584">
        <f t="shared" si="45"/>
        <v>0.34202014332566838</v>
      </c>
      <c r="Q111" s="584">
        <f t="shared" si="46"/>
        <v>195.41539982204239</v>
      </c>
      <c r="R111" s="584">
        <f t="shared" si="47"/>
        <v>1484.3259195191754</v>
      </c>
      <c r="S111" s="584">
        <f t="shared" si="59"/>
        <v>1679.7413193412178</v>
      </c>
      <c r="T111" s="584">
        <f t="shared" si="34"/>
        <v>1679.7413193412178</v>
      </c>
      <c r="U111" s="584"/>
      <c r="V111" s="584">
        <f t="shared" si="35"/>
        <v>0</v>
      </c>
      <c r="W111" s="584"/>
      <c r="X111" s="584"/>
      <c r="Y111" s="584"/>
      <c r="Z111" s="584"/>
      <c r="AA111" s="584"/>
      <c r="AB111" s="584"/>
      <c r="AC111" s="592" t="b">
        <f>IF(AD111=8,AF111)</f>
        <v>0</v>
      </c>
      <c r="AD111" s="592">
        <f t="shared" si="36"/>
        <v>1</v>
      </c>
      <c r="AE111" s="592">
        <f>IF(V111=0,0,8)</f>
        <v>0</v>
      </c>
      <c r="AF111" s="590">
        <f>SUM(V111:V115)/($B$101-B110)</f>
        <v>0</v>
      </c>
      <c r="AG111" s="590"/>
      <c r="AH111" s="593">
        <f>SUM(D105:D111)+$C$104</f>
        <v>20</v>
      </c>
      <c r="AI111" s="594" t="b">
        <f t="shared" si="37"/>
        <v>0</v>
      </c>
      <c r="AJ111" s="631">
        <f t="shared" si="48"/>
        <v>74.5017821</v>
      </c>
      <c r="AK111" s="596">
        <f t="shared" si="60"/>
        <v>0.96363876479469701</v>
      </c>
      <c r="AL111" s="631">
        <f t="shared" si="49"/>
        <v>406.57846764217857</v>
      </c>
      <c r="AM111" s="631">
        <f t="shared" si="50"/>
        <v>38.734415599999998</v>
      </c>
      <c r="AN111" s="596">
        <f t="shared" si="51"/>
        <v>0.62571132116144235</v>
      </c>
      <c r="AO111" s="631">
        <f t="shared" si="52"/>
        <v>295.37328626747046</v>
      </c>
      <c r="AP111" s="632">
        <f t="shared" si="38"/>
        <v>-25.990134609449424</v>
      </c>
      <c r="AQ111" s="574">
        <f t="shared" si="64"/>
        <v>-168</v>
      </c>
      <c r="AR111" s="598">
        <f t="shared" si="61"/>
        <v>-155.80000000000001</v>
      </c>
      <c r="AS111" s="599">
        <f t="shared" si="53"/>
        <v>701.95175390964903</v>
      </c>
      <c r="AT111" s="600">
        <f t="shared" si="63"/>
        <v>-295.37328626747046</v>
      </c>
      <c r="AU111" s="600">
        <f t="shared" si="54"/>
        <v>269.38315165802106</v>
      </c>
      <c r="AV111" s="600">
        <f t="shared" si="62"/>
        <v>295.37328626747046</v>
      </c>
      <c r="AW111" s="600">
        <f t="shared" si="55"/>
        <v>-96.0097155615601</v>
      </c>
      <c r="AX111" s="600">
        <f t="shared" si="56"/>
        <v>-59.790284438439905</v>
      </c>
      <c r="AY111" s="601">
        <f t="shared" si="39"/>
        <v>-120.82110578238554</v>
      </c>
      <c r="AZ111" s="601">
        <f t="shared" si="40"/>
        <v>-194.01145368263573</v>
      </c>
      <c r="BA111" s="601">
        <f t="shared" si="57"/>
        <v>120.82110578238554</v>
      </c>
      <c r="BB111" s="601">
        <f t="shared" si="57"/>
        <v>194.01145368263573</v>
      </c>
      <c r="BF111" s="191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</row>
    <row r="112" spans="2:73" ht="24.75" hidden="1" customHeight="1" thickBot="1" x14ac:dyDescent="0.3">
      <c r="B112" s="602">
        <v>9</v>
      </c>
      <c r="C112" s="603"/>
      <c r="D112" s="604">
        <v>0</v>
      </c>
      <c r="E112" s="583"/>
      <c r="F112" s="584"/>
      <c r="G112" s="584"/>
      <c r="H112" s="634">
        <v>402.55</v>
      </c>
      <c r="I112" s="634">
        <v>90.416363899999993</v>
      </c>
      <c r="J112" s="584">
        <f t="shared" si="58"/>
        <v>90.416363899999993</v>
      </c>
      <c r="K112" s="584">
        <f t="shared" si="41"/>
        <v>45.208181949999997</v>
      </c>
      <c r="L112" s="584">
        <f t="shared" si="42"/>
        <v>0.70967135245226309</v>
      </c>
      <c r="M112" s="584">
        <f t="shared" si="43"/>
        <v>285.67820292965854</v>
      </c>
      <c r="N112" s="584">
        <f t="shared" si="44"/>
        <v>571.35640585931708</v>
      </c>
      <c r="O112" s="584">
        <f>+C104+D105+D106+D107+D108+D109+D110+D111+(D112/2)</f>
        <v>20</v>
      </c>
      <c r="P112" s="584">
        <f t="shared" si="45"/>
        <v>0.34202014332566838</v>
      </c>
      <c r="Q112" s="584">
        <f t="shared" si="46"/>
        <v>195.41539982204239</v>
      </c>
      <c r="R112" s="584">
        <f t="shared" si="47"/>
        <v>1679.7413193412178</v>
      </c>
      <c r="S112" s="584">
        <f t="shared" si="59"/>
        <v>1875.1567191632603</v>
      </c>
      <c r="T112" s="584">
        <f t="shared" si="34"/>
        <v>1875.1567191632603</v>
      </c>
      <c r="U112" s="584"/>
      <c r="V112" s="584">
        <f t="shared" si="35"/>
        <v>0</v>
      </c>
      <c r="W112" s="584"/>
      <c r="X112" s="584"/>
      <c r="Y112" s="584"/>
      <c r="Z112" s="584"/>
      <c r="AA112" s="584"/>
      <c r="AB112" s="584"/>
      <c r="AC112" s="592" t="b">
        <f>IF(AD112=9,AF112)</f>
        <v>0</v>
      </c>
      <c r="AD112" s="592">
        <f t="shared" si="36"/>
        <v>1</v>
      </c>
      <c r="AE112" s="592">
        <f>IF(V112=0,0,9)</f>
        <v>0</v>
      </c>
      <c r="AF112" s="590">
        <f>SUM(V112:V115)/($B$101-B111)</f>
        <v>0</v>
      </c>
      <c r="AG112" s="590"/>
      <c r="AH112" s="593">
        <f>SUM(D105:D112)+$C$104</f>
        <v>20</v>
      </c>
      <c r="AI112" s="594" t="b">
        <f t="shared" si="37"/>
        <v>0</v>
      </c>
      <c r="AJ112" s="631">
        <f t="shared" si="48"/>
        <v>74.5017821</v>
      </c>
      <c r="AK112" s="596">
        <f t="shared" si="60"/>
        <v>0.96363876479469701</v>
      </c>
      <c r="AL112" s="631">
        <f t="shared" si="49"/>
        <v>406.57846764217857</v>
      </c>
      <c r="AM112" s="631">
        <f t="shared" si="50"/>
        <v>38.734415599999998</v>
      </c>
      <c r="AN112" s="596">
        <f t="shared" si="51"/>
        <v>0.62571132116144235</v>
      </c>
      <c r="AO112" s="631">
        <f t="shared" si="52"/>
        <v>295.37328626747046</v>
      </c>
      <c r="AP112" s="632">
        <f t="shared" si="38"/>
        <v>-22.030810512253648</v>
      </c>
      <c r="AQ112" s="574">
        <f t="shared" si="64"/>
        <v>-196</v>
      </c>
      <c r="AR112" s="598">
        <f t="shared" si="61"/>
        <v>-183.8</v>
      </c>
      <c r="AS112" s="599">
        <f t="shared" si="53"/>
        <v>701.95175390964903</v>
      </c>
      <c r="AT112" s="600">
        <f t="shared" si="63"/>
        <v>-295.37328626747046</v>
      </c>
      <c r="AU112" s="600">
        <f t="shared" si="54"/>
        <v>273.34247575521681</v>
      </c>
      <c r="AV112" s="600">
        <f t="shared" si="62"/>
        <v>295.37328626747046</v>
      </c>
      <c r="AW112" s="600">
        <f t="shared" si="55"/>
        <v>-112.22763514160907</v>
      </c>
      <c r="AX112" s="600">
        <f t="shared" si="56"/>
        <v>-71.572364858390941</v>
      </c>
      <c r="AY112" s="601">
        <f t="shared" si="39"/>
        <v>-103.361351108959</v>
      </c>
      <c r="AZ112" s="601">
        <f t="shared" si="40"/>
        <v>-162.07372807858323</v>
      </c>
      <c r="BA112" s="601">
        <f t="shared" si="57"/>
        <v>103.361351108959</v>
      </c>
      <c r="BB112" s="601">
        <f t="shared" si="57"/>
        <v>162.07372807858323</v>
      </c>
      <c r="BC112" s="53"/>
      <c r="BD112" s="53"/>
      <c r="BE112" s="53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92"/>
      <c r="BP112" s="105"/>
      <c r="BQ112" s="105"/>
      <c r="BR112" s="105"/>
      <c r="BS112" s="105"/>
      <c r="BT112" s="105"/>
      <c r="BU112" s="105"/>
    </row>
    <row r="113" spans="2:73" ht="24.75" hidden="1" customHeight="1" thickBot="1" x14ac:dyDescent="0.3">
      <c r="B113" s="602">
        <v>10</v>
      </c>
      <c r="C113" s="603"/>
      <c r="D113" s="604">
        <v>0</v>
      </c>
      <c r="E113" s="583"/>
      <c r="F113" s="584"/>
      <c r="G113" s="584"/>
      <c r="H113" s="634">
        <v>402.55</v>
      </c>
      <c r="I113" s="634">
        <v>90.416363899999993</v>
      </c>
      <c r="J113" s="584">
        <f t="shared" si="58"/>
        <v>90.416363899999993</v>
      </c>
      <c r="K113" s="584">
        <f t="shared" si="41"/>
        <v>45.208181949999997</v>
      </c>
      <c r="L113" s="584">
        <f t="shared" si="42"/>
        <v>0.70967135245226309</v>
      </c>
      <c r="M113" s="584">
        <f t="shared" si="43"/>
        <v>285.67820292965854</v>
      </c>
      <c r="N113" s="584">
        <f t="shared" si="44"/>
        <v>571.35640585931708</v>
      </c>
      <c r="O113" s="584">
        <f>+C104+D105+D106+D107+D108+D109+D110+D111+D112+(D113/2)</f>
        <v>20</v>
      </c>
      <c r="P113" s="584">
        <f t="shared" si="45"/>
        <v>0.34202014332566838</v>
      </c>
      <c r="Q113" s="584">
        <f t="shared" si="46"/>
        <v>195.41539982204239</v>
      </c>
      <c r="R113" s="584">
        <f t="shared" si="47"/>
        <v>1875.1567191632603</v>
      </c>
      <c r="S113" s="584">
        <f t="shared" si="59"/>
        <v>2070.5721189853025</v>
      </c>
      <c r="T113" s="584">
        <f t="shared" si="34"/>
        <v>2070.5721189853025</v>
      </c>
      <c r="U113" s="584"/>
      <c r="V113" s="584">
        <f t="shared" si="35"/>
        <v>0</v>
      </c>
      <c r="W113" s="584"/>
      <c r="X113" s="584"/>
      <c r="Y113" s="584"/>
      <c r="Z113" s="584"/>
      <c r="AA113" s="584"/>
      <c r="AB113" s="584"/>
      <c r="AC113" s="592" t="b">
        <f>IF(AD113=10,AF113)</f>
        <v>0</v>
      </c>
      <c r="AD113" s="592">
        <f t="shared" si="36"/>
        <v>1</v>
      </c>
      <c r="AE113" s="592">
        <f>IF(V113=0,0,10)</f>
        <v>0</v>
      </c>
      <c r="AF113" s="590">
        <f>SUM(V113:V115)/($B$101-B112)</f>
        <v>0</v>
      </c>
      <c r="AG113" s="590"/>
      <c r="AH113" s="593">
        <f>SUM(D105:D113)+$C$104</f>
        <v>20</v>
      </c>
      <c r="AI113" s="594" t="b">
        <f t="shared" si="37"/>
        <v>0</v>
      </c>
      <c r="AJ113" s="631">
        <f t="shared" si="48"/>
        <v>74.5017821</v>
      </c>
      <c r="AK113" s="596">
        <f t="shared" si="60"/>
        <v>0.96363876479469701</v>
      </c>
      <c r="AL113" s="631">
        <f t="shared" si="49"/>
        <v>406.57846764217857</v>
      </c>
      <c r="AM113" s="631">
        <f t="shared" si="50"/>
        <v>38.734415599999998</v>
      </c>
      <c r="AN113" s="596">
        <f t="shared" si="51"/>
        <v>0.62571132116144235</v>
      </c>
      <c r="AO113" s="631">
        <f t="shared" si="52"/>
        <v>295.37328626747046</v>
      </c>
      <c r="AP113" s="632">
        <f t="shared" si="38"/>
        <v>-19.118333201851843</v>
      </c>
      <c r="AQ113" s="574">
        <f t="shared" si="64"/>
        <v>-224</v>
      </c>
      <c r="AR113" s="598">
        <f t="shared" si="61"/>
        <v>-211.8</v>
      </c>
      <c r="AS113" s="599">
        <f t="shared" si="53"/>
        <v>701.95175390964903</v>
      </c>
      <c r="AT113" s="600">
        <f t="shared" si="63"/>
        <v>-295.37328626747046</v>
      </c>
      <c r="AU113" s="600">
        <f t="shared" si="54"/>
        <v>276.25495306561862</v>
      </c>
      <c r="AV113" s="600">
        <f t="shared" si="62"/>
        <v>295.37328626747046</v>
      </c>
      <c r="AW113" s="600">
        <f t="shared" si="55"/>
        <v>-128.445554721658</v>
      </c>
      <c r="AX113" s="600">
        <f t="shared" si="56"/>
        <v>-83.354445278341998</v>
      </c>
      <c r="AY113" s="601">
        <f t="shared" si="39"/>
        <v>-90.310638037550177</v>
      </c>
      <c r="AZ113" s="601">
        <f t="shared" si="40"/>
        <v>-139.16474353904709</v>
      </c>
      <c r="BA113" s="601">
        <f t="shared" si="57"/>
        <v>90.310638037550177</v>
      </c>
      <c r="BB113" s="601">
        <f t="shared" si="57"/>
        <v>139.16474353904709</v>
      </c>
      <c r="BC113" s="53"/>
      <c r="BD113" s="53"/>
      <c r="BE113" s="53"/>
      <c r="BF113" s="193"/>
      <c r="BG113" s="105"/>
      <c r="BH113" s="105"/>
      <c r="BI113" s="105"/>
      <c r="BJ113" s="105"/>
      <c r="BK113" s="105"/>
      <c r="BL113" s="105"/>
      <c r="BM113" s="105"/>
      <c r="BN113" s="701"/>
      <c r="BO113" s="701"/>
      <c r="BP113" s="105"/>
      <c r="BQ113" s="105"/>
      <c r="BR113" s="105"/>
      <c r="BS113" s="105"/>
      <c r="BT113" s="105"/>
      <c r="BU113" s="105"/>
    </row>
    <row r="114" spans="2:73" ht="24.75" hidden="1" customHeight="1" thickBot="1" x14ac:dyDescent="0.3">
      <c r="B114" s="602">
        <v>11</v>
      </c>
      <c r="C114" s="603"/>
      <c r="D114" s="604">
        <v>0</v>
      </c>
      <c r="E114" s="583"/>
      <c r="F114" s="584"/>
      <c r="G114" s="584"/>
      <c r="H114" s="634">
        <v>402.55</v>
      </c>
      <c r="I114" s="634">
        <v>90.416363899999993</v>
      </c>
      <c r="J114" s="584">
        <f t="shared" si="58"/>
        <v>90.416363899999993</v>
      </c>
      <c r="K114" s="584">
        <f t="shared" si="41"/>
        <v>45.208181949999997</v>
      </c>
      <c r="L114" s="584">
        <f t="shared" si="42"/>
        <v>0.70967135245226309</v>
      </c>
      <c r="M114" s="584">
        <f t="shared" si="43"/>
        <v>285.67820292965854</v>
      </c>
      <c r="N114" s="584">
        <f t="shared" si="44"/>
        <v>571.35640585931708</v>
      </c>
      <c r="O114" s="584">
        <f>+C104+D105+D106+D107+D108+D109+D110+D111+D112+D113+(D114/2)</f>
        <v>20</v>
      </c>
      <c r="P114" s="584">
        <f t="shared" si="45"/>
        <v>0.34202014332566838</v>
      </c>
      <c r="Q114" s="584">
        <f t="shared" si="46"/>
        <v>195.41539982204239</v>
      </c>
      <c r="R114" s="584">
        <f t="shared" si="47"/>
        <v>2070.5721189853025</v>
      </c>
      <c r="S114" s="584">
        <f t="shared" si="59"/>
        <v>2265.9875188073447</v>
      </c>
      <c r="T114" s="584">
        <f t="shared" si="34"/>
        <v>2265.9875188073447</v>
      </c>
      <c r="U114" s="584"/>
      <c r="V114" s="584">
        <f t="shared" si="35"/>
        <v>0</v>
      </c>
      <c r="W114" s="584"/>
      <c r="X114" s="584"/>
      <c r="Y114" s="584"/>
      <c r="Z114" s="584"/>
      <c r="AA114" s="584"/>
      <c r="AB114" s="584"/>
      <c r="AC114" s="592" t="b">
        <f>IF(AD114=11,AF114)</f>
        <v>0</v>
      </c>
      <c r="AD114" s="592">
        <f t="shared" si="36"/>
        <v>1</v>
      </c>
      <c r="AE114" s="592">
        <f>IF(V114=0,0,11)</f>
        <v>0</v>
      </c>
      <c r="AF114" s="590">
        <f>SUM(V114:V115)/($B$101-B113)</f>
        <v>0</v>
      </c>
      <c r="AG114" s="590"/>
      <c r="AH114" s="593">
        <f>SUM(D105:D114)+$C$104</f>
        <v>20</v>
      </c>
      <c r="AI114" s="594" t="b">
        <f t="shared" si="37"/>
        <v>0</v>
      </c>
      <c r="AJ114" s="631">
        <f t="shared" si="48"/>
        <v>74.5017821</v>
      </c>
      <c r="AK114" s="596">
        <f t="shared" si="60"/>
        <v>0.96363876479469701</v>
      </c>
      <c r="AL114" s="631">
        <f t="shared" si="49"/>
        <v>406.57846764217857</v>
      </c>
      <c r="AM114" s="631">
        <f t="shared" si="50"/>
        <v>38.734415599999998</v>
      </c>
      <c r="AN114" s="596">
        <f t="shared" si="51"/>
        <v>0.62571132116144235</v>
      </c>
      <c r="AO114" s="631">
        <f t="shared" si="52"/>
        <v>295.37328626747046</v>
      </c>
      <c r="AP114" s="632">
        <f t="shared" si="38"/>
        <v>-16.886000717899169</v>
      </c>
      <c r="AQ114" s="574">
        <f t="shared" si="64"/>
        <v>-252</v>
      </c>
      <c r="AR114" s="598">
        <f t="shared" si="61"/>
        <v>-239.8</v>
      </c>
      <c r="AS114" s="599">
        <f t="shared" si="53"/>
        <v>701.95175390964903</v>
      </c>
      <c r="AT114" s="600">
        <f t="shared" si="63"/>
        <v>-295.37328626747046</v>
      </c>
      <c r="AU114" s="600">
        <f t="shared" si="54"/>
        <v>278.48728554957131</v>
      </c>
      <c r="AV114" s="600">
        <f t="shared" si="62"/>
        <v>295.37328626747046</v>
      </c>
      <c r="AW114" s="600">
        <f t="shared" si="55"/>
        <v>-144.66347430170697</v>
      </c>
      <c r="AX114" s="600">
        <f t="shared" si="56"/>
        <v>-95.136525698293042</v>
      </c>
      <c r="AY114" s="601">
        <f t="shared" si="39"/>
        <v>-80.186101267050276</v>
      </c>
      <c r="AZ114" s="601">
        <f t="shared" si="40"/>
        <v>-121.93003596523107</v>
      </c>
      <c r="BA114" s="601">
        <f t="shared" si="57"/>
        <v>80.186101267050276</v>
      </c>
      <c r="BB114" s="601">
        <f t="shared" si="57"/>
        <v>121.93003596523107</v>
      </c>
      <c r="BC114" s="53"/>
      <c r="BD114" s="53"/>
      <c r="BE114" s="53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</row>
    <row r="115" spans="2:73" ht="24.75" hidden="1" customHeight="1" thickBot="1" x14ac:dyDescent="0.3">
      <c r="B115" s="602">
        <v>12</v>
      </c>
      <c r="C115" s="603"/>
      <c r="D115" s="604">
        <v>0</v>
      </c>
      <c r="E115" s="583"/>
      <c r="F115" s="584"/>
      <c r="G115" s="584"/>
      <c r="H115" s="634">
        <v>402.55</v>
      </c>
      <c r="I115" s="634">
        <v>90.416363899999993</v>
      </c>
      <c r="J115" s="584">
        <f t="shared" si="58"/>
        <v>90.416363899999993</v>
      </c>
      <c r="K115" s="584">
        <f t="shared" si="41"/>
        <v>45.208181949999997</v>
      </c>
      <c r="L115" s="584">
        <f t="shared" si="42"/>
        <v>0.70967135245226309</v>
      </c>
      <c r="M115" s="584">
        <f t="shared" si="43"/>
        <v>285.67820292965854</v>
      </c>
      <c r="N115" s="584">
        <f t="shared" si="44"/>
        <v>571.35640585931708</v>
      </c>
      <c r="O115" s="584">
        <f>+C104+D105+D106+D107+D108+D109+D110+D111+D112+D113+D114+(D115/2)</f>
        <v>20</v>
      </c>
      <c r="P115" s="584">
        <f t="shared" si="45"/>
        <v>0.34202014332566838</v>
      </c>
      <c r="Q115" s="584">
        <f t="shared" si="46"/>
        <v>195.41539982204239</v>
      </c>
      <c r="R115" s="584">
        <f t="shared" si="47"/>
        <v>2265.9875188073447</v>
      </c>
      <c r="S115" s="584">
        <f t="shared" si="59"/>
        <v>2461.4029186293869</v>
      </c>
      <c r="T115" s="584">
        <f t="shared" si="34"/>
        <v>2461.4029186293869</v>
      </c>
      <c r="U115" s="584"/>
      <c r="V115" s="584">
        <f t="shared" si="35"/>
        <v>0</v>
      </c>
      <c r="W115" s="584"/>
      <c r="X115" s="584"/>
      <c r="Y115" s="584"/>
      <c r="Z115" s="584"/>
      <c r="AA115" s="584"/>
      <c r="AB115" s="584"/>
      <c r="AC115" s="592" t="b">
        <f>IF(AD115=12,AF115)</f>
        <v>0</v>
      </c>
      <c r="AD115" s="592">
        <f t="shared" si="36"/>
        <v>1</v>
      </c>
      <c r="AE115" s="592">
        <f>IF(V115=0,0,12)</f>
        <v>0</v>
      </c>
      <c r="AF115" s="590">
        <f>SUM(V115)/($B$101-B114)</f>
        <v>0</v>
      </c>
      <c r="AG115" s="590"/>
      <c r="AH115" s="593">
        <f>SUM(D105:D115)+$C$104</f>
        <v>20</v>
      </c>
      <c r="AI115" s="594" t="b">
        <f t="shared" si="37"/>
        <v>0</v>
      </c>
      <c r="AJ115" s="631">
        <f t="shared" si="48"/>
        <v>74.5017821</v>
      </c>
      <c r="AK115" s="596">
        <f t="shared" si="60"/>
        <v>0.96363876479469701</v>
      </c>
      <c r="AL115" s="631">
        <f t="shared" si="49"/>
        <v>406.57846764217857</v>
      </c>
      <c r="AM115" s="631">
        <f t="shared" si="50"/>
        <v>38.734415599999998</v>
      </c>
      <c r="AN115" s="596">
        <f t="shared" si="51"/>
        <v>0.62571132116144235</v>
      </c>
      <c r="AO115" s="631">
        <f t="shared" si="52"/>
        <v>295.37328626747046</v>
      </c>
      <c r="AP115" s="632">
        <f t="shared" si="38"/>
        <v>-15.120474130516133</v>
      </c>
      <c r="AQ115" s="574">
        <f t="shared" si="64"/>
        <v>-280</v>
      </c>
      <c r="AR115" s="598">
        <f t="shared" si="61"/>
        <v>-267.8</v>
      </c>
      <c r="AS115" s="599">
        <f t="shared" si="53"/>
        <v>701.95175390964903</v>
      </c>
      <c r="AT115" s="600">
        <f t="shared" si="63"/>
        <v>-295.37328626747046</v>
      </c>
      <c r="AU115" s="600">
        <f t="shared" si="54"/>
        <v>280.25281213695433</v>
      </c>
      <c r="AV115" s="600">
        <f t="shared" si="62"/>
        <v>295.37328626747046</v>
      </c>
      <c r="AW115" s="600">
        <f t="shared" si="55"/>
        <v>-160.88139388175591</v>
      </c>
      <c r="AX115" s="600">
        <f t="shared" si="56"/>
        <v>-106.91860611824409</v>
      </c>
      <c r="AY115" s="601">
        <f t="shared" si="39"/>
        <v>-72.102806422262418</v>
      </c>
      <c r="AZ115" s="601">
        <f t="shared" si="40"/>
        <v>-108.49374511271927</v>
      </c>
      <c r="BA115" s="601">
        <f t="shared" si="57"/>
        <v>72.102806422262418</v>
      </c>
      <c r="BB115" s="601">
        <f t="shared" si="57"/>
        <v>108.49374511271927</v>
      </c>
      <c r="BC115" s="53"/>
      <c r="BD115" s="53"/>
      <c r="BE115" s="53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</row>
    <row r="116" spans="2:73" ht="18.75" hidden="1" thickBot="1" x14ac:dyDescent="0.3">
      <c r="B116" s="635"/>
      <c r="C116" s="635"/>
      <c r="D116" s="507"/>
      <c r="E116" s="507"/>
      <c r="F116" s="507"/>
      <c r="G116" s="507"/>
      <c r="H116" s="501"/>
      <c r="I116" s="501"/>
      <c r="J116" s="501"/>
      <c r="K116" s="501"/>
      <c r="L116" s="501"/>
      <c r="M116" s="501"/>
      <c r="N116" s="501"/>
      <c r="O116" s="501"/>
      <c r="P116" s="501"/>
      <c r="Q116" s="501"/>
      <c r="R116" s="501"/>
      <c r="S116" s="501"/>
      <c r="T116" s="501"/>
      <c r="U116" s="636"/>
      <c r="V116" s="501"/>
      <c r="W116" s="501"/>
      <c r="X116" s="501"/>
      <c r="Y116" s="501"/>
      <c r="Z116" s="501"/>
      <c r="AA116" s="501"/>
      <c r="AB116" s="501"/>
      <c r="AC116" s="501"/>
      <c r="AD116" s="501"/>
      <c r="AE116" s="501"/>
      <c r="AF116" s="501"/>
      <c r="AG116" s="501"/>
      <c r="AH116" s="610" t="s">
        <v>58</v>
      </c>
      <c r="AI116" s="611">
        <f>MAX(AI104:AI115)</f>
        <v>20</v>
      </c>
      <c r="AJ116" s="501"/>
      <c r="AK116" s="501"/>
      <c r="AL116" s="501"/>
      <c r="AM116" s="501"/>
      <c r="AN116" s="501"/>
      <c r="AO116" s="501"/>
      <c r="AP116" s="501"/>
      <c r="AQ116" s="637"/>
      <c r="AR116" s="501"/>
      <c r="AS116" s="501"/>
      <c r="AT116" s="501"/>
      <c r="AU116" s="501"/>
      <c r="AV116" s="501"/>
      <c r="AW116" s="501"/>
      <c r="AX116" s="501"/>
      <c r="AY116" s="501"/>
      <c r="AZ116" s="501"/>
      <c r="BA116" s="501"/>
      <c r="BB116" s="501"/>
      <c r="BC116" s="53"/>
      <c r="BD116" s="53"/>
      <c r="BE116" s="53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</row>
    <row r="117" spans="2:73" hidden="1" x14ac:dyDescent="0.25">
      <c r="B117" s="638"/>
      <c r="C117" s="635"/>
      <c r="D117" s="507"/>
      <c r="E117" s="507"/>
      <c r="F117" s="507"/>
      <c r="G117" s="507"/>
      <c r="H117" s="501"/>
      <c r="I117" s="501"/>
      <c r="J117" s="501"/>
      <c r="K117" s="501"/>
      <c r="L117" s="501"/>
      <c r="M117" s="501"/>
      <c r="N117" s="501"/>
      <c r="O117" s="501"/>
      <c r="P117" s="501"/>
      <c r="Q117" s="501"/>
      <c r="R117" s="501"/>
      <c r="S117" s="501"/>
      <c r="T117" s="501"/>
      <c r="U117" s="636"/>
      <c r="V117" s="501"/>
      <c r="W117" s="501"/>
      <c r="X117" s="501"/>
      <c r="Y117" s="501"/>
      <c r="Z117" s="501"/>
      <c r="AA117" s="501"/>
      <c r="AB117" s="501"/>
      <c r="AC117" s="501"/>
      <c r="AD117" s="501"/>
      <c r="AE117" s="501"/>
      <c r="AF117" s="501"/>
      <c r="AG117" s="501"/>
      <c r="AH117" s="501"/>
      <c r="AI117" s="501"/>
      <c r="AJ117" s="501"/>
      <c r="AK117" s="501"/>
      <c r="AL117" s="501"/>
      <c r="AM117" s="501"/>
      <c r="AN117" s="501"/>
      <c r="AO117" s="501"/>
      <c r="AP117" s="501"/>
      <c r="AQ117" s="501"/>
      <c r="AR117" s="501"/>
      <c r="AS117" s="501"/>
      <c r="AT117" s="501"/>
      <c r="AU117" s="501"/>
      <c r="AV117" s="501"/>
      <c r="AW117" s="501"/>
      <c r="AX117" s="501"/>
      <c r="AY117" s="501"/>
      <c r="AZ117" s="501"/>
      <c r="BA117" s="501"/>
      <c r="BB117" s="501"/>
      <c r="BC117" s="53"/>
      <c r="BD117" s="53"/>
      <c r="BE117" s="53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  <c r="BT117" s="105"/>
      <c r="BU117" s="105"/>
    </row>
    <row r="118" spans="2:73" ht="20.25" hidden="1" customHeight="1" x14ac:dyDescent="0.25">
      <c r="B118" s="635"/>
      <c r="AB118" s="554"/>
      <c r="AC118" s="554"/>
      <c r="AD118" s="554"/>
      <c r="AE118" s="554"/>
      <c r="BC118" s="53"/>
      <c r="BD118" s="53"/>
      <c r="BE118" s="53"/>
      <c r="BF118" s="105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  <c r="BS118" s="105"/>
      <c r="BT118" s="105"/>
      <c r="BU118" s="105"/>
    </row>
    <row r="119" spans="2:73" ht="21" hidden="1" customHeight="1" x14ac:dyDescent="0.25">
      <c r="B119" s="635"/>
      <c r="V119" s="526"/>
      <c r="W119" s="526"/>
      <c r="X119" s="526"/>
      <c r="Y119" s="526"/>
      <c r="Z119" s="526"/>
      <c r="AA119" s="526"/>
      <c r="AB119" s="526"/>
      <c r="AC119" s="526"/>
      <c r="AD119" s="526"/>
      <c r="AE119" s="526"/>
      <c r="AF119" s="526"/>
      <c r="AG119" s="526"/>
      <c r="AH119" s="526"/>
      <c r="AI119" s="526"/>
      <c r="AJ119" s="526"/>
      <c r="AK119" s="526"/>
      <c r="AL119" s="526"/>
      <c r="AM119" s="526"/>
      <c r="AN119" s="526"/>
      <c r="AO119" s="526"/>
      <c r="AP119" s="526"/>
      <c r="AQ119" s="526"/>
      <c r="AR119" s="526"/>
      <c r="AS119" s="526"/>
      <c r="AT119" s="526"/>
      <c r="AU119" s="526"/>
      <c r="AV119" s="526"/>
      <c r="AW119" s="526"/>
      <c r="AX119" s="526"/>
      <c r="AY119" s="526"/>
      <c r="AZ119" s="526"/>
      <c r="BA119" s="526"/>
      <c r="BB119" s="526"/>
      <c r="BC119" s="53"/>
      <c r="BD119" s="53"/>
      <c r="BE119" s="53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  <c r="BT119" s="105"/>
      <c r="BU119" s="105"/>
    </row>
    <row r="120" spans="2:73" ht="26.25" customHeight="1" thickBot="1" x14ac:dyDescent="0.3">
      <c r="U120" s="497"/>
      <c r="V120" s="526"/>
      <c r="W120" s="526"/>
      <c r="X120" s="526"/>
      <c r="Y120" s="526"/>
      <c r="Z120" s="526"/>
      <c r="AA120" s="526"/>
      <c r="AB120" s="526"/>
      <c r="AC120" s="526"/>
      <c r="AD120" s="526"/>
      <c r="AE120" s="526"/>
      <c r="AF120" s="526"/>
      <c r="AG120" s="526"/>
      <c r="AH120" s="526"/>
      <c r="AI120" s="526"/>
      <c r="AJ120" s="526"/>
      <c r="AK120" s="526"/>
      <c r="AL120" s="526"/>
      <c r="AM120" s="526"/>
      <c r="AN120" s="526"/>
      <c r="AO120" s="526"/>
      <c r="AP120" s="526"/>
      <c r="AQ120" s="526"/>
      <c r="AR120" s="526"/>
      <c r="AS120" s="526"/>
      <c r="AT120" s="526"/>
      <c r="AU120" s="526"/>
      <c r="AV120" s="526"/>
      <c r="AW120" s="526"/>
      <c r="AX120" s="526"/>
      <c r="AY120" s="526"/>
      <c r="AZ120" s="526"/>
      <c r="BA120" s="526"/>
      <c r="BB120" s="526"/>
      <c r="BC120" s="53"/>
      <c r="BD120" s="53"/>
      <c r="BE120" s="53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  <c r="BT120" s="105"/>
      <c r="BU120" s="105"/>
    </row>
    <row r="121" spans="2:73" ht="73.5" customHeight="1" thickBot="1" x14ac:dyDescent="0.35">
      <c r="B121" s="616" t="s">
        <v>117</v>
      </c>
      <c r="C121" s="531"/>
      <c r="D121" s="532"/>
      <c r="E121" s="533"/>
      <c r="F121" s="533"/>
      <c r="G121" s="533"/>
      <c r="H121" s="534"/>
      <c r="I121" s="534"/>
      <c r="J121" s="534"/>
      <c r="K121" s="534"/>
      <c r="L121" s="534"/>
      <c r="M121" s="534"/>
      <c r="N121" s="534"/>
      <c r="O121" s="534"/>
      <c r="P121" s="534"/>
      <c r="Q121" s="534"/>
      <c r="R121" s="534"/>
      <c r="S121" s="535" t="s">
        <v>81</v>
      </c>
      <c r="T121" s="535">
        <f>SUM(V125:V130)/B122</f>
        <v>188.44756988834902</v>
      </c>
      <c r="U121" s="536"/>
      <c r="V121" s="526"/>
      <c r="W121" s="526"/>
      <c r="X121" s="526"/>
      <c r="Y121" s="526"/>
      <c r="Z121" s="526"/>
      <c r="AA121" s="526"/>
      <c r="AB121" s="526"/>
      <c r="AC121" s="526"/>
      <c r="AD121" s="526"/>
      <c r="AE121" s="526"/>
      <c r="AF121" s="526"/>
      <c r="AG121" s="526"/>
      <c r="AH121" s="526"/>
      <c r="AI121" s="526"/>
      <c r="AJ121" s="526"/>
      <c r="AK121" s="526"/>
      <c r="AL121" s="526"/>
      <c r="AM121" s="526"/>
      <c r="AN121" s="526"/>
      <c r="AO121" s="526"/>
      <c r="AP121" s="526"/>
      <c r="AQ121" s="526"/>
      <c r="AR121" s="526"/>
      <c r="AS121" s="526"/>
      <c r="AT121" s="526"/>
      <c r="AU121" s="526"/>
      <c r="AV121" s="526"/>
      <c r="AW121" s="526"/>
      <c r="AX121" s="526"/>
      <c r="AY121" s="526"/>
      <c r="AZ121" s="526"/>
      <c r="BA121" s="526"/>
      <c r="BB121" s="526"/>
      <c r="BC121" s="53"/>
      <c r="BD121" s="53"/>
      <c r="BE121" s="53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  <c r="BT121" s="105"/>
      <c r="BU121" s="105"/>
    </row>
    <row r="122" spans="2:73" ht="43.5" customHeight="1" thickBot="1" x14ac:dyDescent="0.45">
      <c r="B122" s="537">
        <v>1</v>
      </c>
      <c r="C122" s="538"/>
      <c r="D122" s="530"/>
      <c r="E122" s="539"/>
      <c r="F122" s="539"/>
      <c r="G122" s="539"/>
      <c r="H122" s="540"/>
      <c r="I122" s="541"/>
      <c r="J122" s="542"/>
      <c r="K122" s="542"/>
      <c r="L122" s="542"/>
      <c r="M122" s="542"/>
      <c r="N122" s="542"/>
      <c r="O122" s="542"/>
      <c r="P122" s="542"/>
      <c r="Q122" s="542"/>
      <c r="R122" s="542"/>
      <c r="S122" s="543"/>
      <c r="T122" s="544"/>
      <c r="U122" s="502"/>
      <c r="V122" s="545"/>
      <c r="W122" s="545"/>
      <c r="X122" s="545"/>
      <c r="Y122" s="545"/>
      <c r="Z122" s="545"/>
      <c r="AA122" s="545"/>
      <c r="AB122" s="545"/>
      <c r="AC122" s="545"/>
      <c r="AD122" s="545"/>
      <c r="AE122" s="545"/>
      <c r="AF122" s="545"/>
      <c r="AG122" s="545"/>
      <c r="AH122" s="545"/>
      <c r="AI122" s="545"/>
      <c r="AJ122" s="545"/>
      <c r="AK122" s="545"/>
      <c r="AL122" s="545"/>
      <c r="AM122" s="545"/>
      <c r="AN122" s="545"/>
      <c r="AO122" s="545"/>
      <c r="AP122" s="545"/>
      <c r="AQ122" s="545"/>
      <c r="AR122" s="545"/>
      <c r="AS122" s="545"/>
      <c r="AT122" s="545"/>
      <c r="AU122" s="545"/>
      <c r="AV122" s="545"/>
      <c r="AW122" s="545"/>
      <c r="AX122" s="545"/>
      <c r="AY122" s="545"/>
      <c r="AZ122" s="545"/>
      <c r="BA122" s="739" t="s">
        <v>44</v>
      </c>
      <c r="BB122" s="740"/>
      <c r="BC122" s="53"/>
      <c r="BD122" s="53"/>
      <c r="BE122" s="53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  <c r="BT122" s="105"/>
      <c r="BU122" s="105"/>
    </row>
    <row r="123" spans="2:73" ht="75" hidden="1" customHeight="1" thickBot="1" x14ac:dyDescent="0.3">
      <c r="B123" s="546"/>
      <c r="C123" s="547"/>
      <c r="D123" s="548"/>
      <c r="E123" s="507"/>
      <c r="F123" s="507"/>
      <c r="G123" s="507"/>
      <c r="H123" s="549" t="s">
        <v>4</v>
      </c>
      <c r="I123" s="549" t="s">
        <v>1</v>
      </c>
      <c r="J123" s="534" t="s">
        <v>0</v>
      </c>
      <c r="K123" s="534" t="s">
        <v>2</v>
      </c>
      <c r="L123" s="534" t="s">
        <v>3</v>
      </c>
      <c r="M123" s="534" t="s">
        <v>8</v>
      </c>
      <c r="N123" s="534" t="s">
        <v>5</v>
      </c>
      <c r="O123" s="534" t="s">
        <v>6</v>
      </c>
      <c r="P123" s="534" t="s">
        <v>7</v>
      </c>
      <c r="Q123" s="534" t="s">
        <v>9</v>
      </c>
      <c r="R123" s="550" t="s">
        <v>10</v>
      </c>
      <c r="S123" s="534" t="s">
        <v>11</v>
      </c>
      <c r="T123" s="551" t="s">
        <v>12</v>
      </c>
      <c r="U123" s="34"/>
      <c r="V123" s="552"/>
      <c r="W123" s="552"/>
      <c r="X123" s="552"/>
      <c r="Y123" s="552"/>
      <c r="Z123" s="552"/>
      <c r="AA123" s="552"/>
      <c r="AB123" s="552"/>
      <c r="AC123" s="552"/>
      <c r="AD123" s="552"/>
      <c r="AE123" s="552"/>
      <c r="AF123" s="552"/>
      <c r="AG123" s="552"/>
      <c r="AH123" s="552"/>
      <c r="AI123" s="552"/>
      <c r="AJ123" s="553" t="s">
        <v>90</v>
      </c>
      <c r="AK123" s="553" t="s">
        <v>90</v>
      </c>
      <c r="AL123" s="553" t="s">
        <v>90</v>
      </c>
      <c r="AM123" s="553" t="s">
        <v>90</v>
      </c>
      <c r="AN123" s="553" t="s">
        <v>90</v>
      </c>
      <c r="AO123" s="553" t="s">
        <v>90</v>
      </c>
      <c r="AP123" s="552"/>
      <c r="AQ123" s="552"/>
      <c r="AR123" s="552"/>
      <c r="AS123" s="552"/>
      <c r="AT123" s="552"/>
      <c r="AU123" s="552"/>
      <c r="AV123" s="552"/>
      <c r="AW123" s="552"/>
      <c r="AX123" s="552"/>
      <c r="AY123" s="554"/>
      <c r="AZ123" s="552"/>
      <c r="BA123" s="552"/>
      <c r="BB123" s="552"/>
      <c r="BC123" s="53"/>
      <c r="BD123" s="53"/>
      <c r="BE123" s="53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  <c r="BT123" s="105"/>
      <c r="BU123" s="105"/>
    </row>
    <row r="124" spans="2:73" ht="55.5" hidden="1" customHeight="1" thickBot="1" x14ac:dyDescent="0.35">
      <c r="B124" s="555"/>
      <c r="C124" s="556"/>
      <c r="D124" s="557" t="s">
        <v>97</v>
      </c>
      <c r="E124" s="539"/>
      <c r="F124" s="558"/>
      <c r="G124" s="559"/>
      <c r="H124" s="560"/>
      <c r="I124" s="561"/>
      <c r="J124" s="501"/>
      <c r="K124" s="501"/>
      <c r="L124" s="501"/>
      <c r="M124" s="501"/>
      <c r="N124" s="501"/>
      <c r="O124" s="501"/>
      <c r="P124" s="501"/>
      <c r="Q124" s="501"/>
      <c r="R124" s="562"/>
      <c r="S124" s="501"/>
      <c r="T124" s="563"/>
      <c r="U124" s="34"/>
      <c r="V124" s="552"/>
      <c r="W124" s="552"/>
      <c r="X124" s="552"/>
      <c r="Y124" s="552"/>
      <c r="Z124" s="552"/>
      <c r="AA124" s="552"/>
      <c r="AB124" s="552"/>
      <c r="AC124" s="552"/>
      <c r="AD124" s="552"/>
      <c r="AE124" s="552"/>
      <c r="AF124" s="552" t="s">
        <v>34</v>
      </c>
      <c r="AG124" s="625" t="s">
        <v>100</v>
      </c>
      <c r="AH124" s="568" t="s">
        <v>27</v>
      </c>
      <c r="AI124" s="568"/>
      <c r="AJ124" s="569" t="s">
        <v>77</v>
      </c>
      <c r="AK124" s="570" t="s">
        <v>28</v>
      </c>
      <c r="AL124" s="571" t="s">
        <v>83</v>
      </c>
      <c r="AM124" s="569" t="s">
        <v>78</v>
      </c>
      <c r="AN124" s="572" t="s">
        <v>30</v>
      </c>
      <c r="AO124" s="571" t="s">
        <v>84</v>
      </c>
      <c r="AP124" s="639"/>
      <c r="AQ124" s="574" t="s">
        <v>119</v>
      </c>
      <c r="AR124" s="640"/>
      <c r="AS124" s="575" t="s">
        <v>33</v>
      </c>
      <c r="AT124" s="575" t="s">
        <v>35</v>
      </c>
      <c r="AU124" s="575"/>
      <c r="AV124" s="575" t="s">
        <v>36</v>
      </c>
      <c r="AW124" s="576" t="s">
        <v>37</v>
      </c>
      <c r="AX124" s="576" t="s">
        <v>38</v>
      </c>
      <c r="AY124" s="577" t="s">
        <v>20</v>
      </c>
      <c r="AZ124" s="577" t="s">
        <v>21</v>
      </c>
      <c r="BA124" s="578" t="s">
        <v>20</v>
      </c>
      <c r="BB124" s="578" t="s">
        <v>21</v>
      </c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  <c r="BT124" s="105"/>
      <c r="BU124" s="105"/>
    </row>
    <row r="125" spans="2:73" ht="18.75" hidden="1" thickBot="1" x14ac:dyDescent="0.3">
      <c r="B125" s="580">
        <v>1</v>
      </c>
      <c r="C125" s="581">
        <f>+D125+AI116</f>
        <v>30</v>
      </c>
      <c r="D125" s="604">
        <v>10</v>
      </c>
      <c r="E125" s="583"/>
      <c r="F125" s="584"/>
      <c r="G125" s="584">
        <f>+D125</f>
        <v>10</v>
      </c>
      <c r="H125" s="585">
        <v>188.8612</v>
      </c>
      <c r="I125" s="586">
        <v>67.527957799999996</v>
      </c>
      <c r="J125" s="587">
        <f>+I125-C125</f>
        <v>37.527957799999996</v>
      </c>
      <c r="K125" s="587">
        <f>+J125/2</f>
        <v>18.763978899999998</v>
      </c>
      <c r="L125" s="587">
        <f t="shared" ref="L125:L132" si="65">SIN(K125*3.14159265358979/180)</f>
        <v>0.32167048569291795</v>
      </c>
      <c r="M125" s="587">
        <f t="shared" ref="M125:M132" si="66">+L125*H125</f>
        <v>60.751073932547314</v>
      </c>
      <c r="N125" s="587">
        <f t="shared" ref="N125:N132" si="67">+M125*2</f>
        <v>121.50214786509463</v>
      </c>
      <c r="O125" s="587">
        <f>+C125/2</f>
        <v>15</v>
      </c>
      <c r="P125" s="587">
        <f t="shared" ref="P125:P132" si="68">SIN(O125*3.14159265358979/180)</f>
        <v>0.25881904510252052</v>
      </c>
      <c r="Q125" s="587">
        <f t="shared" ref="Q125:Q132" si="69">+P125*N125</f>
        <v>31.447069888349045</v>
      </c>
      <c r="R125" s="588">
        <v>157.00049999999999</v>
      </c>
      <c r="S125" s="587">
        <f>+R125+Q125</f>
        <v>188.44756988834902</v>
      </c>
      <c r="T125" s="589">
        <f t="shared" ref="T125:T132" si="70">+S125</f>
        <v>188.44756988834902</v>
      </c>
      <c r="V125" s="590">
        <f t="shared" ref="V125:V132" si="71">IF(B125&lt;($B$122+1),T125,0)</f>
        <v>188.44756988834902</v>
      </c>
      <c r="W125" s="590"/>
      <c r="X125" s="590"/>
      <c r="Y125" s="590"/>
      <c r="Z125" s="590"/>
      <c r="AA125" s="590"/>
      <c r="AB125" s="591"/>
      <c r="AC125" s="641"/>
      <c r="AD125" s="641"/>
      <c r="AE125" s="641"/>
      <c r="AF125" s="590">
        <f>SUM(V125:V132)/($B$122)</f>
        <v>188.44756988834902</v>
      </c>
      <c r="AG125" s="590">
        <f>+AA91+AF125+AA104</f>
        <v>368.34638762244623</v>
      </c>
      <c r="AH125" s="593">
        <f>C125</f>
        <v>30</v>
      </c>
      <c r="AI125" s="593"/>
      <c r="AJ125" s="595">
        <f>66.2555484-AH125</f>
        <v>36.255548399999995</v>
      </c>
      <c r="AK125" s="596">
        <f t="shared" ref="AK125:AK132" si="72">SIN(AJ125*3.14159265358979/180)</f>
        <v>0.59138773995112026</v>
      </c>
      <c r="AL125" s="595">
        <f>+AK125*304.3209</f>
        <v>179.97164927089088</v>
      </c>
      <c r="AM125" s="595">
        <f>50.0185497+AH125</f>
        <v>80.018549699999994</v>
      </c>
      <c r="AN125" s="596">
        <f>SIN(AM125*3.14159265358979/180)</f>
        <v>0.98486392057685967</v>
      </c>
      <c r="AO125" s="595">
        <f>+AN125*279.0605</f>
        <v>274.83661810813874</v>
      </c>
      <c r="AP125" s="642"/>
      <c r="AQ125" s="574">
        <f>12.2*B122</f>
        <v>12.2</v>
      </c>
      <c r="AR125" s="643"/>
      <c r="AS125" s="599">
        <f>+AO125+AL125</f>
        <v>454.80826737902964</v>
      </c>
      <c r="AT125" s="600">
        <f>+V125-AO125</f>
        <v>-86.389048219789714</v>
      </c>
      <c r="AU125" s="600"/>
      <c r="AV125" s="600">
        <f>+AF125-AT125</f>
        <v>274.83661810813874</v>
      </c>
      <c r="AW125" s="600">
        <f>+((AS125-AV125)/AS125)*AQ125</f>
        <v>4.8276477772886377</v>
      </c>
      <c r="AX125" s="600">
        <f>+(AV125/AS125)*AQ125</f>
        <v>7.3723522227113616</v>
      </c>
      <c r="AY125" s="601">
        <f t="shared" ref="AY125:AY132" si="73">2*$C$30/AW125</f>
        <v>2402.8264975277325</v>
      </c>
      <c r="AZ125" s="601">
        <f t="shared" ref="AZ125:AZ132" si="74">$D$30/AX125</f>
        <v>1356.41918588668</v>
      </c>
      <c r="BA125" s="601">
        <f>ABS(AY125)</f>
        <v>2402.8264975277325</v>
      </c>
      <c r="BB125" s="601">
        <f>ABS(AZ125)</f>
        <v>1356.41918588668</v>
      </c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  <c r="BT125" s="105"/>
      <c r="BU125" s="105"/>
    </row>
    <row r="126" spans="2:73" ht="18.75" hidden="1" thickBot="1" x14ac:dyDescent="0.3">
      <c r="B126" s="602">
        <v>2</v>
      </c>
      <c r="C126" s="603"/>
      <c r="D126" s="604">
        <v>20</v>
      </c>
      <c r="E126" s="605"/>
      <c r="F126" s="584"/>
      <c r="G126" s="584">
        <f t="shared" ref="G126:G132" si="75">+D126</f>
        <v>20</v>
      </c>
      <c r="H126" s="585">
        <v>188.8612</v>
      </c>
      <c r="I126" s="586">
        <v>67.527957799999996</v>
      </c>
      <c r="J126" s="587">
        <f t="shared" ref="J126:J132" si="76">+I126-D126</f>
        <v>47.527957799999996</v>
      </c>
      <c r="K126" s="587">
        <f t="shared" ref="K126:K132" si="77">+J126/2</f>
        <v>23.763978899999998</v>
      </c>
      <c r="L126" s="587">
        <f t="shared" si="65"/>
        <v>0.40296999357892477</v>
      </c>
      <c r="M126" s="587">
        <f t="shared" si="66"/>
        <v>76.105396551308019</v>
      </c>
      <c r="N126" s="587">
        <f t="shared" si="67"/>
        <v>152.21079310261604</v>
      </c>
      <c r="O126" s="587">
        <f>+C125+(D126/2)</f>
        <v>40</v>
      </c>
      <c r="P126" s="587">
        <f t="shared" si="68"/>
        <v>0.64278760968653881</v>
      </c>
      <c r="Q126" s="587">
        <f t="shared" si="69"/>
        <v>97.839211866922867</v>
      </c>
      <c r="R126" s="587">
        <f t="shared" ref="R126:R132" si="78">+T125</f>
        <v>188.44756988834902</v>
      </c>
      <c r="S126" s="587">
        <f>+R126+Q126</f>
        <v>286.28678175527187</v>
      </c>
      <c r="T126" s="589">
        <f t="shared" si="70"/>
        <v>286.28678175527187</v>
      </c>
      <c r="V126" s="590">
        <f t="shared" si="71"/>
        <v>0</v>
      </c>
      <c r="W126" s="590"/>
      <c r="X126" s="590"/>
      <c r="Y126" s="590"/>
      <c r="Z126" s="590"/>
      <c r="AA126" s="590"/>
      <c r="AB126" s="591"/>
      <c r="AC126" s="641"/>
      <c r="AD126" s="641"/>
      <c r="AE126" s="641"/>
      <c r="AF126" s="590" t="e">
        <f>SUM(V126:V132)/($B$122-B125)</f>
        <v>#DIV/0!</v>
      </c>
      <c r="AG126" s="590"/>
      <c r="AH126" s="593">
        <f>SUM(D126)+$C$125</f>
        <v>50</v>
      </c>
      <c r="AI126" s="593"/>
      <c r="AJ126" s="595">
        <f t="shared" ref="AJ126:AJ132" si="79">66.2555484-AH126</f>
        <v>16.255548399999995</v>
      </c>
      <c r="AK126" s="596">
        <f t="shared" si="72"/>
        <v>0.27992198188086886</v>
      </c>
      <c r="AL126" s="595">
        <f t="shared" ref="AL126:AL132" si="80">+AK126*304.3209</f>
        <v>85.18610945576971</v>
      </c>
      <c r="AM126" s="595">
        <f t="shared" ref="AM126:AM132" si="81">50.0185497+AH126</f>
        <v>100.01854969999999</v>
      </c>
      <c r="AN126" s="596">
        <f t="shared" ref="AN126:AN132" si="82">SIN(AM126*3.14159265358979/180)</f>
        <v>0.98475148222372599</v>
      </c>
      <c r="AO126" s="595">
        <f t="shared" ref="AO126:AO132" si="83">+AN126*279.0605</f>
        <v>274.8052410050941</v>
      </c>
      <c r="AP126" s="642"/>
      <c r="AQ126" s="574">
        <f>12.2*($B$122-B125)</f>
        <v>0</v>
      </c>
      <c r="AR126" s="643"/>
      <c r="AS126" s="599">
        <f t="shared" ref="AS126:AS132" si="84">+AO126+AL126</f>
        <v>359.99135046086383</v>
      </c>
      <c r="AT126" s="600">
        <f>+V126-AO126</f>
        <v>-274.8052410050941</v>
      </c>
      <c r="AU126" s="600"/>
      <c r="AV126" s="600" t="e">
        <f>+AF126-AT126</f>
        <v>#DIV/0!</v>
      </c>
      <c r="AW126" s="600" t="e">
        <f t="shared" ref="AW126:AW132" si="85">+((AS126-AV126)/AS126)*AQ126</f>
        <v>#DIV/0!</v>
      </c>
      <c r="AX126" s="600" t="e">
        <f t="shared" ref="AX126:AX132" si="86">+(AV126/AS126)*AQ126</f>
        <v>#DIV/0!</v>
      </c>
      <c r="AY126" s="601" t="e">
        <f t="shared" si="73"/>
        <v>#DIV/0!</v>
      </c>
      <c r="AZ126" s="601" t="e">
        <f t="shared" si="74"/>
        <v>#DIV/0!</v>
      </c>
      <c r="BA126" s="601" t="e">
        <f t="shared" ref="BA126:BB132" si="87">ABS(AY126)</f>
        <v>#DIV/0!</v>
      </c>
      <c r="BB126" s="601" t="e">
        <f t="shared" si="87"/>
        <v>#DIV/0!</v>
      </c>
      <c r="BF126" s="105"/>
      <c r="BG126" s="53"/>
      <c r="BH126" s="53"/>
      <c r="BI126" s="53"/>
      <c r="BJ126" s="53"/>
      <c r="BK126" s="105"/>
      <c r="BL126" s="105"/>
      <c r="BM126" s="105"/>
      <c r="BN126" s="105"/>
      <c r="BO126" s="105"/>
      <c r="BP126" s="105"/>
      <c r="BQ126" s="105"/>
      <c r="BR126" s="105"/>
      <c r="BS126" s="105"/>
      <c r="BT126" s="105"/>
      <c r="BU126" s="105"/>
    </row>
    <row r="127" spans="2:73" ht="18.75" hidden="1" thickBot="1" x14ac:dyDescent="0.3">
      <c r="B127" s="602">
        <v>3</v>
      </c>
      <c r="C127" s="603"/>
      <c r="D127" s="604">
        <v>20</v>
      </c>
      <c r="E127" s="605"/>
      <c r="F127" s="584"/>
      <c r="G127" s="584">
        <f t="shared" si="75"/>
        <v>20</v>
      </c>
      <c r="H127" s="585">
        <v>188.8612</v>
      </c>
      <c r="I127" s="586">
        <v>67.527957799999996</v>
      </c>
      <c r="J127" s="587">
        <f t="shared" si="76"/>
        <v>47.527957799999996</v>
      </c>
      <c r="K127" s="587">
        <f t="shared" si="77"/>
        <v>23.763978899999998</v>
      </c>
      <c r="L127" s="587">
        <f t="shared" si="65"/>
        <v>0.40296999357892477</v>
      </c>
      <c r="M127" s="587">
        <f t="shared" si="66"/>
        <v>76.105396551308019</v>
      </c>
      <c r="N127" s="587">
        <f t="shared" si="67"/>
        <v>152.21079310261604</v>
      </c>
      <c r="O127" s="587">
        <f>+C125+D126+(D127/2)</f>
        <v>60</v>
      </c>
      <c r="P127" s="587">
        <f t="shared" si="68"/>
        <v>0.86602540378443815</v>
      </c>
      <c r="Q127" s="587">
        <f t="shared" si="69"/>
        <v>131.81841355704262</v>
      </c>
      <c r="R127" s="587">
        <f t="shared" si="78"/>
        <v>286.28678175527187</v>
      </c>
      <c r="S127" s="587">
        <f t="shared" ref="S127:S132" si="88">+S126+Q127</f>
        <v>418.10519531231449</v>
      </c>
      <c r="T127" s="589">
        <f t="shared" si="70"/>
        <v>418.10519531231449</v>
      </c>
      <c r="V127" s="590">
        <f t="shared" si="71"/>
        <v>0</v>
      </c>
      <c r="W127" s="590"/>
      <c r="X127" s="590"/>
      <c r="Y127" s="590"/>
      <c r="Z127" s="590"/>
      <c r="AA127" s="590"/>
      <c r="AB127" s="591"/>
      <c r="AC127" s="641"/>
      <c r="AD127" s="641"/>
      <c r="AE127" s="641"/>
      <c r="AF127" s="590">
        <f>SUM(V127:V132)/($B$122-B126)</f>
        <v>0</v>
      </c>
      <c r="AG127" s="590"/>
      <c r="AH127" s="593">
        <f>SUM(D126:D127)+$C$125</f>
        <v>70</v>
      </c>
      <c r="AI127" s="593"/>
      <c r="AJ127" s="595">
        <f t="shared" si="79"/>
        <v>-3.744451600000005</v>
      </c>
      <c r="AK127" s="596">
        <f t="shared" si="72"/>
        <v>-6.5306498412681727E-2</v>
      </c>
      <c r="AL127" s="595">
        <f t="shared" si="80"/>
        <v>-19.874132372795874</v>
      </c>
      <c r="AM127" s="595">
        <f t="shared" si="81"/>
        <v>120.01854969999999</v>
      </c>
      <c r="AN127" s="596">
        <f t="shared" si="82"/>
        <v>0.86586348173038241</v>
      </c>
      <c r="AO127" s="595">
        <f t="shared" si="83"/>
        <v>241.62829614342138</v>
      </c>
      <c r="AP127" s="642"/>
      <c r="AQ127" s="574">
        <f t="shared" ref="AQ127:AQ132" si="89">12.2*($B$122-B126)</f>
        <v>-12.2</v>
      </c>
      <c r="AR127" s="643"/>
      <c r="AS127" s="599">
        <f t="shared" si="84"/>
        <v>221.7541637706255</v>
      </c>
      <c r="AT127" s="600">
        <f>+V127-AO127</f>
        <v>-241.62829614342138</v>
      </c>
      <c r="AU127" s="600"/>
      <c r="AV127" s="600">
        <f>+AF127-AT127</f>
        <v>241.62829614342138</v>
      </c>
      <c r="AW127" s="600">
        <f t="shared" si="85"/>
        <v>1.0933928401854325</v>
      </c>
      <c r="AX127" s="600">
        <f t="shared" si="86"/>
        <v>-13.293392840185431</v>
      </c>
      <c r="AY127" s="601">
        <f t="shared" si="73"/>
        <v>10609.178671805381</v>
      </c>
      <c r="AZ127" s="601">
        <f t="shared" si="74"/>
        <v>-752.25340289127485</v>
      </c>
      <c r="BA127" s="601">
        <f t="shared" si="87"/>
        <v>10609.178671805381</v>
      </c>
      <c r="BB127" s="601">
        <f t="shared" si="87"/>
        <v>752.25340289127485</v>
      </c>
      <c r="BF127" s="105"/>
      <c r="BG127" s="53"/>
      <c r="BH127" s="53"/>
      <c r="BI127" s="53"/>
      <c r="BJ127" s="53"/>
      <c r="BK127" s="105"/>
      <c r="BL127" s="105"/>
      <c r="BM127" s="105"/>
      <c r="BN127" s="105"/>
      <c r="BO127" s="105"/>
      <c r="BP127" s="105"/>
      <c r="BQ127" s="105"/>
      <c r="BR127" s="105"/>
      <c r="BS127" s="105"/>
      <c r="BT127" s="105"/>
      <c r="BU127" s="105"/>
    </row>
    <row r="128" spans="2:73" ht="18.75" hidden="1" thickBot="1" x14ac:dyDescent="0.3">
      <c r="B128" s="602">
        <v>4</v>
      </c>
      <c r="C128" s="603"/>
      <c r="D128" s="604">
        <v>20</v>
      </c>
      <c r="E128" s="605"/>
      <c r="F128" s="584"/>
      <c r="G128" s="584">
        <f t="shared" si="75"/>
        <v>20</v>
      </c>
      <c r="H128" s="585">
        <v>188.8612</v>
      </c>
      <c r="I128" s="586">
        <v>67.527957799999996</v>
      </c>
      <c r="J128" s="587">
        <f t="shared" si="76"/>
        <v>47.527957799999996</v>
      </c>
      <c r="K128" s="587">
        <f t="shared" si="77"/>
        <v>23.763978899999998</v>
      </c>
      <c r="L128" s="587">
        <f t="shared" si="65"/>
        <v>0.40296999357892477</v>
      </c>
      <c r="M128" s="587">
        <f t="shared" si="66"/>
        <v>76.105396551308019</v>
      </c>
      <c r="N128" s="587">
        <f t="shared" si="67"/>
        <v>152.21079310261604</v>
      </c>
      <c r="O128" s="587">
        <f>+C125+D126+D127+(D128/2)</f>
        <v>80</v>
      </c>
      <c r="P128" s="587">
        <f t="shared" si="68"/>
        <v>0.9848077530122078</v>
      </c>
      <c r="Q128" s="587">
        <f t="shared" si="69"/>
        <v>149.89836913959337</v>
      </c>
      <c r="R128" s="587">
        <f t="shared" si="78"/>
        <v>418.10519531231449</v>
      </c>
      <c r="S128" s="587">
        <f t="shared" si="88"/>
        <v>568.00356445190789</v>
      </c>
      <c r="T128" s="589">
        <f t="shared" si="70"/>
        <v>568.00356445190789</v>
      </c>
      <c r="V128" s="590">
        <f t="shared" si="71"/>
        <v>0</v>
      </c>
      <c r="W128" s="590"/>
      <c r="X128" s="590"/>
      <c r="Y128" s="590"/>
      <c r="Z128" s="590"/>
      <c r="AA128" s="590"/>
      <c r="AB128" s="591"/>
      <c r="AC128" s="641"/>
      <c r="AD128" s="641"/>
      <c r="AE128" s="641"/>
      <c r="AF128" s="590">
        <f>SUM(V128:V133)/($B$122-B127)</f>
        <v>0</v>
      </c>
      <c r="AG128" s="590"/>
      <c r="AH128" s="593">
        <f>SUM(D126:D128)+$C$125</f>
        <v>90</v>
      </c>
      <c r="AI128" s="593"/>
      <c r="AJ128" s="595">
        <f t="shared" si="79"/>
        <v>-23.744451600000005</v>
      </c>
      <c r="AK128" s="596">
        <f t="shared" si="72"/>
        <v>-0.40265805117639619</v>
      </c>
      <c r="AL128" s="595">
        <f t="shared" si="80"/>
        <v>-122.53726052624694</v>
      </c>
      <c r="AM128" s="595">
        <f t="shared" si="81"/>
        <v>140.01854969999999</v>
      </c>
      <c r="AN128" s="596">
        <f t="shared" si="82"/>
        <v>0.6425395665563437</v>
      </c>
      <c r="AO128" s="595">
        <f t="shared" si="83"/>
        <v>179.30741271299655</v>
      </c>
      <c r="AP128" s="642"/>
      <c r="AQ128" s="574">
        <f t="shared" si="89"/>
        <v>-24.4</v>
      </c>
      <c r="AR128" s="643"/>
      <c r="AS128" s="599">
        <f t="shared" si="84"/>
        <v>56.770152186749613</v>
      </c>
      <c r="AT128" s="600">
        <f>+V128-AO128</f>
        <v>-179.30741271299655</v>
      </c>
      <c r="AU128" s="600"/>
      <c r="AV128" s="600">
        <f t="shared" ref="AV128:AV132" si="90">+AF128-AT128</f>
        <v>179.30741271299655</v>
      </c>
      <c r="AW128" s="600">
        <f t="shared" si="85"/>
        <v>52.666921642290092</v>
      </c>
      <c r="AX128" s="600">
        <f t="shared" si="86"/>
        <v>-77.066921642290097</v>
      </c>
      <c r="AY128" s="601">
        <f t="shared" si="73"/>
        <v>220.25209824842921</v>
      </c>
      <c r="AZ128" s="601">
        <f t="shared" si="74"/>
        <v>-129.75735616397773</v>
      </c>
      <c r="BA128" s="601">
        <f t="shared" si="87"/>
        <v>220.25209824842921</v>
      </c>
      <c r="BB128" s="601">
        <f t="shared" si="87"/>
        <v>129.75735616397773</v>
      </c>
      <c r="BF128" s="105"/>
      <c r="BG128" s="53"/>
      <c r="BH128" s="53"/>
      <c r="BI128" s="53"/>
      <c r="BJ128" s="53"/>
      <c r="BK128" s="105"/>
      <c r="BL128" s="105"/>
      <c r="BM128" s="105"/>
      <c r="BN128" s="105"/>
      <c r="BO128" s="105"/>
      <c r="BP128" s="105"/>
      <c r="BQ128" s="105"/>
      <c r="BR128" s="105"/>
      <c r="BS128" s="105"/>
      <c r="BT128" s="105"/>
      <c r="BU128" s="105"/>
    </row>
    <row r="129" spans="2:105" ht="18.75" hidden="1" thickBot="1" x14ac:dyDescent="0.3">
      <c r="B129" s="602">
        <v>5</v>
      </c>
      <c r="C129" s="603"/>
      <c r="D129" s="604">
        <v>20</v>
      </c>
      <c r="E129" s="605"/>
      <c r="F129" s="584"/>
      <c r="G129" s="584">
        <f t="shared" si="75"/>
        <v>20</v>
      </c>
      <c r="H129" s="585">
        <v>188.8612</v>
      </c>
      <c r="I129" s="586">
        <v>67.527957799999996</v>
      </c>
      <c r="J129" s="587">
        <f t="shared" si="76"/>
        <v>47.527957799999996</v>
      </c>
      <c r="K129" s="587">
        <f t="shared" si="77"/>
        <v>23.763978899999998</v>
      </c>
      <c r="L129" s="587">
        <f t="shared" si="65"/>
        <v>0.40296999357892477</v>
      </c>
      <c r="M129" s="587">
        <f t="shared" si="66"/>
        <v>76.105396551308019</v>
      </c>
      <c r="N129" s="587">
        <f t="shared" si="67"/>
        <v>152.21079310261604</v>
      </c>
      <c r="O129" s="587">
        <f>+C125+D126+D127+D128+(D129/2)</f>
        <v>100</v>
      </c>
      <c r="P129" s="587">
        <f t="shared" si="68"/>
        <v>0.98480775301220835</v>
      </c>
      <c r="Q129" s="587">
        <f t="shared" si="69"/>
        <v>149.89836913959343</v>
      </c>
      <c r="R129" s="587">
        <f t="shared" si="78"/>
        <v>568.00356445190789</v>
      </c>
      <c r="S129" s="587">
        <f t="shared" si="88"/>
        <v>717.90193359150135</v>
      </c>
      <c r="T129" s="589">
        <f t="shared" si="70"/>
        <v>717.90193359150135</v>
      </c>
      <c r="V129" s="590">
        <f t="shared" si="71"/>
        <v>0</v>
      </c>
      <c r="W129" s="590"/>
      <c r="X129" s="590"/>
      <c r="Y129" s="590"/>
      <c r="Z129" s="590"/>
      <c r="AA129" s="590"/>
      <c r="AB129" s="591"/>
      <c r="AC129" s="641"/>
      <c r="AD129" s="641"/>
      <c r="AE129" s="641"/>
      <c r="AF129" s="590">
        <f>SUM(V129:V134)/($B$122-B128)</f>
        <v>0</v>
      </c>
      <c r="AG129" s="590"/>
      <c r="AH129" s="593">
        <f>SUM(D126:D129)+$C$125</f>
        <v>110</v>
      </c>
      <c r="AI129" s="593"/>
      <c r="AJ129" s="595">
        <f t="shared" si="79"/>
        <v>-43.744451600000005</v>
      </c>
      <c r="AK129" s="596">
        <f t="shared" si="72"/>
        <v>-0.6914431003683067</v>
      </c>
      <c r="AL129" s="595">
        <f t="shared" si="80"/>
        <v>-210.42058660287341</v>
      </c>
      <c r="AM129" s="595">
        <f t="shared" si="81"/>
        <v>160.01854969999999</v>
      </c>
      <c r="AN129" s="596">
        <f t="shared" si="82"/>
        <v>0.34171589678156161</v>
      </c>
      <c r="AO129" s="595">
        <f t="shared" si="83"/>
        <v>95.359409013810975</v>
      </c>
      <c r="AP129" s="642"/>
      <c r="AQ129" s="574">
        <f t="shared" si="89"/>
        <v>-36.599999999999994</v>
      </c>
      <c r="AR129" s="643"/>
      <c r="AS129" s="599">
        <f t="shared" si="84"/>
        <v>-115.06117758906244</v>
      </c>
      <c r="AT129" s="600">
        <f t="shared" ref="AT129:AT132" si="91">+V129-AO129</f>
        <v>-95.359409013810975</v>
      </c>
      <c r="AU129" s="600"/>
      <c r="AV129" s="600">
        <f t="shared" si="90"/>
        <v>95.359409013810975</v>
      </c>
      <c r="AW129" s="600">
        <f t="shared" si="85"/>
        <v>-66.93303189691369</v>
      </c>
      <c r="AX129" s="600">
        <f t="shared" si="86"/>
        <v>30.333031896913685</v>
      </c>
      <c r="AY129" s="601">
        <f t="shared" si="73"/>
        <v>-173.3075534045079</v>
      </c>
      <c r="AZ129" s="601">
        <f t="shared" si="74"/>
        <v>329.67360579004554</v>
      </c>
      <c r="BA129" s="601">
        <f t="shared" si="87"/>
        <v>173.3075534045079</v>
      </c>
      <c r="BB129" s="601">
        <f t="shared" si="87"/>
        <v>329.67360579004554</v>
      </c>
      <c r="BF129" s="105"/>
      <c r="BG129" s="53"/>
      <c r="BH129" s="53"/>
      <c r="BI129" s="53"/>
      <c r="BJ129" s="53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05"/>
      <c r="BU129" s="105"/>
    </row>
    <row r="130" spans="2:105" ht="18.75" hidden="1" thickBot="1" x14ac:dyDescent="0.3">
      <c r="B130" s="602">
        <v>6</v>
      </c>
      <c r="C130" s="603"/>
      <c r="D130" s="604">
        <v>20</v>
      </c>
      <c r="E130" s="605"/>
      <c r="F130" s="584"/>
      <c r="G130" s="584">
        <f t="shared" si="75"/>
        <v>20</v>
      </c>
      <c r="H130" s="585">
        <v>188.8612</v>
      </c>
      <c r="I130" s="586">
        <v>67.527957799999996</v>
      </c>
      <c r="J130" s="587">
        <f t="shared" si="76"/>
        <v>47.527957799999996</v>
      </c>
      <c r="K130" s="587">
        <f t="shared" si="77"/>
        <v>23.763978899999998</v>
      </c>
      <c r="L130" s="587">
        <f t="shared" si="65"/>
        <v>0.40296999357892477</v>
      </c>
      <c r="M130" s="587">
        <f t="shared" si="66"/>
        <v>76.105396551308019</v>
      </c>
      <c r="N130" s="587">
        <f t="shared" si="67"/>
        <v>152.21079310261604</v>
      </c>
      <c r="O130" s="587">
        <f>+C125+D126+D127+D128+D129+(D130/2)</f>
        <v>120</v>
      </c>
      <c r="P130" s="587">
        <f t="shared" si="68"/>
        <v>0.8660254037844396</v>
      </c>
      <c r="Q130" s="587">
        <f t="shared" si="69"/>
        <v>131.81841355704285</v>
      </c>
      <c r="R130" s="587">
        <f t="shared" si="78"/>
        <v>717.90193359150135</v>
      </c>
      <c r="S130" s="587">
        <f t="shared" si="88"/>
        <v>849.72034714854419</v>
      </c>
      <c r="T130" s="589">
        <f t="shared" si="70"/>
        <v>849.72034714854419</v>
      </c>
      <c r="V130" s="590">
        <f t="shared" si="71"/>
        <v>0</v>
      </c>
      <c r="W130" s="590"/>
      <c r="X130" s="590"/>
      <c r="Y130" s="590"/>
      <c r="Z130" s="590"/>
      <c r="AA130" s="590"/>
      <c r="AB130" s="591"/>
      <c r="AC130" s="641"/>
      <c r="AD130" s="641"/>
      <c r="AE130" s="641"/>
      <c r="AF130" s="590">
        <f>SUM(V130:V135)/($B$122-B129)</f>
        <v>0</v>
      </c>
      <c r="AG130" s="590"/>
      <c r="AH130" s="593">
        <f>SUM(D126:D130)+$C$125</f>
        <v>130</v>
      </c>
      <c r="AI130" s="593"/>
      <c r="AJ130" s="595">
        <f t="shared" si="79"/>
        <v>-63.744451600000005</v>
      </c>
      <c r="AK130" s="596">
        <f t="shared" si="72"/>
        <v>-0.89682990704246002</v>
      </c>
      <c r="AL130" s="595">
        <f t="shared" si="80"/>
        <v>-272.92408445807774</v>
      </c>
      <c r="AM130" s="595">
        <f t="shared" si="81"/>
        <v>180.01854969999999</v>
      </c>
      <c r="AN130" s="596">
        <f t="shared" si="82"/>
        <v>-3.2375333459769561E-4</v>
      </c>
      <c r="AO130" s="595">
        <f t="shared" si="83"/>
        <v>-9.0346767429500235E-2</v>
      </c>
      <c r="AP130" s="642"/>
      <c r="AQ130" s="574">
        <f t="shared" si="89"/>
        <v>-48.8</v>
      </c>
      <c r="AR130" s="643"/>
      <c r="AS130" s="599">
        <f t="shared" si="84"/>
        <v>-273.01443122550722</v>
      </c>
      <c r="AT130" s="600">
        <f t="shared" si="91"/>
        <v>9.0346767429500235E-2</v>
      </c>
      <c r="AU130" s="600"/>
      <c r="AV130" s="600">
        <f t="shared" si="90"/>
        <v>-9.0346767429500235E-2</v>
      </c>
      <c r="AW130" s="600">
        <f t="shared" si="85"/>
        <v>-48.783850955311159</v>
      </c>
      <c r="AX130" s="600">
        <f t="shared" si="86"/>
        <v>-1.6149044688842418E-2</v>
      </c>
      <c r="AY130" s="601">
        <f t="shared" si="73"/>
        <v>-237.78360610822367</v>
      </c>
      <c r="AZ130" s="601">
        <f t="shared" si="74"/>
        <v>-619231.67547546187</v>
      </c>
      <c r="BA130" s="601">
        <f t="shared" si="87"/>
        <v>237.78360610822367</v>
      </c>
      <c r="BB130" s="601">
        <f t="shared" si="87"/>
        <v>619231.67547546187</v>
      </c>
      <c r="BF130" s="106"/>
      <c r="BG130" s="53"/>
      <c r="BH130" s="53"/>
      <c r="BI130" s="53"/>
      <c r="BJ130" s="53"/>
      <c r="BK130" s="105"/>
      <c r="BL130" s="105"/>
      <c r="BM130" s="105"/>
      <c r="BN130" s="105"/>
      <c r="BO130" s="105"/>
      <c r="BP130" s="105"/>
      <c r="BQ130" s="105"/>
      <c r="BR130" s="105"/>
      <c r="BS130" s="105"/>
      <c r="BT130" s="105"/>
      <c r="BU130" s="105"/>
    </row>
    <row r="131" spans="2:105" ht="18.75" hidden="1" thickBot="1" x14ac:dyDescent="0.3">
      <c r="B131" s="602">
        <v>7</v>
      </c>
      <c r="C131" s="603"/>
      <c r="D131" s="604">
        <v>20</v>
      </c>
      <c r="E131" s="605"/>
      <c r="F131" s="584"/>
      <c r="G131" s="584">
        <f t="shared" si="75"/>
        <v>20</v>
      </c>
      <c r="H131" s="585">
        <v>188.8612</v>
      </c>
      <c r="I131" s="586">
        <v>67.527957799999996</v>
      </c>
      <c r="J131" s="587">
        <f t="shared" si="76"/>
        <v>47.527957799999996</v>
      </c>
      <c r="K131" s="587">
        <f t="shared" si="77"/>
        <v>23.763978899999998</v>
      </c>
      <c r="L131" s="587">
        <f t="shared" si="65"/>
        <v>0.40296999357892477</v>
      </c>
      <c r="M131" s="587">
        <f t="shared" si="66"/>
        <v>76.105396551308019</v>
      </c>
      <c r="N131" s="587">
        <f t="shared" si="67"/>
        <v>152.21079310261604</v>
      </c>
      <c r="O131" s="587">
        <f>+C125+D127+D128+D129+D130+D126+(D131/2)</f>
        <v>140</v>
      </c>
      <c r="P131" s="587">
        <f t="shared" si="68"/>
        <v>0.64278760968654114</v>
      </c>
      <c r="Q131" s="587">
        <f t="shared" si="69"/>
        <v>97.839211866923222</v>
      </c>
      <c r="R131" s="587">
        <f t="shared" si="78"/>
        <v>849.72034714854419</v>
      </c>
      <c r="S131" s="587">
        <f t="shared" si="88"/>
        <v>947.55955901546736</v>
      </c>
      <c r="T131" s="589">
        <f t="shared" si="70"/>
        <v>947.55955901546736</v>
      </c>
      <c r="V131" s="590">
        <f t="shared" si="71"/>
        <v>0</v>
      </c>
      <c r="W131" s="590"/>
      <c r="X131" s="590"/>
      <c r="Y131" s="590"/>
      <c r="Z131" s="590"/>
      <c r="AA131" s="590"/>
      <c r="AB131" s="591"/>
      <c r="AC131" s="641"/>
      <c r="AD131" s="641"/>
      <c r="AE131" s="641"/>
      <c r="AF131" s="590">
        <f t="shared" ref="AF131:AF132" si="92">SUM(V131:V136)/($B$122-B130)</f>
        <v>0</v>
      </c>
      <c r="AG131" s="590"/>
      <c r="AH131" s="593">
        <f>SUM(D126:D131)+$C$125</f>
        <v>150</v>
      </c>
      <c r="AI131" s="593"/>
      <c r="AJ131" s="595">
        <f t="shared" si="79"/>
        <v>-83.744451600000005</v>
      </c>
      <c r="AK131" s="596">
        <f t="shared" si="72"/>
        <v>-0.99404579112751723</v>
      </c>
      <c r="AL131" s="595">
        <f t="shared" si="80"/>
        <v>-302.50890979713807</v>
      </c>
      <c r="AM131" s="595">
        <f t="shared" si="81"/>
        <v>200.01854969999999</v>
      </c>
      <c r="AN131" s="596">
        <f t="shared" si="82"/>
        <v>-0.34232435402051542</v>
      </c>
      <c r="AO131" s="595">
        <f t="shared" si="83"/>
        <v>-95.529205395142043</v>
      </c>
      <c r="AP131" s="642"/>
      <c r="AQ131" s="574">
        <f t="shared" si="89"/>
        <v>-61</v>
      </c>
      <c r="AR131" s="643"/>
      <c r="AS131" s="599">
        <f t="shared" si="84"/>
        <v>-398.03811519228009</v>
      </c>
      <c r="AT131" s="600">
        <f t="shared" si="91"/>
        <v>95.529205395142043</v>
      </c>
      <c r="AU131" s="600"/>
      <c r="AV131" s="600">
        <f t="shared" si="90"/>
        <v>-95.529205395142043</v>
      </c>
      <c r="AW131" s="600">
        <f t="shared" si="85"/>
        <v>-46.35999114987095</v>
      </c>
      <c r="AX131" s="600">
        <f t="shared" si="86"/>
        <v>-14.640008850129046</v>
      </c>
      <c r="AY131" s="601">
        <f t="shared" si="73"/>
        <v>-250.21575095862136</v>
      </c>
      <c r="AZ131" s="601">
        <f t="shared" si="74"/>
        <v>-683.05969636841121</v>
      </c>
      <c r="BA131" s="601">
        <f t="shared" si="87"/>
        <v>250.21575095862136</v>
      </c>
      <c r="BB131" s="601">
        <f t="shared" si="87"/>
        <v>683.05969636841121</v>
      </c>
      <c r="BF131" s="106"/>
      <c r="BG131" s="53"/>
      <c r="BH131" s="53"/>
      <c r="BI131" s="53"/>
      <c r="BJ131" s="53"/>
      <c r="BK131" s="105"/>
      <c r="BL131" s="105"/>
      <c r="BM131" s="105"/>
      <c r="BN131" s="105"/>
      <c r="BO131" s="105"/>
      <c r="BP131" s="105"/>
      <c r="BQ131" s="105"/>
      <c r="BR131" s="105"/>
      <c r="BS131" s="105"/>
      <c r="BT131" s="105"/>
      <c r="BU131" s="105"/>
    </row>
    <row r="132" spans="2:105" ht="18.75" hidden="1" thickBot="1" x14ac:dyDescent="0.3">
      <c r="B132" s="602">
        <v>8</v>
      </c>
      <c r="C132" s="603"/>
      <c r="D132" s="604">
        <v>20</v>
      </c>
      <c r="E132" s="605"/>
      <c r="F132" s="584"/>
      <c r="G132" s="584">
        <f t="shared" si="75"/>
        <v>20</v>
      </c>
      <c r="H132" s="585">
        <v>188.8612</v>
      </c>
      <c r="I132" s="586">
        <v>67.527957799999996</v>
      </c>
      <c r="J132" s="587">
        <f t="shared" si="76"/>
        <v>47.527957799999996</v>
      </c>
      <c r="K132" s="587">
        <f t="shared" si="77"/>
        <v>23.763978899999998</v>
      </c>
      <c r="L132" s="587">
        <f t="shared" si="65"/>
        <v>0.40296999357892477</v>
      </c>
      <c r="M132" s="587">
        <f t="shared" si="66"/>
        <v>76.105396551308019</v>
      </c>
      <c r="N132" s="587">
        <f t="shared" si="67"/>
        <v>152.21079310261604</v>
      </c>
      <c r="O132" s="587">
        <f>+C125+D128+D129+D130+D131+D127+D126+(D132/2)</f>
        <v>160</v>
      </c>
      <c r="P132" s="587">
        <f t="shared" si="68"/>
        <v>0.34202014332567138</v>
      </c>
      <c r="Q132" s="587">
        <f t="shared" si="69"/>
        <v>52.059157272670852</v>
      </c>
      <c r="R132" s="587">
        <f t="shared" si="78"/>
        <v>947.55955901546736</v>
      </c>
      <c r="S132" s="587">
        <f t="shared" si="88"/>
        <v>999.61871628813822</v>
      </c>
      <c r="T132" s="589">
        <f t="shared" si="70"/>
        <v>999.61871628813822</v>
      </c>
      <c r="V132" s="590">
        <f t="shared" si="71"/>
        <v>0</v>
      </c>
      <c r="W132" s="590"/>
      <c r="X132" s="590"/>
      <c r="Y132" s="590"/>
      <c r="Z132" s="590"/>
      <c r="AA132" s="590"/>
      <c r="AB132" s="591"/>
      <c r="AC132" s="641"/>
      <c r="AD132" s="641"/>
      <c r="AE132" s="641"/>
      <c r="AF132" s="590">
        <f t="shared" si="92"/>
        <v>0</v>
      </c>
      <c r="AG132" s="590"/>
      <c r="AH132" s="593">
        <f>SUM(D126:D132)+$C$125</f>
        <v>170</v>
      </c>
      <c r="AI132" s="593"/>
      <c r="AJ132" s="595">
        <f t="shared" si="79"/>
        <v>-103.7444516</v>
      </c>
      <c r="AK132" s="596">
        <f t="shared" si="72"/>
        <v>-0.97136508224917684</v>
      </c>
      <c r="AL132" s="595">
        <f t="shared" si="80"/>
        <v>-295.60669605864354</v>
      </c>
      <c r="AM132" s="595">
        <f t="shared" si="81"/>
        <v>220.01854969999999</v>
      </c>
      <c r="AN132" s="596">
        <f t="shared" si="82"/>
        <v>-0.64303558544216366</v>
      </c>
      <c r="AO132" s="595">
        <f t="shared" si="83"/>
        <v>-179.44583199128292</v>
      </c>
      <c r="AP132" s="642"/>
      <c r="AQ132" s="574">
        <f t="shared" si="89"/>
        <v>-73.199999999999989</v>
      </c>
      <c r="AR132" s="643"/>
      <c r="AS132" s="599">
        <f t="shared" si="84"/>
        <v>-475.05252804992642</v>
      </c>
      <c r="AT132" s="600">
        <f t="shared" si="91"/>
        <v>179.44583199128292</v>
      </c>
      <c r="AU132" s="600"/>
      <c r="AV132" s="600">
        <f t="shared" si="90"/>
        <v>-179.44583199128292</v>
      </c>
      <c r="AW132" s="600">
        <f t="shared" si="85"/>
        <v>-45.549510577951445</v>
      </c>
      <c r="AX132" s="600">
        <f t="shared" si="86"/>
        <v>-27.650489422048537</v>
      </c>
      <c r="AY132" s="601">
        <f t="shared" si="73"/>
        <v>-254.66793940954133</v>
      </c>
      <c r="AZ132" s="601">
        <f t="shared" si="74"/>
        <v>-361.65725124655432</v>
      </c>
      <c r="BA132" s="601">
        <f t="shared" si="87"/>
        <v>254.66793940954133</v>
      </c>
      <c r="BB132" s="601">
        <f t="shared" si="87"/>
        <v>361.65725124655432</v>
      </c>
      <c r="BF132" s="106"/>
      <c r="BG132" s="194"/>
      <c r="BH132" s="194"/>
      <c r="BI132" s="194"/>
      <c r="BJ132" s="194"/>
      <c r="BK132" s="194"/>
      <c r="BL132" s="194"/>
      <c r="BM132" s="194"/>
      <c r="BN132" s="194"/>
      <c r="BO132" s="194"/>
      <c r="BP132" s="194"/>
      <c r="BQ132" s="194"/>
      <c r="BR132" s="194"/>
      <c r="BS132" s="194"/>
      <c r="BT132" s="194"/>
      <c r="BU132" s="105"/>
    </row>
    <row r="133" spans="2:105" hidden="1" x14ac:dyDescent="0.25">
      <c r="BF133" s="106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  <c r="BT133" s="105"/>
      <c r="BU133" s="105"/>
    </row>
    <row r="134" spans="2:105" hidden="1" x14ac:dyDescent="0.25">
      <c r="BF134" s="195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96"/>
      <c r="BU134" s="105"/>
    </row>
    <row r="135" spans="2:105" hidden="1" x14ac:dyDescent="0.25">
      <c r="BF135" s="106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  <c r="BU135" s="105"/>
    </row>
    <row r="136" spans="2:105" hidden="1" x14ac:dyDescent="0.25"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  <c r="BT136" s="105"/>
      <c r="BU136" s="105"/>
    </row>
    <row r="137" spans="2:105" hidden="1" x14ac:dyDescent="0.25">
      <c r="BF137" s="105"/>
      <c r="BG137" s="106"/>
      <c r="BH137" s="197"/>
      <c r="BI137" s="197"/>
      <c r="BJ137" s="197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5"/>
    </row>
    <row r="138" spans="2:105" hidden="1" x14ac:dyDescent="0.25">
      <c r="BF138" s="105"/>
      <c r="BG138" s="197"/>
      <c r="BH138" s="197"/>
      <c r="BI138" s="197"/>
      <c r="BJ138" s="197"/>
      <c r="BK138" s="105"/>
      <c r="BL138" s="105"/>
      <c r="BM138" s="105"/>
      <c r="BN138" s="105"/>
      <c r="BO138" s="197"/>
      <c r="BP138" s="197"/>
      <c r="BQ138" s="197"/>
      <c r="BR138" s="197"/>
      <c r="BS138" s="197"/>
      <c r="BT138" s="197"/>
      <c r="BU138" s="105"/>
    </row>
    <row r="139" spans="2:105" x14ac:dyDescent="0.25"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</row>
    <row r="140" spans="2:105" hidden="1" x14ac:dyDescent="0.25"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  <c r="BU140" s="105"/>
    </row>
    <row r="141" spans="2:105" hidden="1" x14ac:dyDescent="0.25"/>
    <row r="142" spans="2:105" hidden="1" x14ac:dyDescent="0.25"/>
    <row r="143" spans="2:105" hidden="1" x14ac:dyDescent="0.25">
      <c r="CC143" s="519"/>
      <c r="CD143" s="519"/>
      <c r="CE143" s="519"/>
      <c r="CF143" s="519"/>
      <c r="CG143" s="519"/>
      <c r="CH143" s="742"/>
      <c r="CI143" s="742"/>
      <c r="CJ143" s="742"/>
      <c r="CK143" s="520"/>
      <c r="CL143" s="513"/>
      <c r="CM143" s="513"/>
      <c r="CN143" s="513"/>
      <c r="CO143" s="513"/>
      <c r="CP143" s="513"/>
      <c r="CQ143" s="513"/>
      <c r="CR143" s="513"/>
      <c r="CS143" s="513"/>
      <c r="CT143" s="513"/>
      <c r="CU143" s="513"/>
      <c r="CV143" s="513"/>
      <c r="CW143" s="513"/>
      <c r="CX143" s="513"/>
      <c r="CY143" s="513"/>
      <c r="CZ143" s="513"/>
      <c r="DA143" s="513"/>
    </row>
    <row r="144" spans="2:105" hidden="1" x14ac:dyDescent="0.25">
      <c r="CC144" s="513"/>
      <c r="CD144" s="513"/>
      <c r="CE144" s="513"/>
      <c r="CF144" s="513"/>
      <c r="CG144" s="513"/>
      <c r="CH144" s="523"/>
      <c r="CI144" s="513"/>
      <c r="CJ144" s="513"/>
      <c r="CK144" s="513"/>
      <c r="CL144" s="513"/>
      <c r="CM144" s="513"/>
      <c r="CN144" s="513"/>
      <c r="CO144" s="513"/>
      <c r="CP144" s="513"/>
      <c r="CQ144" s="513"/>
      <c r="CR144" s="513"/>
      <c r="CS144" s="513"/>
      <c r="CT144" s="513"/>
      <c r="CU144" s="523"/>
      <c r="CV144" s="513"/>
      <c r="CW144" s="513"/>
      <c r="CX144" s="513"/>
      <c r="CY144" s="513"/>
      <c r="CZ144" s="513"/>
      <c r="DA144" s="513"/>
    </row>
    <row r="145" spans="61:105" hidden="1" x14ac:dyDescent="0.25">
      <c r="CC145" s="530"/>
      <c r="CD145" s="530"/>
      <c r="CE145" s="530"/>
      <c r="CF145" s="530"/>
      <c r="CG145" s="530"/>
      <c r="CH145" s="743"/>
      <c r="CI145" s="743"/>
      <c r="CJ145" s="513"/>
      <c r="CK145" s="513"/>
      <c r="CL145" s="513"/>
      <c r="CM145" s="513"/>
      <c r="CN145" s="513"/>
      <c r="CO145" s="513"/>
      <c r="CP145" s="513"/>
      <c r="CQ145" s="513"/>
      <c r="CR145" s="513"/>
      <c r="CS145" s="513"/>
      <c r="CT145" s="738"/>
      <c r="CU145" s="738"/>
      <c r="CV145" s="513"/>
      <c r="CW145" s="513"/>
      <c r="CX145" s="513"/>
      <c r="CY145" s="513"/>
      <c r="CZ145" s="513"/>
      <c r="DA145" s="513"/>
    </row>
    <row r="146" spans="61:105" hidden="1" x14ac:dyDescent="0.25">
      <c r="CC146" s="513"/>
      <c r="CD146" s="513"/>
      <c r="CE146" s="513"/>
      <c r="CF146" s="513"/>
      <c r="CG146" s="513"/>
      <c r="CH146" s="513"/>
      <c r="CI146" s="513"/>
      <c r="CJ146" s="513"/>
      <c r="CK146" s="513"/>
      <c r="CL146" s="513"/>
      <c r="CM146" s="513"/>
      <c r="CN146" s="513"/>
      <c r="CO146" s="513"/>
      <c r="CP146" s="513"/>
      <c r="CQ146" s="513"/>
      <c r="CR146" s="513"/>
      <c r="CS146" s="513"/>
      <c r="CT146" s="513"/>
      <c r="CU146" s="513"/>
      <c r="CV146" s="513"/>
      <c r="CW146" s="513"/>
      <c r="CX146" s="513"/>
      <c r="CY146" s="513"/>
      <c r="CZ146" s="513"/>
      <c r="DA146" s="513"/>
    </row>
    <row r="147" spans="61:105" hidden="1" x14ac:dyDescent="0.25">
      <c r="BI147" s="74"/>
      <c r="BJ147" s="74"/>
      <c r="BK147" s="183" t="s">
        <v>79</v>
      </c>
      <c r="BL147" s="74"/>
      <c r="BM147" s="74"/>
      <c r="BN147" s="74"/>
      <c r="BO147" s="74"/>
      <c r="BP147" s="74"/>
      <c r="CC147" s="513"/>
      <c r="CD147" s="513"/>
      <c r="CE147" s="513"/>
      <c r="CF147" s="513"/>
      <c r="CG147" s="513"/>
      <c r="CH147" s="513"/>
      <c r="CI147" s="513"/>
      <c r="CJ147" s="513"/>
      <c r="CK147" s="513"/>
      <c r="CL147" s="513"/>
      <c r="CM147" s="513"/>
      <c r="CN147" s="513"/>
      <c r="CO147" s="513"/>
      <c r="CP147" s="513"/>
      <c r="CQ147" s="513"/>
      <c r="CR147" s="513"/>
      <c r="CS147" s="513"/>
      <c r="CT147" s="513"/>
      <c r="CU147" s="513"/>
      <c r="CV147" s="513"/>
      <c r="CW147" s="513"/>
      <c r="CX147" s="513"/>
      <c r="CY147" s="513"/>
      <c r="CZ147" s="513"/>
      <c r="DA147" s="513"/>
    </row>
    <row r="148" spans="61:105" ht="20.25" hidden="1" x14ac:dyDescent="0.4">
      <c r="BI148" s="184">
        <v>1</v>
      </c>
      <c r="BJ148" s="376">
        <v>0</v>
      </c>
      <c r="BK148" s="186">
        <f>+COS(($B$82*-1)*3.14159265358979/180)*BJ148</f>
        <v>0</v>
      </c>
      <c r="BL148" s="187">
        <f t="shared" ref="BL148:BL165" si="93">+BK148-D$3</f>
        <v>-269.01152423777052</v>
      </c>
      <c r="BM148" s="188">
        <f t="shared" ref="BM148:BM165" si="94">ABS(BL148)</f>
        <v>269.01152423777052</v>
      </c>
      <c r="BN148" s="189">
        <f>MIN(BM148:BM170)</f>
        <v>0.98847576222948419</v>
      </c>
      <c r="BO148" s="188" t="b">
        <f>IF(BN148=BM148,BI148)</f>
        <v>0</v>
      </c>
      <c r="BP148" s="190">
        <v>1</v>
      </c>
      <c r="CC148" s="513"/>
      <c r="CD148" s="513"/>
      <c r="CE148" s="513"/>
      <c r="CF148" s="513"/>
      <c r="CG148" s="513"/>
      <c r="CH148" s="513"/>
      <c r="CI148" s="513"/>
      <c r="CJ148" s="513"/>
      <c r="CK148" s="513"/>
      <c r="CL148" s="513"/>
      <c r="CM148" s="513"/>
      <c r="CN148" s="513"/>
      <c r="CO148" s="513"/>
      <c r="CP148" s="513"/>
      <c r="CQ148" s="513"/>
      <c r="CR148" s="513"/>
      <c r="CS148" s="513"/>
      <c r="CT148" s="513"/>
      <c r="CU148" s="513"/>
      <c r="CV148" s="513"/>
      <c r="CW148" s="513"/>
      <c r="CX148" s="513"/>
      <c r="CY148" s="513"/>
      <c r="CZ148" s="513"/>
      <c r="DA148" s="513"/>
    </row>
    <row r="149" spans="61:105" ht="20.25" hidden="1" x14ac:dyDescent="0.4">
      <c r="BI149" s="184">
        <v>2</v>
      </c>
      <c r="BJ149" s="376">
        <f>+BJ148+30</f>
        <v>30</v>
      </c>
      <c r="BK149" s="17">
        <f>+BK148+$E$2</f>
        <v>30</v>
      </c>
      <c r="BL149" s="187">
        <f t="shared" si="93"/>
        <v>-239.01152423777052</v>
      </c>
      <c r="BM149" s="188">
        <f t="shared" si="94"/>
        <v>239.01152423777052</v>
      </c>
      <c r="BN149" s="188">
        <f>+BN148</f>
        <v>0.98847576222948419</v>
      </c>
      <c r="BO149" s="188" t="b">
        <f t="shared" ref="BO149:BO165" si="95">IF(BN149=BM149,BI149)</f>
        <v>0</v>
      </c>
      <c r="BP149" s="190">
        <v>2</v>
      </c>
      <c r="CC149" s="513"/>
      <c r="CD149" s="513"/>
      <c r="CE149" s="513"/>
      <c r="CF149" s="513"/>
      <c r="CG149" s="513"/>
      <c r="CH149" s="513"/>
      <c r="CI149" s="513"/>
      <c r="CJ149" s="513"/>
      <c r="CK149" s="513"/>
      <c r="CL149" s="513"/>
      <c r="CM149" s="513"/>
      <c r="CN149" s="513"/>
      <c r="CO149" s="513"/>
      <c r="CP149" s="513"/>
      <c r="CQ149" s="513"/>
      <c r="CR149" s="513"/>
      <c r="CS149" s="513"/>
      <c r="CT149" s="513"/>
      <c r="CU149" s="513"/>
      <c r="CV149" s="513"/>
      <c r="CW149" s="513"/>
      <c r="CX149" s="513"/>
      <c r="CY149" s="513"/>
      <c r="CZ149" s="513"/>
      <c r="DA149" s="513"/>
    </row>
    <row r="150" spans="61:105" ht="20.25" hidden="1" x14ac:dyDescent="0.4">
      <c r="BI150" s="184">
        <v>3</v>
      </c>
      <c r="BJ150" s="376">
        <f t="shared" ref="BJ150:BJ165" si="96">+BJ149+30</f>
        <v>60</v>
      </c>
      <c r="BK150" s="17">
        <f t="shared" ref="BK150:BK165" si="97">+BK149+$E$2</f>
        <v>60</v>
      </c>
      <c r="BL150" s="187">
        <f t="shared" si="93"/>
        <v>-209.01152423777052</v>
      </c>
      <c r="BM150" s="188">
        <f t="shared" si="94"/>
        <v>209.01152423777052</v>
      </c>
      <c r="BN150" s="188">
        <f t="shared" ref="BN150:BN165" si="98">+BN149</f>
        <v>0.98847576222948419</v>
      </c>
      <c r="BO150" s="188" t="b">
        <f t="shared" si="95"/>
        <v>0</v>
      </c>
      <c r="BP150" s="190">
        <v>3</v>
      </c>
      <c r="CC150" s="513"/>
      <c r="CD150" s="513"/>
      <c r="CE150" s="513"/>
      <c r="CF150" s="513"/>
      <c r="CG150" s="513"/>
      <c r="CH150" s="513"/>
      <c r="CI150" s="513"/>
      <c r="CJ150" s="513"/>
      <c r="CK150" s="513"/>
      <c r="CL150" s="513"/>
      <c r="CM150" s="513"/>
      <c r="CN150" s="513"/>
      <c r="CO150" s="513"/>
      <c r="CP150" s="513"/>
      <c r="CQ150" s="513"/>
      <c r="CR150" s="513"/>
      <c r="CS150" s="513"/>
      <c r="CT150" s="513"/>
      <c r="CU150" s="513"/>
      <c r="CV150" s="513"/>
      <c r="CW150" s="513"/>
      <c r="CX150" s="513"/>
      <c r="CY150" s="513"/>
      <c r="CZ150" s="513"/>
      <c r="DA150" s="513"/>
    </row>
    <row r="151" spans="61:105" ht="20.25" hidden="1" x14ac:dyDescent="0.4">
      <c r="BI151" s="184">
        <v>4</v>
      </c>
      <c r="BJ151" s="376">
        <f t="shared" si="96"/>
        <v>90</v>
      </c>
      <c r="BK151" s="17">
        <f t="shared" si="97"/>
        <v>90</v>
      </c>
      <c r="BL151" s="187">
        <f t="shared" si="93"/>
        <v>-179.01152423777052</v>
      </c>
      <c r="BM151" s="188">
        <f t="shared" si="94"/>
        <v>179.01152423777052</v>
      </c>
      <c r="BN151" s="188">
        <f t="shared" si="98"/>
        <v>0.98847576222948419</v>
      </c>
      <c r="BO151" s="188" t="b">
        <f t="shared" si="95"/>
        <v>0</v>
      </c>
      <c r="BP151" s="190">
        <v>4</v>
      </c>
      <c r="BQ151" s="106"/>
      <c r="BR151" s="106"/>
      <c r="BS151" s="106"/>
      <c r="BT151" s="106"/>
      <c r="CC151" s="513"/>
      <c r="CD151" s="513"/>
      <c r="CE151" s="513"/>
      <c r="CF151" s="513"/>
      <c r="CG151" s="513"/>
      <c r="CH151" s="513"/>
      <c r="CI151" s="513"/>
      <c r="CJ151" s="513"/>
      <c r="CK151" s="513"/>
      <c r="CL151" s="513"/>
      <c r="CM151" s="513"/>
      <c r="CN151" s="513"/>
      <c r="CO151" s="513"/>
      <c r="CP151" s="513"/>
      <c r="CQ151" s="513"/>
      <c r="CR151" s="513"/>
      <c r="CS151" s="513"/>
      <c r="CT151" s="513"/>
      <c r="CU151" s="513"/>
      <c r="CV151" s="513"/>
      <c r="CW151" s="513"/>
      <c r="CX151" s="513"/>
      <c r="CY151" s="513"/>
      <c r="CZ151" s="513"/>
      <c r="DA151" s="513"/>
    </row>
    <row r="152" spans="61:105" ht="20.25" hidden="1" x14ac:dyDescent="0.4">
      <c r="BI152" s="184">
        <v>5</v>
      </c>
      <c r="BJ152" s="376">
        <f t="shared" si="96"/>
        <v>120</v>
      </c>
      <c r="BK152" s="17">
        <f t="shared" si="97"/>
        <v>120</v>
      </c>
      <c r="BL152" s="187">
        <f t="shared" si="93"/>
        <v>-149.01152423777052</v>
      </c>
      <c r="BM152" s="188">
        <f t="shared" si="94"/>
        <v>149.01152423777052</v>
      </c>
      <c r="BN152" s="188">
        <f t="shared" si="98"/>
        <v>0.98847576222948419</v>
      </c>
      <c r="BO152" s="188" t="b">
        <f t="shared" si="95"/>
        <v>0</v>
      </c>
      <c r="BP152" s="190">
        <v>5</v>
      </c>
      <c r="BQ152" s="142"/>
      <c r="BR152" s="142"/>
      <c r="BS152" s="142"/>
      <c r="BT152" s="142"/>
      <c r="CC152" s="513"/>
      <c r="CD152" s="513"/>
      <c r="CE152" s="513"/>
      <c r="CF152" s="513"/>
      <c r="CG152" s="513"/>
      <c r="CH152" s="513"/>
      <c r="CI152" s="513"/>
      <c r="CJ152" s="513"/>
      <c r="CK152" s="513"/>
      <c r="CL152" s="513"/>
      <c r="CM152" s="513"/>
      <c r="CN152" s="513"/>
      <c r="CO152" s="513"/>
      <c r="CP152" s="513"/>
      <c r="CQ152" s="513"/>
      <c r="CR152" s="513"/>
      <c r="CS152" s="513"/>
      <c r="CT152" s="513"/>
      <c r="CU152" s="513"/>
      <c r="CV152" s="513"/>
      <c r="CW152" s="513"/>
      <c r="CX152" s="513"/>
      <c r="CY152" s="513"/>
      <c r="CZ152" s="513"/>
      <c r="DA152" s="513"/>
    </row>
    <row r="153" spans="61:105" ht="20.25" hidden="1" x14ac:dyDescent="0.4">
      <c r="BI153" s="184">
        <v>6</v>
      </c>
      <c r="BJ153" s="376">
        <f t="shared" si="96"/>
        <v>150</v>
      </c>
      <c r="BK153" s="17">
        <f t="shared" si="97"/>
        <v>150</v>
      </c>
      <c r="BL153" s="187">
        <f t="shared" si="93"/>
        <v>-119.01152423777052</v>
      </c>
      <c r="BM153" s="188">
        <f t="shared" si="94"/>
        <v>119.01152423777052</v>
      </c>
      <c r="BN153" s="188">
        <f t="shared" si="98"/>
        <v>0.98847576222948419</v>
      </c>
      <c r="BO153" s="188" t="b">
        <f t="shared" si="95"/>
        <v>0</v>
      </c>
      <c r="BP153" s="190">
        <v>6</v>
      </c>
      <c r="CC153" s="513"/>
      <c r="CD153" s="513"/>
      <c r="CE153" s="513"/>
      <c r="CF153" s="513"/>
      <c r="CG153" s="513"/>
      <c r="CH153" s="513"/>
      <c r="CI153" s="513"/>
      <c r="CJ153" s="513"/>
      <c r="CK153" s="513"/>
      <c r="CL153" s="513"/>
      <c r="CM153" s="513"/>
      <c r="CN153" s="513"/>
      <c r="CO153" s="513"/>
      <c r="CP153" s="513"/>
      <c r="CQ153" s="513"/>
      <c r="CR153" s="513"/>
      <c r="CS153" s="513"/>
      <c r="CT153" s="513"/>
      <c r="CU153" s="513"/>
      <c r="CV153" s="513"/>
      <c r="CW153" s="513"/>
      <c r="CX153" s="513"/>
      <c r="CY153" s="513"/>
      <c r="CZ153" s="513"/>
      <c r="DA153" s="513"/>
    </row>
    <row r="154" spans="61:105" ht="20.25" hidden="1" x14ac:dyDescent="0.4">
      <c r="BI154" s="184">
        <v>7</v>
      </c>
      <c r="BJ154" s="376">
        <f t="shared" si="96"/>
        <v>180</v>
      </c>
      <c r="BK154" s="17">
        <f t="shared" si="97"/>
        <v>180</v>
      </c>
      <c r="BL154" s="187">
        <f t="shared" si="93"/>
        <v>-89.011524237770516</v>
      </c>
      <c r="BM154" s="188">
        <f t="shared" si="94"/>
        <v>89.011524237770516</v>
      </c>
      <c r="BN154" s="188">
        <f t="shared" si="98"/>
        <v>0.98847576222948419</v>
      </c>
      <c r="BO154" s="188" t="b">
        <f t="shared" si="95"/>
        <v>0</v>
      </c>
      <c r="BP154" s="190">
        <v>7</v>
      </c>
      <c r="CC154" s="513"/>
      <c r="CD154" s="513"/>
      <c r="CE154" s="513"/>
      <c r="CF154" s="513"/>
      <c r="CG154" s="513"/>
      <c r="CH154" s="513"/>
      <c r="CI154" s="513"/>
      <c r="CJ154" s="513"/>
      <c r="CK154" s="513"/>
      <c r="CL154" s="513"/>
      <c r="CM154" s="513"/>
      <c r="CN154" s="513"/>
      <c r="CO154" s="513"/>
      <c r="CP154" s="513"/>
      <c r="CQ154" s="513"/>
      <c r="CR154" s="513"/>
      <c r="CS154" s="513"/>
      <c r="CT154" s="513"/>
      <c r="CU154" s="513"/>
      <c r="CV154" s="513"/>
      <c r="CW154" s="513"/>
      <c r="CX154" s="513"/>
      <c r="CY154" s="513"/>
      <c r="CZ154" s="513"/>
      <c r="DA154" s="513"/>
    </row>
    <row r="155" spans="61:105" ht="20.25" hidden="1" x14ac:dyDescent="0.4">
      <c r="BI155" s="184">
        <v>8</v>
      </c>
      <c r="BJ155" s="376">
        <f t="shared" si="96"/>
        <v>210</v>
      </c>
      <c r="BK155" s="17">
        <f t="shared" si="97"/>
        <v>210</v>
      </c>
      <c r="BL155" s="187">
        <f t="shared" si="93"/>
        <v>-59.011524237770516</v>
      </c>
      <c r="BM155" s="188">
        <f t="shared" si="94"/>
        <v>59.011524237770516</v>
      </c>
      <c r="BN155" s="188">
        <f t="shared" si="98"/>
        <v>0.98847576222948419</v>
      </c>
      <c r="BO155" s="188" t="b">
        <f t="shared" si="95"/>
        <v>0</v>
      </c>
      <c r="BP155" s="190">
        <v>8</v>
      </c>
      <c r="CC155" s="513"/>
      <c r="CD155" s="513"/>
      <c r="CE155" s="513"/>
      <c r="CF155" s="513"/>
      <c r="CG155" s="513"/>
      <c r="CH155" s="513"/>
      <c r="CI155" s="513"/>
      <c r="CJ155" s="513"/>
      <c r="CK155" s="513"/>
      <c r="CL155" s="513"/>
      <c r="CM155" s="513"/>
      <c r="CN155" s="513"/>
      <c r="CO155" s="513"/>
      <c r="CP155" s="513"/>
      <c r="CQ155" s="513"/>
      <c r="CR155" s="513"/>
      <c r="CS155" s="513"/>
      <c r="CT155" s="513"/>
      <c r="CU155" s="513"/>
      <c r="CV155" s="513"/>
      <c r="CW155" s="513"/>
      <c r="CX155" s="513"/>
      <c r="CY155" s="513"/>
      <c r="CZ155" s="513"/>
      <c r="DA155" s="513"/>
    </row>
    <row r="156" spans="61:105" ht="20.25" hidden="1" x14ac:dyDescent="0.4">
      <c r="BI156" s="184">
        <v>9</v>
      </c>
      <c r="BJ156" s="376">
        <f t="shared" si="96"/>
        <v>240</v>
      </c>
      <c r="BK156" s="17">
        <f t="shared" si="97"/>
        <v>240</v>
      </c>
      <c r="BL156" s="187">
        <f t="shared" si="93"/>
        <v>-29.011524237770516</v>
      </c>
      <c r="BM156" s="188">
        <f t="shared" si="94"/>
        <v>29.011524237770516</v>
      </c>
      <c r="BN156" s="188">
        <f t="shared" si="98"/>
        <v>0.98847576222948419</v>
      </c>
      <c r="BO156" s="188" t="b">
        <f t="shared" si="95"/>
        <v>0</v>
      </c>
      <c r="BP156" s="190">
        <v>9</v>
      </c>
      <c r="CC156" s="513"/>
      <c r="CD156" s="513"/>
      <c r="CE156" s="513"/>
      <c r="CF156" s="513"/>
      <c r="CG156" s="513"/>
      <c r="CH156" s="513"/>
      <c r="CI156" s="513"/>
      <c r="CJ156" s="513"/>
      <c r="CK156" s="513"/>
      <c r="CL156" s="513"/>
      <c r="CM156" s="513"/>
      <c r="CN156" s="513"/>
      <c r="CO156" s="513"/>
      <c r="CP156" s="513"/>
      <c r="CQ156" s="513"/>
      <c r="CR156" s="513"/>
      <c r="CS156" s="513"/>
      <c r="CT156" s="513"/>
      <c r="CU156" s="513"/>
      <c r="CV156" s="513"/>
      <c r="CW156" s="513"/>
      <c r="CX156" s="513"/>
      <c r="CY156" s="513"/>
      <c r="CZ156" s="513"/>
      <c r="DA156" s="513"/>
    </row>
    <row r="157" spans="61:105" ht="20.25" hidden="1" x14ac:dyDescent="0.4">
      <c r="BI157" s="184">
        <v>10</v>
      </c>
      <c r="BJ157" s="376">
        <f t="shared" si="96"/>
        <v>270</v>
      </c>
      <c r="BK157" s="17">
        <f t="shared" si="97"/>
        <v>270</v>
      </c>
      <c r="BL157" s="187">
        <f t="shared" si="93"/>
        <v>0.98847576222948419</v>
      </c>
      <c r="BM157" s="188">
        <f t="shared" si="94"/>
        <v>0.98847576222948419</v>
      </c>
      <c r="BN157" s="188">
        <f t="shared" si="98"/>
        <v>0.98847576222948419</v>
      </c>
      <c r="BO157" s="188">
        <f t="shared" si="95"/>
        <v>10</v>
      </c>
      <c r="BP157" s="190">
        <v>10</v>
      </c>
      <c r="CC157" s="513"/>
      <c r="CD157" s="513"/>
      <c r="CE157" s="513"/>
      <c r="CF157" s="513"/>
      <c r="CG157" s="513"/>
      <c r="CH157" s="513"/>
      <c r="CI157" s="513"/>
      <c r="CJ157" s="513"/>
      <c r="CK157" s="513"/>
      <c r="CL157" s="513"/>
      <c r="CM157" s="513"/>
      <c r="CN157" s="513"/>
      <c r="CO157" s="513"/>
      <c r="CP157" s="513"/>
      <c r="CQ157" s="513"/>
      <c r="CR157" s="513"/>
      <c r="CS157" s="513"/>
      <c r="CT157" s="513"/>
      <c r="CU157" s="513"/>
      <c r="CV157" s="513"/>
      <c r="CW157" s="513"/>
      <c r="CX157" s="513"/>
      <c r="CY157" s="513"/>
      <c r="CZ157" s="513"/>
      <c r="DA157" s="513"/>
    </row>
    <row r="158" spans="61:105" ht="20.25" hidden="1" x14ac:dyDescent="0.4">
      <c r="BI158" s="184">
        <v>11</v>
      </c>
      <c r="BJ158" s="376">
        <f t="shared" si="96"/>
        <v>300</v>
      </c>
      <c r="BK158" s="17">
        <f t="shared" si="97"/>
        <v>300</v>
      </c>
      <c r="BL158" s="187">
        <f t="shared" si="93"/>
        <v>30.988475762229484</v>
      </c>
      <c r="BM158" s="188">
        <f t="shared" si="94"/>
        <v>30.988475762229484</v>
      </c>
      <c r="BN158" s="188">
        <f t="shared" si="98"/>
        <v>0.98847576222948419</v>
      </c>
      <c r="BO158" s="188" t="b">
        <f t="shared" si="95"/>
        <v>0</v>
      </c>
      <c r="BP158" s="190">
        <v>11</v>
      </c>
      <c r="CC158" s="513"/>
      <c r="CD158" s="513"/>
      <c r="CE158" s="513"/>
      <c r="CF158" s="513"/>
      <c r="CG158" s="507"/>
      <c r="CH158" s="507"/>
      <c r="CI158" s="507"/>
      <c r="CJ158" s="507"/>
      <c r="CK158" s="507"/>
      <c r="CL158" s="507"/>
      <c r="CM158" s="507"/>
      <c r="CN158" s="507"/>
      <c r="CO158" s="507"/>
      <c r="CP158" s="507"/>
      <c r="CQ158" s="513"/>
      <c r="CR158" s="513"/>
      <c r="CS158" s="513"/>
      <c r="CT158" s="513"/>
      <c r="CU158" s="513"/>
      <c r="CV158" s="513"/>
      <c r="CW158" s="513"/>
      <c r="CX158" s="513"/>
      <c r="CY158" s="513"/>
      <c r="CZ158" s="513"/>
      <c r="DA158" s="513"/>
    </row>
    <row r="159" spans="61:105" ht="20.25" hidden="1" x14ac:dyDescent="0.4">
      <c r="BI159" s="184">
        <v>12</v>
      </c>
      <c r="BJ159" s="376">
        <f t="shared" si="96"/>
        <v>330</v>
      </c>
      <c r="BK159" s="17">
        <f t="shared" si="97"/>
        <v>330</v>
      </c>
      <c r="BL159" s="187">
        <f t="shared" si="93"/>
        <v>60.988475762229484</v>
      </c>
      <c r="BM159" s="188">
        <f t="shared" si="94"/>
        <v>60.988475762229484</v>
      </c>
      <c r="BN159" s="188">
        <f t="shared" si="98"/>
        <v>0.98847576222948419</v>
      </c>
      <c r="BO159" s="188" t="b">
        <f t="shared" si="95"/>
        <v>0</v>
      </c>
      <c r="BP159" s="190">
        <v>12</v>
      </c>
    </row>
    <row r="160" spans="61:105" ht="20.25" hidden="1" x14ac:dyDescent="0.4">
      <c r="BI160" s="184">
        <v>13</v>
      </c>
      <c r="BJ160" s="376">
        <f t="shared" si="96"/>
        <v>360</v>
      </c>
      <c r="BK160" s="17">
        <f t="shared" si="97"/>
        <v>360</v>
      </c>
      <c r="BL160" s="187">
        <f t="shared" si="93"/>
        <v>90.988475762229484</v>
      </c>
      <c r="BM160" s="188">
        <f t="shared" si="94"/>
        <v>90.988475762229484</v>
      </c>
      <c r="BN160" s="188">
        <f t="shared" si="98"/>
        <v>0.98847576222948419</v>
      </c>
      <c r="BO160" s="188" t="b">
        <f t="shared" si="95"/>
        <v>0</v>
      </c>
      <c r="BP160" s="190">
        <v>13</v>
      </c>
    </row>
    <row r="161" spans="61:105" ht="20.25" hidden="1" x14ac:dyDescent="0.4">
      <c r="BI161" s="184">
        <v>14</v>
      </c>
      <c r="BJ161" s="376">
        <f t="shared" si="96"/>
        <v>390</v>
      </c>
      <c r="BK161" s="17">
        <f t="shared" si="97"/>
        <v>390</v>
      </c>
      <c r="BL161" s="187">
        <f t="shared" si="93"/>
        <v>120.98847576222948</v>
      </c>
      <c r="BM161" s="188">
        <f t="shared" si="94"/>
        <v>120.98847576222948</v>
      </c>
      <c r="BN161" s="188">
        <f t="shared" si="98"/>
        <v>0.98847576222948419</v>
      </c>
      <c r="BO161" s="188" t="b">
        <f t="shared" si="95"/>
        <v>0</v>
      </c>
      <c r="BP161" s="190">
        <v>14</v>
      </c>
    </row>
    <row r="162" spans="61:105" ht="20.25" hidden="1" x14ac:dyDescent="0.4">
      <c r="BI162" s="184">
        <v>15</v>
      </c>
      <c r="BJ162" s="376">
        <f t="shared" si="96"/>
        <v>420</v>
      </c>
      <c r="BK162" s="17">
        <f t="shared" si="97"/>
        <v>420</v>
      </c>
      <c r="BL162" s="187">
        <f t="shared" si="93"/>
        <v>150.98847576222948</v>
      </c>
      <c r="BM162" s="188">
        <f t="shared" si="94"/>
        <v>150.98847576222948</v>
      </c>
      <c r="BN162" s="188">
        <f t="shared" si="98"/>
        <v>0.98847576222948419</v>
      </c>
      <c r="BO162" s="188" t="b">
        <f t="shared" si="95"/>
        <v>0</v>
      </c>
      <c r="BP162" s="190">
        <v>15</v>
      </c>
    </row>
    <row r="163" spans="61:105" ht="20.25" hidden="1" x14ac:dyDescent="0.4">
      <c r="BI163" s="184">
        <v>16</v>
      </c>
      <c r="BJ163" s="376">
        <f t="shared" si="96"/>
        <v>450</v>
      </c>
      <c r="BK163" s="17">
        <f t="shared" si="97"/>
        <v>450</v>
      </c>
      <c r="BL163" s="187">
        <f t="shared" si="93"/>
        <v>180.98847576222948</v>
      </c>
      <c r="BM163" s="188">
        <f t="shared" si="94"/>
        <v>180.98847576222948</v>
      </c>
      <c r="BN163" s="188">
        <f t="shared" si="98"/>
        <v>0.98847576222948419</v>
      </c>
      <c r="BO163" s="188" t="b">
        <f t="shared" si="95"/>
        <v>0</v>
      </c>
      <c r="BP163" s="190">
        <v>16</v>
      </c>
    </row>
    <row r="164" spans="61:105" ht="20.25" hidden="1" x14ac:dyDescent="0.4">
      <c r="BI164" s="184">
        <v>17</v>
      </c>
      <c r="BJ164" s="376">
        <f t="shared" si="96"/>
        <v>480</v>
      </c>
      <c r="BK164" s="17">
        <f t="shared" si="97"/>
        <v>480</v>
      </c>
      <c r="BL164" s="187">
        <f t="shared" si="93"/>
        <v>210.98847576222948</v>
      </c>
      <c r="BM164" s="188">
        <f t="shared" si="94"/>
        <v>210.98847576222948</v>
      </c>
      <c r="BN164" s="188">
        <f t="shared" si="98"/>
        <v>0.98847576222948419</v>
      </c>
      <c r="BO164" s="188" t="b">
        <f t="shared" si="95"/>
        <v>0</v>
      </c>
      <c r="BP164" s="190">
        <v>17</v>
      </c>
    </row>
    <row r="165" spans="61:105" ht="20.25" hidden="1" x14ac:dyDescent="0.4">
      <c r="BI165" s="184">
        <v>18</v>
      </c>
      <c r="BJ165" s="376">
        <f t="shared" si="96"/>
        <v>510</v>
      </c>
      <c r="BK165" s="17">
        <f t="shared" si="97"/>
        <v>510</v>
      </c>
      <c r="BL165" s="187">
        <f t="shared" si="93"/>
        <v>240.98847576222948</v>
      </c>
      <c r="BM165" s="188">
        <f t="shared" si="94"/>
        <v>240.98847576222948</v>
      </c>
      <c r="BN165" s="188">
        <f t="shared" si="98"/>
        <v>0.98847576222948419</v>
      </c>
      <c r="BO165" s="188" t="b">
        <f t="shared" si="95"/>
        <v>0</v>
      </c>
      <c r="BP165" s="190">
        <v>18</v>
      </c>
    </row>
    <row r="166" spans="61:105" ht="20.25" hidden="1" x14ac:dyDescent="0.4">
      <c r="BI166" s="184"/>
      <c r="BJ166" s="376"/>
      <c r="BK166" s="17"/>
      <c r="BL166" s="187"/>
      <c r="BM166" s="188"/>
      <c r="BN166" s="188"/>
      <c r="BO166" s="188"/>
      <c r="BP166" s="190"/>
    </row>
    <row r="167" spans="61:105" ht="20.25" hidden="1" x14ac:dyDescent="0.4">
      <c r="BI167" s="184"/>
      <c r="BJ167" s="376"/>
      <c r="BK167" s="17"/>
      <c r="BL167" s="187"/>
      <c r="BM167" s="188"/>
      <c r="BN167" s="188"/>
      <c r="BO167" s="188"/>
      <c r="BP167" s="190"/>
      <c r="CC167" s="512"/>
      <c r="CD167" s="512"/>
      <c r="CE167" s="512"/>
      <c r="CF167" s="512"/>
      <c r="CG167" s="512"/>
      <c r="CH167" s="512"/>
      <c r="CI167" s="512"/>
      <c r="CJ167" s="512"/>
      <c r="CK167" s="512"/>
      <c r="CL167" s="512"/>
      <c r="CM167" s="512"/>
      <c r="CN167" s="512"/>
      <c r="CO167" s="512"/>
      <c r="CP167" s="512"/>
      <c r="CQ167" s="512"/>
      <c r="CR167" s="512"/>
      <c r="CS167" s="512"/>
      <c r="CT167" s="512"/>
      <c r="CU167" s="512"/>
      <c r="CV167" s="512"/>
      <c r="CW167" s="512"/>
      <c r="CX167" s="512"/>
      <c r="CY167" s="512"/>
      <c r="CZ167" s="512"/>
      <c r="DA167" s="513"/>
    </row>
    <row r="168" spans="61:105" ht="20.25" hidden="1" x14ac:dyDescent="0.4">
      <c r="BI168" s="184"/>
      <c r="BJ168" s="376"/>
      <c r="BK168" s="17"/>
      <c r="BL168" s="187"/>
      <c r="BM168" s="188"/>
      <c r="BN168" s="188"/>
      <c r="BO168" s="188"/>
      <c r="BP168" s="190"/>
      <c r="CC168" s="513"/>
      <c r="CD168" s="513"/>
      <c r="CE168" s="513"/>
      <c r="CF168" s="513"/>
      <c r="CG168" s="513"/>
      <c r="CH168" s="513"/>
      <c r="CI168" s="513"/>
      <c r="CJ168" s="513"/>
      <c r="CK168" s="513"/>
      <c r="CL168" s="513"/>
      <c r="CM168" s="513"/>
      <c r="CN168" s="513"/>
      <c r="CO168" s="513"/>
      <c r="CP168" s="513"/>
      <c r="CQ168" s="513"/>
      <c r="CR168" s="513"/>
      <c r="CS168" s="513"/>
      <c r="CT168" s="513"/>
      <c r="CU168" s="513"/>
      <c r="CV168" s="513"/>
      <c r="CW168" s="513"/>
      <c r="CX168" s="513"/>
      <c r="CY168" s="513"/>
      <c r="CZ168" s="513"/>
      <c r="DA168" s="513"/>
    </row>
    <row r="169" spans="61:105" ht="20.25" hidden="1" x14ac:dyDescent="0.4">
      <c r="BI169" s="184"/>
      <c r="BJ169" s="376"/>
      <c r="BK169" s="17"/>
      <c r="BL169" s="187"/>
      <c r="BM169" s="188"/>
      <c r="BN169" s="188"/>
      <c r="BO169" s="188"/>
      <c r="BP169" s="190"/>
      <c r="CC169" s="579"/>
      <c r="CD169" s="579"/>
      <c r="CE169" s="579"/>
      <c r="CF169" s="579"/>
      <c r="CG169" s="579"/>
      <c r="CH169" s="579"/>
      <c r="CI169" s="520"/>
      <c r="CJ169" s="520"/>
      <c r="CK169" s="520"/>
      <c r="CL169" s="520"/>
      <c r="CM169" s="520"/>
      <c r="CN169" s="579"/>
      <c r="CO169" s="579"/>
      <c r="CP169" s="579"/>
      <c r="CQ169" s="520"/>
      <c r="CR169" s="520"/>
      <c r="CS169" s="520"/>
      <c r="CT169" s="520"/>
      <c r="CU169" s="520"/>
      <c r="CV169" s="520"/>
      <c r="CW169" s="520"/>
      <c r="CX169" s="520"/>
      <c r="CY169" s="520"/>
      <c r="CZ169" s="520"/>
      <c r="DA169" s="513"/>
    </row>
    <row r="170" spans="61:105" ht="20.25" hidden="1" x14ac:dyDescent="0.4">
      <c r="BI170" s="184"/>
      <c r="BJ170" s="376"/>
      <c r="BK170" s="17"/>
      <c r="BL170" s="187"/>
      <c r="BM170" s="188"/>
      <c r="BN170" s="188"/>
      <c r="BO170" s="188"/>
      <c r="BP170" s="190"/>
      <c r="CC170" s="579"/>
      <c r="CD170" s="579"/>
      <c r="CE170" s="579"/>
      <c r="CF170" s="579"/>
      <c r="CG170" s="579"/>
      <c r="CH170" s="579"/>
      <c r="CI170" s="513"/>
      <c r="CJ170" s="513"/>
      <c r="CK170" s="513"/>
      <c r="CL170" s="513"/>
      <c r="CM170" s="579"/>
      <c r="CN170" s="579"/>
      <c r="CO170" s="579"/>
      <c r="CP170" s="579"/>
      <c r="CQ170" s="513"/>
      <c r="CR170" s="513"/>
      <c r="CS170" s="513"/>
      <c r="CT170" s="513"/>
      <c r="CU170" s="579"/>
      <c r="CV170" s="579"/>
      <c r="CW170" s="579"/>
      <c r="CX170" s="579"/>
      <c r="CY170" s="579"/>
      <c r="CZ170" s="579"/>
      <c r="DA170" s="513"/>
    </row>
    <row r="171" spans="61:105" hidden="1" x14ac:dyDescent="0.25">
      <c r="CC171" s="513"/>
      <c r="CD171" s="513"/>
      <c r="CE171" s="513"/>
      <c r="CF171" s="513"/>
      <c r="CG171" s="513"/>
      <c r="CH171" s="513"/>
      <c r="CI171" s="513"/>
      <c r="CJ171" s="513"/>
      <c r="CK171" s="513"/>
      <c r="CL171" s="513"/>
      <c r="CM171" s="513"/>
      <c r="CN171" s="513"/>
      <c r="CO171" s="513"/>
      <c r="CP171" s="513"/>
      <c r="CQ171" s="513"/>
      <c r="CR171" s="513"/>
      <c r="CS171" s="513"/>
      <c r="CT171" s="513"/>
      <c r="CU171" s="513"/>
      <c r="CV171" s="513"/>
      <c r="CW171" s="513"/>
      <c r="CX171" s="513"/>
      <c r="CY171" s="513"/>
      <c r="CZ171" s="513"/>
      <c r="DA171" s="513"/>
    </row>
    <row r="172" spans="61:105" hidden="1" x14ac:dyDescent="0.25">
      <c r="CC172" s="513"/>
      <c r="CD172" s="513"/>
      <c r="CE172" s="513"/>
      <c r="CF172" s="513"/>
      <c r="CG172" s="513"/>
      <c r="CH172" s="513"/>
      <c r="CI172" s="513"/>
      <c r="CJ172" s="513"/>
      <c r="CK172" s="513"/>
      <c r="CL172" s="513"/>
      <c r="CM172" s="513"/>
      <c r="CN172" s="513"/>
      <c r="CO172" s="513"/>
      <c r="CP172" s="513"/>
      <c r="CQ172" s="513"/>
      <c r="CR172" s="513"/>
      <c r="CS172" s="513"/>
      <c r="CT172" s="513"/>
      <c r="CU172" s="513"/>
      <c r="CV172" s="513"/>
      <c r="CW172" s="513"/>
      <c r="CX172" s="513"/>
      <c r="CY172" s="513"/>
      <c r="CZ172" s="513"/>
      <c r="DA172" s="513"/>
    </row>
  </sheetData>
  <sheetProtection algorithmName="SHA-512" hashValue="XbAl6p4FuNuMmLuUhKLZwO76zYPVA1WGLWqxT7vQtn60lcZIFiLAn8am/G85ziv6eRLRG26fAXJPPz3D7+8pZA==" saltValue="D4YKMser222GmuP47Qlxjg==" spinCount="100000" sheet="1" objects="1" scenarios="1"/>
  <protectedRanges>
    <protectedRange sqref="B82 B101 B122 B87" name="Range1"/>
  </protectedRanges>
  <mergeCells count="16">
    <mergeCell ref="CT145:CU145"/>
    <mergeCell ref="BA87:BB87"/>
    <mergeCell ref="W88:AA88"/>
    <mergeCell ref="W101:AA101"/>
    <mergeCell ref="BA101:BB101"/>
    <mergeCell ref="BN113:BO113"/>
    <mergeCell ref="BA122:BB122"/>
    <mergeCell ref="CH143:CJ143"/>
    <mergeCell ref="CH145:CI145"/>
    <mergeCell ref="BJ21:BK21"/>
    <mergeCell ref="BH24:BI24"/>
    <mergeCell ref="BX24:BY24"/>
    <mergeCell ref="B79:B81"/>
    <mergeCell ref="D79:D80"/>
    <mergeCell ref="D81:D82"/>
    <mergeCell ref="BG23:BG24"/>
  </mergeCells>
  <conditionalFormatting sqref="AB30:AE30 U30 AB33:AE38 U33:U38 AB64:AE69 U64:U69">
    <cfRule type="cellIs" dxfId="136" priority="113" stopIfTrue="1" operator="between">
      <formula>"OVERLOAD"</formula>
      <formula>"OVERLOAD"</formula>
    </cfRule>
  </conditionalFormatting>
  <conditionalFormatting sqref="CC167:CZ167">
    <cfRule type="cellIs" dxfId="135" priority="112" stopIfTrue="1" operator="equal">
      <formula>FALSE</formula>
    </cfRule>
  </conditionalFormatting>
  <conditionalFormatting sqref="K104:O104 T104:Y104 AB104">
    <cfRule type="expression" dxfId="134" priority="106" stopIfTrue="1">
      <formula>$B$101&lt;1</formula>
    </cfRule>
  </conditionalFormatting>
  <conditionalFormatting sqref="AY105:BB105 D105 J105:AB105">
    <cfRule type="expression" dxfId="133" priority="104" stopIfTrue="1">
      <formula>$B$101&lt;2</formula>
    </cfRule>
  </conditionalFormatting>
  <conditionalFormatting sqref="AY106:BB106 D106 J106:AB106">
    <cfRule type="expression" dxfId="132" priority="103" stopIfTrue="1">
      <formula>$B$101&lt;3</formula>
    </cfRule>
  </conditionalFormatting>
  <conditionalFormatting sqref="AY107:BB107 D107 J107:AB107">
    <cfRule type="expression" dxfId="131" priority="102" stopIfTrue="1">
      <formula>$B$101&lt;4</formula>
    </cfRule>
  </conditionalFormatting>
  <conditionalFormatting sqref="AY108:BB108 D108 J108:AB108">
    <cfRule type="expression" dxfId="130" priority="101" stopIfTrue="1">
      <formula>$B$101&lt;5</formula>
    </cfRule>
  </conditionalFormatting>
  <conditionalFormatting sqref="AY109:BB109 D109 J109:AB109">
    <cfRule type="expression" dxfId="129" priority="100" stopIfTrue="1">
      <formula>$B$101&lt;6</formula>
    </cfRule>
  </conditionalFormatting>
  <conditionalFormatting sqref="AY110:BB110 D110 J110:AB110">
    <cfRule type="expression" dxfId="128" priority="99" stopIfTrue="1">
      <formula>$B$101&lt;7</formula>
    </cfRule>
  </conditionalFormatting>
  <conditionalFormatting sqref="AY111:BB111 D111 J111:AB111">
    <cfRule type="expression" dxfId="127" priority="98" stopIfTrue="1">
      <formula>$B$101&lt;8</formula>
    </cfRule>
  </conditionalFormatting>
  <conditionalFormatting sqref="AY112:BB112 D112 J112:AB112">
    <cfRule type="expression" dxfId="126" priority="97" stopIfTrue="1">
      <formula>$B$101&lt;9</formula>
    </cfRule>
  </conditionalFormatting>
  <conditionalFormatting sqref="AY113:BB113 D113 J113:AB113">
    <cfRule type="expression" dxfId="125" priority="90" stopIfTrue="1">
      <formula>$B$101&lt;10</formula>
    </cfRule>
  </conditionalFormatting>
  <conditionalFormatting sqref="AY114:BB114 D114 J114:AB114">
    <cfRule type="expression" dxfId="124" priority="77" stopIfTrue="1">
      <formula>$B$101&lt;11</formula>
    </cfRule>
  </conditionalFormatting>
  <conditionalFormatting sqref="AY115:BB115 D115 J115:AB115">
    <cfRule type="expression" dxfId="123" priority="64" stopIfTrue="1">
      <formula>$B$101&lt;12</formula>
    </cfRule>
  </conditionalFormatting>
  <conditionalFormatting sqref="E79:G80 D79 D81">
    <cfRule type="cellIs" dxfId="122" priority="109" stopIfTrue="1" operator="equal">
      <formula>"change the angle of frame"</formula>
    </cfRule>
  </conditionalFormatting>
  <conditionalFormatting sqref="E82:G82">
    <cfRule type="cellIs" dxfId="121" priority="110" stopIfTrue="1" operator="equal">
      <formula>"USE EXBAR VR AT THE BACK"</formula>
    </cfRule>
  </conditionalFormatting>
  <conditionalFormatting sqref="E81:G81 E82">
    <cfRule type="cellIs" dxfId="120" priority="111" stopIfTrue="1" operator="equal">
      <formula>"USE EXBAR VR AT THE FRONT"</formula>
    </cfRule>
  </conditionalFormatting>
  <conditionalFormatting sqref="B104:B115">
    <cfRule type="cellIs" dxfId="119" priority="107" stopIfTrue="1" operator="greaterThan">
      <formula>$B$101</formula>
    </cfRule>
  </conditionalFormatting>
  <conditionalFormatting sqref="B126:C126 AR126:BB126 E126:F126 J126:AP126 AS91:BB91 E91:F91 J91:V91 AJ91:AO91 AB91 AF91:AH91">
    <cfRule type="expression" dxfId="118" priority="95" stopIfTrue="1">
      <formula>$B$122&lt;2</formula>
    </cfRule>
  </conditionalFormatting>
  <conditionalFormatting sqref="B127:C127 AR127:BB127 E127:F127 J127:AP127 AS92:BB92 E92:F92 J92:U92 AJ92:AO92 AF92:AH92 W92:AB92">
    <cfRule type="expression" dxfId="117" priority="94" stopIfTrue="1">
      <formula>$B$122&lt;3</formula>
    </cfRule>
  </conditionalFormatting>
  <conditionalFormatting sqref="B128:C128 AR128:BB128 E128:F128 J128:AP128 AS93:BB93 E93:F93 J93:AB93 AJ93:AO93 AF93:AH93">
    <cfRule type="expression" dxfId="116" priority="93" stopIfTrue="1">
      <formula>$B$122&lt;4</formula>
    </cfRule>
  </conditionalFormatting>
  <conditionalFormatting sqref="B129:C129 AR129:BB129 E129:F129 J129:AP129 AS94:BB94 E94:F94 J94:AB94 AJ94:AO94 AF94:AH94">
    <cfRule type="expression" dxfId="115" priority="92" stopIfTrue="1">
      <formula>$B$122&lt;5</formula>
    </cfRule>
  </conditionalFormatting>
  <conditionalFormatting sqref="B130:C130 AR130:BB130 E130:F130 J130:AP130 AS95:BB95 E95:F95 J95:AB95 AJ95:AO95 AF95:AH95">
    <cfRule type="expression" dxfId="114" priority="91">
      <formula>$B$122&lt;6</formula>
    </cfRule>
  </conditionalFormatting>
  <conditionalFormatting sqref="E104">
    <cfRule type="expression" dxfId="113" priority="89" stopIfTrue="1">
      <formula>$B$101&lt;1</formula>
    </cfRule>
  </conditionalFormatting>
  <conditionalFormatting sqref="E105">
    <cfRule type="expression" dxfId="112" priority="88" stopIfTrue="1">
      <formula>$B$101&lt;2</formula>
    </cfRule>
  </conditionalFormatting>
  <conditionalFormatting sqref="E106">
    <cfRule type="expression" dxfId="111" priority="87" stopIfTrue="1">
      <formula>$B$101&lt;3</formula>
    </cfRule>
  </conditionalFormatting>
  <conditionalFormatting sqref="E107">
    <cfRule type="expression" dxfId="110" priority="86" stopIfTrue="1">
      <formula>$B$101&lt;4</formula>
    </cfRule>
  </conditionalFormatting>
  <conditionalFormatting sqref="E108">
    <cfRule type="expression" dxfId="109" priority="85" stopIfTrue="1">
      <formula>$B$101&lt;5</formula>
    </cfRule>
  </conditionalFormatting>
  <conditionalFormatting sqref="E109">
    <cfRule type="expression" dxfId="108" priority="84" stopIfTrue="1">
      <formula>$B$101&lt;6</formula>
    </cfRule>
  </conditionalFormatting>
  <conditionalFormatting sqref="E110">
    <cfRule type="expression" dxfId="107" priority="83" stopIfTrue="1">
      <formula>$B$101&lt;7</formula>
    </cfRule>
  </conditionalFormatting>
  <conditionalFormatting sqref="E111">
    <cfRule type="expression" dxfId="106" priority="82" stopIfTrue="1">
      <formula>$B$101&lt;8</formula>
    </cfRule>
  </conditionalFormatting>
  <conditionalFormatting sqref="E112">
    <cfRule type="expression" dxfId="105" priority="81" stopIfTrue="1">
      <formula>$B$101&lt;9</formula>
    </cfRule>
  </conditionalFormatting>
  <conditionalFormatting sqref="E113">
    <cfRule type="expression" dxfId="104" priority="80" stopIfTrue="1">
      <formula>$B$101&lt;10</formula>
    </cfRule>
  </conditionalFormatting>
  <conditionalFormatting sqref="E114">
    <cfRule type="expression" dxfId="103" priority="79" stopIfTrue="1">
      <formula>$B$101&lt;11</formula>
    </cfRule>
  </conditionalFormatting>
  <conditionalFormatting sqref="E115">
    <cfRule type="expression" dxfId="102" priority="78" stopIfTrue="1">
      <formula>$B$101&lt;12</formula>
    </cfRule>
  </conditionalFormatting>
  <conditionalFormatting sqref="BA104:BB115">
    <cfRule type="cellIs" dxfId="101" priority="105" stopIfTrue="1" operator="lessThan">
      <formula>10</formula>
    </cfRule>
  </conditionalFormatting>
  <conditionalFormatting sqref="BA125:BB130">
    <cfRule type="cellIs" dxfId="100" priority="96" stopIfTrue="1" operator="lessThan">
      <formula>10</formula>
    </cfRule>
  </conditionalFormatting>
  <conditionalFormatting sqref="F104:G104">
    <cfRule type="expression" dxfId="99" priority="76" stopIfTrue="1">
      <formula>$B$101&lt;1</formula>
    </cfRule>
  </conditionalFormatting>
  <conditionalFormatting sqref="F105:G105">
    <cfRule type="expression" dxfId="98" priority="75" stopIfTrue="1">
      <formula>$B$101&lt;2</formula>
    </cfRule>
  </conditionalFormatting>
  <conditionalFormatting sqref="F106:G106">
    <cfRule type="expression" dxfId="97" priority="74" stopIfTrue="1">
      <formula>$B$101&lt;3</formula>
    </cfRule>
  </conditionalFormatting>
  <conditionalFormatting sqref="F107:G107">
    <cfRule type="expression" dxfId="96" priority="73" stopIfTrue="1">
      <formula>$B$101&lt;4</formula>
    </cfRule>
  </conditionalFormatting>
  <conditionalFormatting sqref="F108:G108">
    <cfRule type="expression" dxfId="95" priority="72" stopIfTrue="1">
      <formula>$B$101&lt;5</formula>
    </cfRule>
  </conditionalFormatting>
  <conditionalFormatting sqref="F109:G109">
    <cfRule type="expression" dxfId="94" priority="71" stopIfTrue="1">
      <formula>$B$101&lt;6</formula>
    </cfRule>
  </conditionalFormatting>
  <conditionalFormatting sqref="F110:G110">
    <cfRule type="expression" dxfId="93" priority="70" stopIfTrue="1">
      <formula>$B$101&lt;7</formula>
    </cfRule>
  </conditionalFormatting>
  <conditionalFormatting sqref="F111:G111">
    <cfRule type="expression" dxfId="92" priority="69" stopIfTrue="1">
      <formula>$B$101&lt;8</formula>
    </cfRule>
  </conditionalFormatting>
  <conditionalFormatting sqref="F112:G112">
    <cfRule type="expression" dxfId="91" priority="68" stopIfTrue="1">
      <formula>$B$101&lt;9</formula>
    </cfRule>
  </conditionalFormatting>
  <conditionalFormatting sqref="F113:G113">
    <cfRule type="expression" dxfId="90" priority="67" stopIfTrue="1">
      <formula>$B$101&lt;10</formula>
    </cfRule>
  </conditionalFormatting>
  <conditionalFormatting sqref="F114:G114">
    <cfRule type="expression" dxfId="89" priority="66" stopIfTrue="1">
      <formula>$B$101&lt;11</formula>
    </cfRule>
  </conditionalFormatting>
  <conditionalFormatting sqref="F115:G115">
    <cfRule type="expression" dxfId="88" priority="65" stopIfTrue="1">
      <formula>$B$101&lt;12</formula>
    </cfRule>
  </conditionalFormatting>
  <conditionalFormatting sqref="D105:D115">
    <cfRule type="cellIs" dxfId="87" priority="108" stopIfTrue="1" operator="notEqual">
      <formula>0</formula>
    </cfRule>
  </conditionalFormatting>
  <conditionalFormatting sqref="Z104:AA104">
    <cfRule type="expression" dxfId="86" priority="63" stopIfTrue="1">
      <formula>$B$104&lt;1</formula>
    </cfRule>
  </conditionalFormatting>
  <conditionalFormatting sqref="AD105:AD115">
    <cfRule type="expression" dxfId="85" priority="58" stopIfTrue="1">
      <formula>$B$104&lt;1</formula>
    </cfRule>
  </conditionalFormatting>
  <conditionalFormatting sqref="AC104:AD104">
    <cfRule type="expression" dxfId="84" priority="62" stopIfTrue="1">
      <formula>$B$104&lt;1</formula>
    </cfRule>
  </conditionalFormatting>
  <conditionalFormatting sqref="AD104:AD115">
    <cfRule type="expression" dxfId="83" priority="61" stopIfTrue="1">
      <formula>$B$104&lt;1</formula>
    </cfRule>
  </conditionalFormatting>
  <conditionalFormatting sqref="AD105:AD115">
    <cfRule type="expression" dxfId="82" priority="60" stopIfTrue="1">
      <formula>$B$104&lt;1</formula>
    </cfRule>
  </conditionalFormatting>
  <conditionalFormatting sqref="AC105:AC115">
    <cfRule type="expression" dxfId="81" priority="59" stopIfTrue="1">
      <formula>$B$104&lt;1</formula>
    </cfRule>
  </conditionalFormatting>
  <conditionalFormatting sqref="AD105:AD115">
    <cfRule type="expression" dxfId="80" priority="57" stopIfTrue="1">
      <formula>$B$104&lt;1</formula>
    </cfRule>
  </conditionalFormatting>
  <conditionalFormatting sqref="AE104">
    <cfRule type="expression" dxfId="79" priority="56" stopIfTrue="1">
      <formula>$B$104&lt;1</formula>
    </cfRule>
  </conditionalFormatting>
  <conditionalFormatting sqref="AE105:AE115">
    <cfRule type="expression" dxfId="78" priority="55" stopIfTrue="1">
      <formula>$B$104&lt;1</formula>
    </cfRule>
  </conditionalFormatting>
  <conditionalFormatting sqref="C69">
    <cfRule type="cellIs" dxfId="77" priority="54" stopIfTrue="1" operator="between">
      <formula>"OVERLOAD"</formula>
      <formula>"OVERLOAD"</formula>
    </cfRule>
  </conditionalFormatting>
  <conditionalFormatting sqref="B132:C132 AR132:BB132 E132:F132 J132:AP132 AS97:BB97 E97:F97 J97:AB97 AJ97:AO97 AF97:AH97">
    <cfRule type="expression" dxfId="76" priority="50">
      <formula>$B$122&lt;8</formula>
    </cfRule>
  </conditionalFormatting>
  <conditionalFormatting sqref="BA131:BB132">
    <cfRule type="cellIs" dxfId="75" priority="51" stopIfTrue="1" operator="lessThan">
      <formula>10</formula>
    </cfRule>
  </conditionalFormatting>
  <conditionalFormatting sqref="B131:C131 AR131:BB131 E131:F131 J131:AP131 AS96:BB96 E96:F96 J96:AB96 AJ96:AO96 AF96:AH96">
    <cfRule type="expression" dxfId="74" priority="49">
      <formula>$B$122&lt;7</formula>
    </cfRule>
  </conditionalFormatting>
  <conditionalFormatting sqref="D125">
    <cfRule type="cellIs" dxfId="73" priority="48" operator="notEqual">
      <formula>0</formula>
    </cfRule>
  </conditionalFormatting>
  <conditionalFormatting sqref="D126">
    <cfRule type="cellIs" dxfId="72" priority="47" operator="notEqual">
      <formula>0</formula>
    </cfRule>
  </conditionalFormatting>
  <conditionalFormatting sqref="D127">
    <cfRule type="cellIs" dxfId="71" priority="46" operator="notEqual">
      <formula>0</formula>
    </cfRule>
  </conditionalFormatting>
  <conditionalFormatting sqref="D128">
    <cfRule type="cellIs" dxfId="70" priority="45" operator="notEqual">
      <formula>0</formula>
    </cfRule>
  </conditionalFormatting>
  <conditionalFormatting sqref="D129">
    <cfRule type="cellIs" dxfId="69" priority="44" operator="notEqual">
      <formula>0</formula>
    </cfRule>
  </conditionalFormatting>
  <conditionalFormatting sqref="D130:D132">
    <cfRule type="cellIs" dxfId="68" priority="43" operator="notEqual">
      <formula>0</formula>
    </cfRule>
  </conditionalFormatting>
  <conditionalFormatting sqref="D126:D132">
    <cfRule type="expression" dxfId="67" priority="114">
      <formula>#REF!&lt;2</formula>
    </cfRule>
  </conditionalFormatting>
  <conditionalFormatting sqref="D78">
    <cfRule type="cellIs" dxfId="66" priority="37" operator="equal">
      <formula>"WLL of FRV APS is exceeded"</formula>
    </cfRule>
  </conditionalFormatting>
  <conditionalFormatting sqref="B91:C91">
    <cfRule type="expression" dxfId="65" priority="33" stopIfTrue="1">
      <formula>$B$122&lt;2</formula>
    </cfRule>
  </conditionalFormatting>
  <conditionalFormatting sqref="B92:C92">
    <cfRule type="expression" dxfId="64" priority="32" stopIfTrue="1">
      <formula>$B$122&lt;3</formula>
    </cfRule>
  </conditionalFormatting>
  <conditionalFormatting sqref="B93:C93">
    <cfRule type="expression" dxfId="63" priority="31" stopIfTrue="1">
      <formula>$B$122&lt;4</formula>
    </cfRule>
  </conditionalFormatting>
  <conditionalFormatting sqref="B94:C94">
    <cfRule type="expression" dxfId="62" priority="30" stopIfTrue="1">
      <formula>$B$122&lt;5</formula>
    </cfRule>
  </conditionalFormatting>
  <conditionalFormatting sqref="B95:C95">
    <cfRule type="expression" dxfId="61" priority="29">
      <formula>$B$122&lt;6</formula>
    </cfRule>
  </conditionalFormatting>
  <conditionalFormatting sqref="BA90:BB95">
    <cfRule type="cellIs" dxfId="60" priority="34" stopIfTrue="1" operator="lessThan">
      <formula>10</formula>
    </cfRule>
  </conditionalFormatting>
  <conditionalFormatting sqref="B97:C97">
    <cfRule type="expression" dxfId="59" priority="27">
      <formula>$B$122&lt;8</formula>
    </cfRule>
  </conditionalFormatting>
  <conditionalFormatting sqref="BA96:BB97">
    <cfRule type="cellIs" dxfId="58" priority="28" stopIfTrue="1" operator="lessThan">
      <formula>10</formula>
    </cfRule>
  </conditionalFormatting>
  <conditionalFormatting sqref="B96:C96">
    <cfRule type="expression" dxfId="57" priority="26">
      <formula>$B$122&lt;7</formula>
    </cfRule>
  </conditionalFormatting>
  <conditionalFormatting sqref="D90">
    <cfRule type="cellIs" dxfId="56" priority="25" operator="notEqual">
      <formula>0</formula>
    </cfRule>
  </conditionalFormatting>
  <conditionalFormatting sqref="D91">
    <cfRule type="cellIs" dxfId="55" priority="24" operator="notEqual">
      <formula>0</formula>
    </cfRule>
  </conditionalFormatting>
  <conditionalFormatting sqref="D92">
    <cfRule type="cellIs" dxfId="54" priority="23" operator="notEqual">
      <formula>0</formula>
    </cfRule>
  </conditionalFormatting>
  <conditionalFormatting sqref="D93">
    <cfRule type="cellIs" dxfId="53" priority="22" operator="notEqual">
      <formula>0</formula>
    </cfRule>
  </conditionalFormatting>
  <conditionalFormatting sqref="D94">
    <cfRule type="cellIs" dxfId="52" priority="21" operator="notEqual">
      <formula>0</formula>
    </cfRule>
  </conditionalFormatting>
  <conditionalFormatting sqref="D95:D97">
    <cfRule type="cellIs" dxfId="51" priority="20" operator="notEqual">
      <formula>0</formula>
    </cfRule>
  </conditionalFormatting>
  <conditionalFormatting sqref="D91:D97">
    <cfRule type="expression" dxfId="50" priority="35">
      <formula>#REF!&lt;2</formula>
    </cfRule>
  </conditionalFormatting>
  <conditionalFormatting sqref="W91:Y91">
    <cfRule type="expression" dxfId="49" priority="18" stopIfTrue="1">
      <formula>$B$101&lt;1</formula>
    </cfRule>
  </conditionalFormatting>
  <conditionalFormatting sqref="Z91:AA91">
    <cfRule type="expression" dxfId="48" priority="17" stopIfTrue="1">
      <formula>$B$104&lt;1</formula>
    </cfRule>
  </conditionalFormatting>
  <conditionalFormatting sqref="AC90">
    <cfRule type="expression" dxfId="47" priority="7" stopIfTrue="1">
      <formula>$B$104&lt;1</formula>
    </cfRule>
  </conditionalFormatting>
  <conditionalFormatting sqref="AC91:AC97">
    <cfRule type="expression" dxfId="46" priority="6" stopIfTrue="1">
      <formula>$B$104&lt;1</formula>
    </cfRule>
  </conditionalFormatting>
  <conditionalFormatting sqref="AE90">
    <cfRule type="expression" dxfId="45" priority="16" stopIfTrue="1">
      <formula>$B$104&lt;1</formula>
    </cfRule>
  </conditionalFormatting>
  <conditionalFormatting sqref="AE91:AE97">
    <cfRule type="expression" dxfId="44" priority="15" stopIfTrue="1">
      <formula>$B$104&lt;1</formula>
    </cfRule>
  </conditionalFormatting>
  <conditionalFormatting sqref="AD91:AD97">
    <cfRule type="expression" dxfId="43" priority="11" stopIfTrue="1">
      <formula>$B$104&lt;1</formula>
    </cfRule>
  </conditionalFormatting>
  <conditionalFormatting sqref="AD90">
    <cfRule type="expression" dxfId="42" priority="14" stopIfTrue="1">
      <formula>$B$104&lt;1</formula>
    </cfRule>
  </conditionalFormatting>
  <conditionalFormatting sqref="AD90:AD97">
    <cfRule type="expression" dxfId="41" priority="13" stopIfTrue="1">
      <formula>$B$104&lt;1</formula>
    </cfRule>
  </conditionalFormatting>
  <conditionalFormatting sqref="AD91:AD97">
    <cfRule type="expression" dxfId="40" priority="12" stopIfTrue="1">
      <formula>$B$104&lt;1</formula>
    </cfRule>
  </conditionalFormatting>
  <conditionalFormatting sqref="AD91:AD97">
    <cfRule type="expression" dxfId="39" priority="10" stopIfTrue="1">
      <formula>$B$104&lt;1</formula>
    </cfRule>
  </conditionalFormatting>
  <conditionalFormatting sqref="AD91:AD97">
    <cfRule type="expression" dxfId="38" priority="9" stopIfTrue="1">
      <formula>$B$104&lt;1</formula>
    </cfRule>
  </conditionalFormatting>
  <conditionalFormatting sqref="AD91:AD97">
    <cfRule type="expression" dxfId="37" priority="8" stopIfTrue="1">
      <formula>$B$104&lt;1</formula>
    </cfRule>
  </conditionalFormatting>
  <conditionalFormatting sqref="D104">
    <cfRule type="cellIs" dxfId="36" priority="5" operator="notEqual">
      <formula>0</formula>
    </cfRule>
  </conditionalFormatting>
  <conditionalFormatting sqref="V92">
    <cfRule type="expression" dxfId="35" priority="4" stopIfTrue="1">
      <formula>$B$122&lt;2</formula>
    </cfRule>
  </conditionalFormatting>
  <conditionalFormatting sqref="BH44:BZ44">
    <cfRule type="cellIs" dxfId="34" priority="2" operator="equal">
      <formula>0</formula>
    </cfRule>
  </conditionalFormatting>
  <conditionalFormatting sqref="BH44:BY44">
    <cfRule type="expression" dxfId="33" priority="3">
      <formula>$B$82=0</formula>
    </cfRule>
  </conditionalFormatting>
  <conditionalFormatting sqref="BF78">
    <cfRule type="cellIs" dxfId="32" priority="1" operator="equal">
      <formula>"WLL=180kg"</formula>
    </cfRule>
  </conditionalFormatting>
  <dataValidations count="5">
    <dataValidation type="decimal" allowBlank="1" showInputMessage="1" showErrorMessage="1" sqref="B82" xr:uid="{00000000-0002-0000-0300-000000000000}">
      <formula1>-89.9</formula1>
      <formula2>89.9</formula2>
    </dataValidation>
    <dataValidation type="custom" allowBlank="1" showInputMessage="1" showErrorMessage="1" sqref="D105:D115" xr:uid="{00000000-0002-0000-0300-000001000000}">
      <formula1>OR(D105=0,D105=2.5,D105=5)</formula1>
    </dataValidation>
    <dataValidation type="whole" allowBlank="1" showInputMessage="1" showErrorMessage="1" errorTitle="Coda Audio" error="YOU HAVE ENTERED A WRONG NUMBER OF CABINETS" promptTitle="Coda Audio" prompt="ENTER THE NUMBER OF CABINETS FROM 1 UP TO 3" sqref="B122 B101 B87" xr:uid="{00000000-0002-0000-0300-000002000000}">
      <formula1>1</formula1>
      <formula2>3</formula2>
    </dataValidation>
    <dataValidation type="decimal" allowBlank="1" showInputMessage="1" showErrorMessage="1" sqref="G105:G115 F127:F132 F106:F115 F92:F97" xr:uid="{00000000-0002-0000-0300-000003000000}">
      <formula1>0</formula1>
      <formula2>8</formula2>
    </dataValidation>
    <dataValidation type="decimal" allowBlank="1" showInputMessage="1" showErrorMessage="1" sqref="F104:G104 F125:G125 G126:G132 F90:G90 G91:G97" xr:uid="{00000000-0002-0000-0300-000004000000}">
      <formula1>0</formula1>
      <formula2>4</formula2>
    </dataValidation>
  </dataValidations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U175"/>
  <sheetViews>
    <sheetView topLeftCell="A54" zoomScale="50" zoomScaleNormal="50" workbookViewId="0">
      <selection activeCell="BH189" sqref="BH189"/>
    </sheetView>
  </sheetViews>
  <sheetFormatPr baseColWidth="10" defaultColWidth="9.140625" defaultRowHeight="15.75" x14ac:dyDescent="0.25"/>
  <cols>
    <col min="1" max="1" width="3" style="14" customWidth="1"/>
    <col min="2" max="2" width="34.42578125" style="11" customWidth="1"/>
    <col min="3" max="3" width="19.5703125" style="11" hidden="1" customWidth="1"/>
    <col min="4" max="4" width="28" style="13" customWidth="1"/>
    <col min="5" max="5" width="15" style="13" hidden="1" customWidth="1"/>
    <col min="6" max="6" width="25" style="13" hidden="1" customWidth="1"/>
    <col min="7" max="7" width="8.85546875" style="13" hidden="1" customWidth="1"/>
    <col min="8" max="20" width="11.42578125" style="14" hidden="1" customWidth="1"/>
    <col min="21" max="21" width="15.85546875" style="14" hidden="1" customWidth="1"/>
    <col min="22" max="22" width="13.28515625" style="14" hidden="1" customWidth="1"/>
    <col min="23" max="23" width="37.140625" style="14" hidden="1" customWidth="1"/>
    <col min="24" max="24" width="33.85546875" style="14" hidden="1" customWidth="1"/>
    <col min="25" max="25" width="12.42578125" style="14" hidden="1" customWidth="1"/>
    <col min="26" max="26" width="14.28515625" style="14" hidden="1" customWidth="1"/>
    <col min="27" max="27" width="15.5703125" style="14" hidden="1" customWidth="1"/>
    <col min="28" max="28" width="21.5703125" style="14" hidden="1" customWidth="1"/>
    <col min="29" max="29" width="14.28515625" style="14" hidden="1" customWidth="1"/>
    <col min="30" max="30" width="15.5703125" style="14" hidden="1" customWidth="1"/>
    <col min="31" max="31" width="18.85546875" style="14" hidden="1" customWidth="1"/>
    <col min="32" max="32" width="29.7109375" style="14" hidden="1" customWidth="1"/>
    <col min="33" max="33" width="15.5703125" style="14" hidden="1" customWidth="1"/>
    <col min="34" max="34" width="16.28515625" style="14" hidden="1" customWidth="1"/>
    <col min="35" max="35" width="15.5703125" style="14" hidden="1" customWidth="1"/>
    <col min="36" max="37" width="16.28515625" style="14" hidden="1" customWidth="1"/>
    <col min="38" max="38" width="10.28515625" style="14" hidden="1" customWidth="1"/>
    <col min="39" max="39" width="9" style="14" hidden="1" customWidth="1"/>
    <col min="40" max="40" width="9.5703125" style="14" hidden="1" customWidth="1"/>
    <col min="41" max="41" width="8.85546875" style="14" hidden="1" customWidth="1"/>
    <col min="42" max="42" width="17.7109375" style="14" hidden="1" customWidth="1"/>
    <col min="43" max="43" width="17.42578125" style="14" hidden="1" customWidth="1"/>
    <col min="44" max="44" width="11.85546875" style="14" hidden="1" customWidth="1"/>
    <col min="45" max="45" width="14.85546875" style="14" hidden="1" customWidth="1"/>
    <col min="46" max="46" width="4.42578125" style="14" hidden="1" customWidth="1"/>
    <col min="47" max="47" width="6.42578125" style="14" hidden="1" customWidth="1"/>
    <col min="48" max="48" width="46.28515625" style="14" hidden="1" customWidth="1"/>
    <col min="49" max="49" width="16.28515625" style="14" hidden="1" customWidth="1"/>
    <col min="50" max="51" width="15.5703125" style="14" hidden="1" customWidth="1"/>
    <col min="52" max="52" width="8.7109375" style="14" hidden="1" customWidth="1"/>
    <col min="53" max="53" width="38.85546875" style="14" hidden="1" customWidth="1"/>
    <col min="54" max="54" width="8.85546875" style="14" hidden="1" customWidth="1"/>
    <col min="55" max="55" width="14.5703125" style="14" hidden="1" customWidth="1"/>
    <col min="56" max="56" width="33.5703125" style="14" hidden="1" customWidth="1"/>
    <col min="57" max="57" width="29.140625" style="14" customWidth="1"/>
    <col min="58" max="58" width="7.140625" style="14" hidden="1" customWidth="1"/>
    <col min="59" max="72" width="8.42578125" style="14" customWidth="1"/>
    <col min="73" max="73" width="8.42578125" style="14" hidden="1" customWidth="1"/>
    <col min="74" max="84" width="7.140625" style="14" hidden="1" customWidth="1"/>
    <col min="85" max="85" width="7.7109375" style="14" hidden="1" customWidth="1"/>
    <col min="86" max="86" width="16" style="14" hidden="1" customWidth="1"/>
    <col min="87" max="87" width="40.85546875" style="14" hidden="1" customWidth="1"/>
    <col min="88" max="88" width="18" style="14" hidden="1" customWidth="1"/>
    <col min="89" max="89" width="11.42578125" style="14" hidden="1" customWidth="1"/>
    <col min="90" max="96" width="0" style="14" hidden="1" customWidth="1"/>
    <col min="97" max="97" width="41" style="14" hidden="1" customWidth="1"/>
    <col min="98" max="98" width="0" style="14" hidden="1" customWidth="1"/>
    <col min="99" max="99" width="11.42578125" style="14" hidden="1" customWidth="1"/>
    <col min="100" max="126" width="0" style="14" hidden="1" customWidth="1"/>
    <col min="127" max="16384" width="9.140625" style="14"/>
  </cols>
  <sheetData>
    <row r="1" spans="2:7" ht="18" hidden="1" x14ac:dyDescent="0.25">
      <c r="D1" s="12" t="s">
        <v>71</v>
      </c>
      <c r="E1" s="12" t="s">
        <v>72</v>
      </c>
      <c r="F1" s="12" t="s">
        <v>73</v>
      </c>
    </row>
    <row r="2" spans="2:7" ht="20.25" hidden="1" x14ac:dyDescent="0.3">
      <c r="B2" s="15" t="s">
        <v>23</v>
      </c>
      <c r="C2" s="345">
        <v>308</v>
      </c>
      <c r="D2" s="343">
        <f>+COS(($B$100*-1)*3.14159265358979/180)*C2</f>
        <v>308</v>
      </c>
      <c r="E2" s="344">
        <f>+COS(($B$100*-1)*3.14159265358979/180)*28</f>
        <v>28</v>
      </c>
      <c r="F2" s="346">
        <f>+COS((($B$100*-1)+40.3080044
)*3.14159265358979/180)*46.6845</f>
        <v>35.600570946065154</v>
      </c>
    </row>
    <row r="3" spans="2:7" ht="20.25" hidden="1" x14ac:dyDescent="0.3">
      <c r="B3" s="15" t="s">
        <v>128</v>
      </c>
      <c r="C3" s="348">
        <f>+C15-35.6005</f>
        <v>139.67813555724769</v>
      </c>
      <c r="D3" s="16">
        <f>+C15-F2</f>
        <v>139.67806461118255</v>
      </c>
    </row>
    <row r="4" spans="2:7" ht="54.75" hidden="1" x14ac:dyDescent="0.3">
      <c r="B4" s="409" t="s">
        <v>75</v>
      </c>
      <c r="C4" s="410"/>
      <c r="D4" s="411"/>
    </row>
    <row r="5" spans="2:7" ht="36.75" hidden="1" x14ac:dyDescent="0.3">
      <c r="B5" s="409" t="s">
        <v>76</v>
      </c>
      <c r="C5" s="410"/>
      <c r="D5" s="411"/>
    </row>
    <row r="6" spans="2:7" s="20" customFormat="1" ht="18" hidden="1" x14ac:dyDescent="0.25">
      <c r="B6" s="18"/>
      <c r="C6" s="19"/>
      <c r="D6" s="13"/>
      <c r="E6" s="13"/>
      <c r="F6" s="13"/>
      <c r="G6" s="13"/>
    </row>
    <row r="7" spans="2:7" ht="36" hidden="1" x14ac:dyDescent="0.25">
      <c r="B7" s="398" t="s">
        <v>57</v>
      </c>
      <c r="C7" s="349">
        <v>5800</v>
      </c>
      <c r="D7" s="349">
        <v>10000</v>
      </c>
      <c r="E7" s="350"/>
    </row>
    <row r="8" spans="2:7" ht="18.75" hidden="1" thickBot="1" x14ac:dyDescent="0.3">
      <c r="B8" s="398" t="s">
        <v>59</v>
      </c>
      <c r="C8" s="351">
        <v>8000</v>
      </c>
      <c r="D8" s="351">
        <v>8000</v>
      </c>
      <c r="E8" s="349">
        <v>8000</v>
      </c>
    </row>
    <row r="9" spans="2:7" ht="18" hidden="1" x14ac:dyDescent="0.25">
      <c r="B9" s="406"/>
      <c r="C9" s="407" t="s">
        <v>18</v>
      </c>
      <c r="D9" s="407" t="s">
        <v>19</v>
      </c>
      <c r="E9" s="350"/>
    </row>
    <row r="10" spans="2:7" ht="18.75" hidden="1" thickBot="1" x14ac:dyDescent="0.3">
      <c r="B10" s="406" t="s">
        <v>16</v>
      </c>
      <c r="C10" s="408" t="e">
        <f>+((C13-C15)/C13)*C12</f>
        <v>#DIV/0!</v>
      </c>
      <c r="D10" s="408" t="e">
        <f>+(C15/C13)*C12</f>
        <v>#DIV/0!</v>
      </c>
      <c r="E10" s="350"/>
    </row>
    <row r="11" spans="2:7" s="20" customFormat="1" ht="18" hidden="1" x14ac:dyDescent="0.25">
      <c r="B11" s="18"/>
      <c r="C11" s="19"/>
      <c r="D11" s="13"/>
      <c r="E11" s="13"/>
      <c r="F11" s="13"/>
      <c r="G11" s="13"/>
    </row>
    <row r="12" spans="2:7" ht="20.25" hidden="1" x14ac:dyDescent="0.3">
      <c r="B12" s="21" t="s">
        <v>45</v>
      </c>
      <c r="C12" s="343">
        <f>+(3*12.2)+1+5</f>
        <v>42.599999999999994</v>
      </c>
    </row>
    <row r="13" spans="2:7" ht="18" hidden="1" x14ac:dyDescent="0.25">
      <c r="B13" s="23" t="s">
        <v>46</v>
      </c>
      <c r="C13" s="347"/>
    </row>
    <row r="14" spans="2:7" ht="18" hidden="1" x14ac:dyDescent="0.25">
      <c r="B14" s="24">
        <f>+B103</f>
        <v>1</v>
      </c>
      <c r="C14" s="25">
        <f>IF(B14&lt;=24,B14)</f>
        <v>1</v>
      </c>
    </row>
    <row r="15" spans="2:7" ht="18" hidden="1" x14ac:dyDescent="0.25">
      <c r="B15" s="23" t="s">
        <v>47</v>
      </c>
      <c r="C15" s="21">
        <f>+X101</f>
        <v>175.2786355572477</v>
      </c>
    </row>
    <row r="16" spans="2:7" ht="18" hidden="1" x14ac:dyDescent="0.25">
      <c r="B16" s="18"/>
      <c r="C16" s="19"/>
    </row>
    <row r="17" spans="1:7" ht="18" hidden="1" x14ac:dyDescent="0.25">
      <c r="B17" s="18"/>
      <c r="C17" s="19"/>
    </row>
    <row r="18" spans="1:7" ht="18" hidden="1" x14ac:dyDescent="0.25">
      <c r="B18" s="18"/>
      <c r="C18" s="19"/>
    </row>
    <row r="19" spans="1:7" ht="18" hidden="1" x14ac:dyDescent="0.25">
      <c r="B19" s="18"/>
      <c r="C19" s="19"/>
    </row>
    <row r="20" spans="1:7" ht="18" hidden="1" x14ac:dyDescent="0.25">
      <c r="B20" s="18"/>
      <c r="C20" s="19"/>
    </row>
    <row r="21" spans="1:7" ht="18" hidden="1" x14ac:dyDescent="0.25">
      <c r="B21" s="18"/>
      <c r="C21" s="19"/>
    </row>
    <row r="22" spans="1:7" ht="18" hidden="1" x14ac:dyDescent="0.25">
      <c r="B22" s="18"/>
      <c r="C22" s="19"/>
    </row>
    <row r="23" spans="1:7" ht="18" hidden="1" x14ac:dyDescent="0.25">
      <c r="B23" s="18"/>
      <c r="C23" s="19"/>
    </row>
    <row r="24" spans="1:7" ht="18" hidden="1" x14ac:dyDescent="0.25">
      <c r="B24" s="18"/>
      <c r="C24" s="19"/>
    </row>
    <row r="25" spans="1:7" ht="18" hidden="1" x14ac:dyDescent="0.25">
      <c r="B25" s="18"/>
      <c r="C25" s="19"/>
    </row>
    <row r="26" spans="1:7" ht="18" hidden="1" x14ac:dyDescent="0.25">
      <c r="B26" s="18"/>
      <c r="C26" s="19"/>
    </row>
    <row r="27" spans="1:7" ht="18" hidden="1" x14ac:dyDescent="0.25">
      <c r="B27" s="18"/>
      <c r="C27" s="19"/>
    </row>
    <row r="28" spans="1:7" ht="18" hidden="1" x14ac:dyDescent="0.25">
      <c r="A28" s="26"/>
      <c r="B28" s="27"/>
      <c r="C28" s="28"/>
      <c r="D28" s="29"/>
      <c r="E28" s="29"/>
      <c r="F28" s="29"/>
      <c r="G28" s="29"/>
    </row>
    <row r="29" spans="1:7" ht="18" hidden="1" x14ac:dyDescent="0.25">
      <c r="A29" s="26"/>
      <c r="B29" s="27"/>
      <c r="C29" s="28"/>
      <c r="D29" s="29"/>
      <c r="E29" s="29"/>
      <c r="F29" s="29"/>
      <c r="G29" s="29"/>
    </row>
    <row r="30" spans="1:7" ht="18" hidden="1" x14ac:dyDescent="0.25">
      <c r="A30" s="26"/>
      <c r="B30" s="30"/>
      <c r="C30" s="31"/>
      <c r="D30" s="32"/>
      <c r="E30" s="29"/>
      <c r="F30" s="32"/>
      <c r="G30" s="29"/>
    </row>
    <row r="31" spans="1:7" ht="18" hidden="1" x14ac:dyDescent="0.25">
      <c r="A31" s="26"/>
      <c r="B31" s="6"/>
      <c r="C31" s="33"/>
      <c r="D31" s="34"/>
      <c r="E31" s="6"/>
      <c r="F31" s="29"/>
      <c r="G31" s="29"/>
    </row>
    <row r="32" spans="1:7" ht="30" hidden="1" x14ac:dyDescent="0.4">
      <c r="A32" s="26"/>
      <c r="B32" s="35"/>
      <c r="C32" s="31"/>
      <c r="D32" s="29"/>
      <c r="E32" s="36"/>
      <c r="F32" s="29"/>
      <c r="G32" s="29"/>
    </row>
    <row r="33" spans="1:7" ht="18" hidden="1" x14ac:dyDescent="0.2">
      <c r="A33" s="26"/>
      <c r="B33" s="744"/>
      <c r="C33" s="745"/>
      <c r="D33" s="745"/>
      <c r="E33" s="745"/>
      <c r="F33" s="29"/>
      <c r="G33" s="29"/>
    </row>
    <row r="34" spans="1:7" hidden="1" x14ac:dyDescent="0.25">
      <c r="A34" s="26"/>
      <c r="B34" s="31"/>
      <c r="C34" s="31"/>
      <c r="D34" s="31"/>
      <c r="E34" s="31"/>
      <c r="F34" s="29"/>
      <c r="G34" s="29"/>
    </row>
    <row r="35" spans="1:7" hidden="1" x14ac:dyDescent="0.25">
      <c r="A35" s="26"/>
      <c r="B35" s="31"/>
      <c r="C35" s="31"/>
      <c r="D35" s="31"/>
      <c r="E35" s="31"/>
      <c r="F35" s="29"/>
      <c r="G35" s="29"/>
    </row>
    <row r="36" spans="1:7" hidden="1" x14ac:dyDescent="0.25">
      <c r="A36" s="26"/>
      <c r="B36" s="31"/>
      <c r="C36" s="31"/>
      <c r="D36" s="31"/>
      <c r="E36" s="31"/>
      <c r="F36" s="29"/>
      <c r="G36" s="29"/>
    </row>
    <row r="37" spans="1:7" ht="18" hidden="1" x14ac:dyDescent="0.2">
      <c r="A37" s="26"/>
      <c r="B37" s="37"/>
      <c r="C37" s="38"/>
      <c r="D37" s="37"/>
      <c r="E37" s="37"/>
      <c r="F37" s="29"/>
      <c r="G37" s="29"/>
    </row>
    <row r="38" spans="1:7" ht="18" hidden="1" x14ac:dyDescent="0.2">
      <c r="A38" s="26"/>
      <c r="B38" s="37"/>
      <c r="C38" s="38"/>
      <c r="D38" s="37"/>
      <c r="E38" s="37"/>
      <c r="F38" s="29"/>
      <c r="G38" s="29"/>
    </row>
    <row r="39" spans="1:7" ht="18" hidden="1" x14ac:dyDescent="0.25">
      <c r="A39" s="26"/>
      <c r="B39" s="39"/>
      <c r="C39" s="38"/>
      <c r="D39" s="39"/>
      <c r="E39" s="40"/>
      <c r="F39" s="29"/>
      <c r="G39" s="29"/>
    </row>
    <row r="40" spans="1:7" ht="18" hidden="1" x14ac:dyDescent="0.2">
      <c r="A40" s="26"/>
      <c r="B40" s="37"/>
      <c r="C40" s="38"/>
      <c r="D40" s="37"/>
      <c r="E40" s="7"/>
      <c r="F40" s="29"/>
      <c r="G40" s="29"/>
    </row>
    <row r="41" spans="1:7" ht="18" hidden="1" x14ac:dyDescent="0.25">
      <c r="A41" s="26"/>
      <c r="B41" s="27"/>
      <c r="C41" s="28"/>
      <c r="D41" s="29"/>
      <c r="E41" s="29"/>
      <c r="F41" s="29"/>
      <c r="G41" s="29"/>
    </row>
    <row r="42" spans="1:7" ht="18" hidden="1" x14ac:dyDescent="0.25">
      <c r="A42" s="26"/>
      <c r="B42" s="27"/>
      <c r="C42" s="28"/>
      <c r="D42" s="29"/>
      <c r="E42" s="29"/>
      <c r="F42" s="29"/>
      <c r="G42" s="29"/>
    </row>
    <row r="43" spans="1:7" ht="18" hidden="1" x14ac:dyDescent="0.25">
      <c r="A43" s="26"/>
      <c r="B43" s="27"/>
      <c r="C43" s="28"/>
      <c r="D43" s="29"/>
      <c r="E43" s="29"/>
      <c r="F43" s="29"/>
      <c r="G43" s="29"/>
    </row>
    <row r="44" spans="1:7" ht="18" hidden="1" x14ac:dyDescent="0.25">
      <c r="A44" s="26"/>
      <c r="B44" s="27"/>
      <c r="C44" s="28"/>
      <c r="D44" s="29"/>
      <c r="E44" s="29"/>
      <c r="F44" s="29"/>
      <c r="G44" s="29"/>
    </row>
    <row r="45" spans="1:7" ht="18" hidden="1" x14ac:dyDescent="0.25">
      <c r="A45" s="26"/>
      <c r="B45" s="27"/>
      <c r="C45" s="28"/>
      <c r="D45" s="29"/>
      <c r="E45" s="29"/>
      <c r="F45" s="29"/>
      <c r="G45" s="29"/>
    </row>
    <row r="46" spans="1:7" ht="18" hidden="1" x14ac:dyDescent="0.25">
      <c r="A46" s="26"/>
      <c r="B46" s="27"/>
      <c r="C46" s="28"/>
      <c r="D46" s="29"/>
      <c r="E46" s="29"/>
      <c r="F46" s="29"/>
      <c r="G46" s="29"/>
    </row>
    <row r="47" spans="1:7" hidden="1" x14ac:dyDescent="0.25">
      <c r="A47" s="26"/>
      <c r="B47" s="31"/>
      <c r="C47" s="31"/>
      <c r="D47" s="29"/>
      <c r="E47" s="29"/>
      <c r="F47" s="29"/>
      <c r="G47" s="29"/>
    </row>
    <row r="48" spans="1:7" hidden="1" x14ac:dyDescent="0.25">
      <c r="A48" s="26"/>
      <c r="B48" s="31"/>
      <c r="C48" s="31"/>
      <c r="D48" s="29"/>
      <c r="E48" s="29"/>
      <c r="F48" s="29"/>
      <c r="G48" s="29"/>
    </row>
    <row r="49" spans="1:88" s="42" customFormat="1" ht="20.25" hidden="1" x14ac:dyDescent="0.3">
      <c r="A49" s="32"/>
      <c r="B49" s="41"/>
      <c r="C49" s="41"/>
      <c r="D49" s="30"/>
      <c r="E49" s="30"/>
      <c r="F49" s="30"/>
      <c r="G49" s="30"/>
      <c r="AR49" s="43"/>
      <c r="AS49" s="43"/>
      <c r="AX49" s="14"/>
      <c r="AY49" s="14"/>
      <c r="AZ49" s="14"/>
      <c r="BA49" s="14"/>
      <c r="BB49" s="14"/>
      <c r="BC49" s="14"/>
      <c r="BZ49" s="47"/>
      <c r="CA49" s="47"/>
      <c r="CB49" s="47"/>
      <c r="CC49" s="47"/>
      <c r="CD49" s="47"/>
      <c r="CE49" s="47"/>
      <c r="CF49" s="47"/>
      <c r="CG49" s="47"/>
      <c r="CH49" s="47"/>
      <c r="CI49" s="47"/>
    </row>
    <row r="50" spans="1:88" ht="30" hidden="1" x14ac:dyDescent="0.35">
      <c r="A50" s="26"/>
      <c r="B50" s="31"/>
      <c r="C50" s="31"/>
      <c r="D50" s="29"/>
      <c r="E50" s="29"/>
      <c r="F50" s="29"/>
      <c r="G50" s="29"/>
      <c r="AR50" s="20"/>
      <c r="AS50" s="48"/>
      <c r="AT50" s="49"/>
      <c r="AU50" s="49"/>
      <c r="AV50" s="49"/>
      <c r="AW50" s="49"/>
      <c r="BB50" s="50"/>
      <c r="CG50" s="47"/>
      <c r="CH50" s="47"/>
      <c r="CI50" s="47"/>
    </row>
    <row r="51" spans="1:88" ht="25.5" hidden="1" x14ac:dyDescent="0.35">
      <c r="A51" s="26"/>
      <c r="B51" s="31"/>
      <c r="C51" s="31"/>
      <c r="D51" s="29"/>
      <c r="E51" s="29"/>
      <c r="F51" s="29"/>
      <c r="G51" s="29"/>
      <c r="AR51" s="746"/>
      <c r="AS51" s="746"/>
      <c r="AT51" s="49"/>
      <c r="AU51" s="49"/>
      <c r="AV51" s="49"/>
      <c r="AW51" s="49"/>
      <c r="CG51" s="47"/>
      <c r="CH51" s="47"/>
      <c r="CI51" s="47"/>
      <c r="CJ51" s="47"/>
    </row>
    <row r="52" spans="1:88" ht="25.5" hidden="1" x14ac:dyDescent="0.35">
      <c r="AR52" s="457"/>
      <c r="AS52" s="457"/>
      <c r="AT52" s="49"/>
      <c r="AU52" s="49"/>
      <c r="AV52" s="49"/>
      <c r="AW52" s="49"/>
      <c r="CG52" s="55"/>
      <c r="CH52" s="47"/>
      <c r="CI52" s="47"/>
      <c r="CJ52" s="47"/>
    </row>
    <row r="53" spans="1:88" ht="25.5" hidden="1" x14ac:dyDescent="0.35">
      <c r="AT53" s="49"/>
      <c r="AU53" s="49"/>
      <c r="AV53" s="49"/>
      <c r="AW53" s="49"/>
      <c r="BB53" s="50"/>
      <c r="CG53" s="56"/>
      <c r="CH53" s="47"/>
      <c r="CI53" s="47"/>
      <c r="CJ53" s="47"/>
    </row>
    <row r="54" spans="1:88" ht="24.75" customHeight="1" x14ac:dyDescent="0.3">
      <c r="BE54" s="693" t="s">
        <v>22</v>
      </c>
      <c r="BF54" s="42"/>
      <c r="BG54" s="694">
        <f>+C12</f>
        <v>42.599999999999994</v>
      </c>
      <c r="BH54" s="45" t="s">
        <v>16</v>
      </c>
      <c r="BI54" s="394" t="s">
        <v>133</v>
      </c>
      <c r="BL54" s="45"/>
      <c r="BN54" s="46"/>
      <c r="BO54" s="46"/>
      <c r="BP54" s="46"/>
      <c r="BQ54" s="46"/>
      <c r="BR54" s="46"/>
      <c r="BS54" s="46"/>
      <c r="BT54" s="47"/>
      <c r="BU54" s="47"/>
      <c r="BV54" s="47"/>
      <c r="BW54" s="47"/>
      <c r="BX54" s="47"/>
      <c r="BY54" s="47"/>
      <c r="CG54" s="58"/>
      <c r="CH54" s="47"/>
      <c r="CI54" s="47"/>
      <c r="CJ54" s="47"/>
    </row>
    <row r="55" spans="1:88" ht="12.75" customHeight="1" thickBot="1" x14ac:dyDescent="0.4">
      <c r="BC55" s="52"/>
      <c r="BD55" s="4"/>
      <c r="BE55" s="59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1"/>
      <c r="BT55" s="62"/>
      <c r="BU55" s="62"/>
      <c r="BV55" s="62"/>
      <c r="BW55" s="62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47"/>
      <c r="CI55" s="47"/>
      <c r="CJ55" s="47"/>
    </row>
    <row r="56" spans="1:88" ht="31.5" customHeight="1" x14ac:dyDescent="0.3">
      <c r="BB56" s="50"/>
      <c r="BE56" s="326" t="s">
        <v>24</v>
      </c>
      <c r="BF56" s="699"/>
      <c r="BG56" s="381" t="s">
        <v>25</v>
      </c>
      <c r="BH56" s="382"/>
      <c r="BI56" s="383"/>
      <c r="BJ56" s="383"/>
      <c r="BK56" s="383"/>
      <c r="BL56" s="383"/>
      <c r="BM56" s="383"/>
      <c r="BN56" s="384"/>
      <c r="BO56" s="385"/>
      <c r="BP56" s="386"/>
      <c r="BQ56" s="51"/>
      <c r="BR56" s="388" t="s">
        <v>26</v>
      </c>
      <c r="BS56" s="689"/>
      <c r="BT56" s="105"/>
      <c r="BU56" s="105"/>
      <c r="BV56" s="105"/>
      <c r="BW56" s="105"/>
      <c r="BX56" s="46"/>
      <c r="BY56" s="46"/>
      <c r="BZ56" s="46"/>
      <c r="CA56" s="46"/>
      <c r="CB56" s="463"/>
      <c r="CC56" s="105"/>
      <c r="CD56" s="86"/>
      <c r="CE56" s="86"/>
      <c r="CF56" s="86"/>
      <c r="CG56" s="55"/>
      <c r="CH56" s="47"/>
      <c r="CI56" s="47"/>
      <c r="CJ56" s="47"/>
    </row>
    <row r="57" spans="1:88" ht="31.5" customHeight="1" thickBot="1" x14ac:dyDescent="0.35">
      <c r="BE57" s="327"/>
      <c r="BF57" s="700"/>
      <c r="BG57" s="747">
        <f>+((D2-D3)/D2)*C12</f>
        <v>23.280891063518258</v>
      </c>
      <c r="BH57" s="748"/>
      <c r="BI57" s="389"/>
      <c r="BJ57" s="389"/>
      <c r="BK57" s="389"/>
      <c r="BL57" s="389"/>
      <c r="BM57" s="389"/>
      <c r="BN57" s="390"/>
      <c r="BO57" s="391"/>
      <c r="BP57" s="392"/>
      <c r="BQ57" s="749">
        <f>+(D3/D2)*C12</f>
        <v>19.31910893648174</v>
      </c>
      <c r="BR57" s="750"/>
      <c r="BS57" s="689"/>
      <c r="BT57" s="105"/>
      <c r="BU57" s="105"/>
      <c r="BV57" s="105"/>
      <c r="BW57" s="105"/>
      <c r="BX57" s="46"/>
      <c r="BY57" s="46"/>
      <c r="BZ57" s="46"/>
      <c r="CA57" s="46"/>
      <c r="CB57" s="105"/>
      <c r="CC57" s="105"/>
      <c r="CD57" s="86"/>
      <c r="CE57" s="86"/>
      <c r="CF57" s="86"/>
      <c r="CG57" s="55"/>
      <c r="CH57" s="47"/>
      <c r="CI57" s="47"/>
      <c r="CJ57" s="47"/>
    </row>
    <row r="58" spans="1:88" ht="9.75" customHeight="1" thickBot="1" x14ac:dyDescent="0.35">
      <c r="BE58" s="59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59"/>
      <c r="BQ58" s="60"/>
      <c r="BR58" s="60"/>
      <c r="BS58" s="61"/>
      <c r="BT58" s="62"/>
      <c r="BU58" s="62"/>
      <c r="BV58" s="62"/>
      <c r="BW58" s="62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47"/>
      <c r="CI58" s="47"/>
      <c r="CJ58" s="47"/>
    </row>
    <row r="59" spans="1:88" ht="25.5" hidden="1" customHeight="1" x14ac:dyDescent="0.25"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Q59" s="76"/>
      <c r="AR59" s="77"/>
      <c r="AS59" s="77"/>
      <c r="AT59" s="74"/>
      <c r="AU59" s="74"/>
      <c r="AV59" s="74"/>
      <c r="AW59" s="74"/>
      <c r="BF59" s="379"/>
      <c r="BG59" s="670"/>
      <c r="BH59" s="670"/>
      <c r="BI59" s="670"/>
      <c r="BJ59" s="670"/>
      <c r="BK59" s="670"/>
      <c r="BL59" s="670"/>
      <c r="BM59" s="670"/>
      <c r="BN59" s="670"/>
      <c r="BO59" s="670"/>
      <c r="BP59" s="670"/>
      <c r="BQ59" s="671"/>
      <c r="BR59" s="671"/>
      <c r="BS59" s="672"/>
      <c r="BT59" s="672"/>
      <c r="BU59" s="672"/>
      <c r="BV59" s="461"/>
      <c r="BW59" s="656"/>
      <c r="BX59" s="656"/>
      <c r="BY59" s="656"/>
      <c r="BZ59" s="656"/>
      <c r="CA59" s="379"/>
      <c r="CB59" s="379"/>
      <c r="CC59" s="379"/>
    </row>
    <row r="60" spans="1:88" ht="25.5" hidden="1" customHeight="1" x14ac:dyDescent="0.3"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Q60" s="76"/>
      <c r="AR60" s="77"/>
      <c r="AS60" s="77"/>
      <c r="AT60" s="74"/>
      <c r="AU60" s="74"/>
      <c r="AV60" s="74"/>
      <c r="AW60" s="74"/>
      <c r="BF60" s="461"/>
      <c r="BG60" s="672"/>
      <c r="BH60" s="672"/>
      <c r="BI60" s="672"/>
      <c r="BJ60" s="672"/>
      <c r="BK60" s="672"/>
      <c r="BL60" s="672"/>
      <c r="BM60" s="672"/>
      <c r="BN60" s="672"/>
      <c r="BO60" s="672"/>
      <c r="BP60" s="672"/>
      <c r="BQ60" s="672"/>
      <c r="BR60" s="672"/>
      <c r="BS60" s="672"/>
      <c r="BT60" s="672"/>
      <c r="BU60" s="672"/>
      <c r="BV60" s="461"/>
      <c r="BW60" s="461"/>
      <c r="BX60" s="461"/>
      <c r="BY60" s="461"/>
      <c r="BZ60" s="461"/>
      <c r="CA60" s="54"/>
      <c r="CB60" s="461"/>
      <c r="CC60" s="54"/>
    </row>
    <row r="61" spans="1:88" ht="25.5" hidden="1" customHeight="1" x14ac:dyDescent="0.3"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Q61" s="76"/>
      <c r="AR61" s="77"/>
      <c r="AS61" s="77"/>
      <c r="AT61" s="74"/>
      <c r="AU61" s="74"/>
      <c r="AV61" s="74"/>
      <c r="AW61" s="74"/>
      <c r="BF61" s="461"/>
      <c r="BG61" s="672"/>
      <c r="BH61" s="672"/>
      <c r="BI61" s="672"/>
      <c r="BJ61" s="672"/>
      <c r="BK61" s="672"/>
      <c r="BL61" s="672"/>
      <c r="BM61" s="672"/>
      <c r="BN61" s="672"/>
      <c r="BO61" s="672"/>
      <c r="BP61" s="672"/>
      <c r="BQ61" s="672"/>
      <c r="BR61" s="672"/>
      <c r="BS61" s="672"/>
      <c r="BT61" s="672"/>
      <c r="BU61" s="672"/>
      <c r="BV61" s="461"/>
      <c r="BW61" s="461"/>
      <c r="BX61" s="53"/>
      <c r="BY61" s="54"/>
      <c r="BZ61" s="461"/>
      <c r="CA61" s="461"/>
      <c r="CB61" s="461"/>
      <c r="CC61" s="54"/>
    </row>
    <row r="62" spans="1:88" ht="25.5" hidden="1" customHeight="1" x14ac:dyDescent="0.3"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Q62" s="76"/>
      <c r="AR62" s="77"/>
      <c r="AS62" s="77"/>
      <c r="AT62" s="74"/>
      <c r="AU62" s="74"/>
      <c r="AV62" s="74"/>
      <c r="AW62" s="74"/>
      <c r="BF62" s="462"/>
      <c r="BG62" s="672"/>
      <c r="BH62" s="672"/>
      <c r="BI62" s="672"/>
      <c r="BJ62" s="672"/>
      <c r="BK62" s="672"/>
      <c r="BL62" s="672"/>
      <c r="BM62" s="672"/>
      <c r="BN62" s="672"/>
      <c r="BO62" s="672"/>
      <c r="BP62" s="672"/>
      <c r="BQ62" s="672"/>
      <c r="BR62" s="672"/>
      <c r="BS62" s="672"/>
      <c r="BT62" s="672"/>
      <c r="BU62" s="672"/>
      <c r="BV62" s="461"/>
      <c r="BW62" s="54"/>
      <c r="BX62" s="461"/>
      <c r="BY62" s="461"/>
      <c r="BZ62" s="461"/>
      <c r="CA62" s="461"/>
      <c r="CB62" s="461"/>
      <c r="CC62" s="54"/>
    </row>
    <row r="63" spans="1:88" ht="20.25" hidden="1" x14ac:dyDescent="0.3"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Q63" s="76"/>
      <c r="AR63" s="77"/>
      <c r="AS63" s="77"/>
      <c r="AT63" s="74"/>
      <c r="AU63" s="74"/>
      <c r="AV63" s="74"/>
      <c r="AW63" s="74"/>
      <c r="BF63" s="462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673"/>
      <c r="BV63" s="53"/>
      <c r="BW63" s="53"/>
      <c r="BX63" s="53"/>
      <c r="BY63" s="53"/>
      <c r="BZ63" s="53"/>
      <c r="CA63" s="53"/>
      <c r="CB63" s="53"/>
      <c r="CC63" s="54"/>
    </row>
    <row r="64" spans="1:88" ht="20.25" hidden="1" x14ac:dyDescent="0.3"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Q64" s="76"/>
      <c r="AR64" s="77"/>
      <c r="AS64" s="77"/>
      <c r="AT64" s="74"/>
      <c r="AU64" s="74"/>
      <c r="AV64" s="74"/>
      <c r="AW64" s="74"/>
      <c r="BE64" s="85"/>
      <c r="BF64" s="462"/>
      <c r="BG64" s="460"/>
      <c r="BH64" s="460"/>
      <c r="BI64" s="460"/>
      <c r="BJ64" s="460"/>
      <c r="BK64" s="460"/>
      <c r="BL64" s="460"/>
      <c r="BM64" s="460"/>
      <c r="BN64" s="103"/>
      <c r="BO64" s="55"/>
      <c r="BP64" s="674"/>
      <c r="BQ64" s="674"/>
      <c r="BR64" s="55"/>
      <c r="BS64" s="55"/>
      <c r="BT64" s="673"/>
      <c r="BU64" s="55"/>
      <c r="BV64" s="55"/>
      <c r="BW64" s="55"/>
      <c r="BX64" s="55"/>
      <c r="BY64" s="55"/>
      <c r="BZ64" s="55"/>
      <c r="CA64" s="55"/>
      <c r="CB64" s="54"/>
      <c r="CC64" s="89"/>
      <c r="CD64" s="86"/>
      <c r="CE64" s="86"/>
      <c r="CF64" s="86"/>
      <c r="CG64" s="89"/>
      <c r="CH64" s="86"/>
      <c r="CI64" s="86"/>
      <c r="CJ64" s="86"/>
    </row>
    <row r="65" spans="2:88" ht="20.25" hidden="1" x14ac:dyDescent="0.3"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Q65" s="76"/>
      <c r="AR65" s="77"/>
      <c r="AS65" s="77"/>
      <c r="AT65" s="74"/>
      <c r="AU65" s="74"/>
      <c r="AV65" s="74"/>
      <c r="AW65" s="74"/>
      <c r="BE65" s="685"/>
      <c r="BF65" s="462"/>
      <c r="BG65" s="460"/>
      <c r="BH65" s="460"/>
      <c r="BI65" s="460"/>
      <c r="BJ65" s="460"/>
      <c r="BK65" s="460"/>
      <c r="BL65" s="460"/>
      <c r="BM65" s="460"/>
      <c r="BN65" s="103"/>
      <c r="BO65" s="55"/>
      <c r="BP65" s="103"/>
      <c r="BQ65" s="103"/>
      <c r="BR65" s="55"/>
      <c r="BS65" s="103"/>
      <c r="BT65" s="673"/>
      <c r="BU65" s="55"/>
      <c r="BV65" s="55"/>
      <c r="BW65" s="55"/>
      <c r="BX65" s="55"/>
      <c r="BY65" s="55"/>
      <c r="BZ65" s="54"/>
      <c r="CA65" s="53"/>
      <c r="CB65" s="89"/>
      <c r="CC65" s="53"/>
      <c r="CD65" s="86"/>
      <c r="CE65" s="86"/>
      <c r="CF65" s="86"/>
      <c r="CG65" s="86"/>
      <c r="CH65" s="86"/>
      <c r="CI65" s="86"/>
      <c r="CJ65" s="86"/>
    </row>
    <row r="66" spans="2:88" ht="20.25" hidden="1" x14ac:dyDescent="0.3"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Q66" s="76"/>
      <c r="AR66" s="77"/>
      <c r="AS66" s="77"/>
      <c r="AT66" s="74"/>
      <c r="AU66" s="74"/>
      <c r="AV66" s="74"/>
      <c r="AW66" s="74"/>
      <c r="BE66" s="685"/>
      <c r="BF66" s="462"/>
      <c r="BG66" s="460"/>
      <c r="BH66" s="460"/>
      <c r="BI66" s="460"/>
      <c r="BJ66" s="460"/>
      <c r="BK66" s="460"/>
      <c r="BL66" s="460"/>
      <c r="BM66" s="460"/>
      <c r="BN66" s="103"/>
      <c r="BO66" s="673"/>
      <c r="BP66" s="674"/>
      <c r="BQ66" s="674"/>
      <c r="BR66" s="55"/>
      <c r="BS66" s="55"/>
      <c r="BT66" s="55"/>
      <c r="BU66" s="103"/>
      <c r="BV66" s="55"/>
      <c r="BW66" s="53"/>
      <c r="BX66" s="55"/>
      <c r="BY66" s="55"/>
      <c r="BZ66" s="55"/>
      <c r="CA66" s="55"/>
      <c r="CB66" s="89"/>
      <c r="CC66" s="54"/>
      <c r="CD66" s="86"/>
      <c r="CE66" s="86"/>
      <c r="CF66" s="86"/>
      <c r="CG66" s="86"/>
      <c r="CH66" s="86"/>
      <c r="CI66" s="86"/>
      <c r="CJ66" s="86"/>
    </row>
    <row r="67" spans="2:88" ht="20.25" hidden="1" x14ac:dyDescent="0.3"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Q67" s="76"/>
      <c r="AR67" s="77"/>
      <c r="AS67" s="77"/>
      <c r="AT67" s="74"/>
      <c r="AU67" s="74"/>
      <c r="AV67" s="74"/>
      <c r="AW67" s="74"/>
      <c r="BE67" s="685"/>
      <c r="BF67" s="462"/>
      <c r="BG67" s="460"/>
      <c r="BH67" s="460"/>
      <c r="BI67" s="460"/>
      <c r="BJ67" s="460"/>
      <c r="BK67" s="460"/>
      <c r="BL67" s="460"/>
      <c r="BM67" s="673"/>
      <c r="BN67" s="103"/>
      <c r="BO67" s="55"/>
      <c r="BP67" s="674"/>
      <c r="BQ67" s="674"/>
      <c r="BR67" s="55"/>
      <c r="BS67" s="103"/>
      <c r="BT67" s="55"/>
      <c r="BU67" s="55"/>
      <c r="BV67" s="55"/>
      <c r="BW67" s="53"/>
      <c r="BX67" s="55"/>
      <c r="BY67" s="55"/>
      <c r="BZ67" s="55"/>
      <c r="CA67" s="55"/>
      <c r="CB67" s="89"/>
      <c r="CC67" s="54"/>
      <c r="CD67" s="86"/>
      <c r="CE67" s="86"/>
      <c r="CF67" s="86"/>
      <c r="CG67" s="86"/>
      <c r="CH67" s="86"/>
      <c r="CI67" s="86"/>
      <c r="CJ67" s="86"/>
    </row>
    <row r="68" spans="2:88" ht="20.25" hidden="1" x14ac:dyDescent="0.3"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Q68" s="76"/>
      <c r="AR68" s="77"/>
      <c r="AS68" s="77"/>
      <c r="AT68" s="74"/>
      <c r="AU68" s="74"/>
      <c r="AV68" s="74"/>
      <c r="AW68" s="74"/>
      <c r="BE68" s="685"/>
      <c r="BF68" s="462"/>
      <c r="BG68" s="460"/>
      <c r="BH68" s="460"/>
      <c r="BI68" s="460"/>
      <c r="BJ68" s="460"/>
      <c r="BK68" s="103"/>
      <c r="BL68" s="460"/>
      <c r="BM68" s="460"/>
      <c r="BN68" s="103"/>
      <c r="BO68" s="55"/>
      <c r="BP68" s="674"/>
      <c r="BQ68" s="103"/>
      <c r="BR68" s="55"/>
      <c r="BS68" s="673"/>
      <c r="BT68" s="55"/>
      <c r="BU68" s="673"/>
      <c r="BV68" s="55"/>
      <c r="BW68" s="53"/>
      <c r="BX68" s="55"/>
      <c r="BY68" s="55"/>
      <c r="BZ68" s="55"/>
      <c r="CA68" s="55"/>
      <c r="CB68" s="86"/>
      <c r="CD68" s="86"/>
      <c r="CE68" s="86"/>
      <c r="CF68" s="86"/>
      <c r="CG68" s="86"/>
      <c r="CH68" s="86"/>
      <c r="CI68" s="86"/>
      <c r="CJ68" s="86"/>
    </row>
    <row r="69" spans="2:88" ht="20.25" hidden="1" x14ac:dyDescent="0.3">
      <c r="D69" s="92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Q69" s="76"/>
      <c r="AR69" s="77"/>
      <c r="AS69" s="77"/>
      <c r="AT69" s="74"/>
      <c r="AU69" s="74"/>
      <c r="AV69" s="74"/>
      <c r="AW69" s="74"/>
      <c r="BE69" s="685"/>
      <c r="BF69" s="462"/>
      <c r="BG69" s="674"/>
      <c r="BH69" s="460"/>
      <c r="BI69" s="103"/>
      <c r="BJ69" s="460"/>
      <c r="BK69" s="460"/>
      <c r="BL69" s="460"/>
      <c r="BM69" s="460"/>
      <c r="BN69" s="460"/>
      <c r="BO69" s="103"/>
      <c r="BP69" s="460"/>
      <c r="BQ69" s="460"/>
      <c r="BR69" s="673"/>
      <c r="BS69" s="460"/>
      <c r="BT69" s="673"/>
      <c r="BU69" s="103"/>
      <c r="BV69" s="202"/>
      <c r="BW69" s="53"/>
      <c r="BX69" s="46"/>
      <c r="BY69" s="46"/>
      <c r="BZ69" s="46"/>
      <c r="CA69" s="47"/>
      <c r="CB69" s="47"/>
      <c r="CD69" s="47"/>
      <c r="CE69" s="47"/>
      <c r="CF69" s="47"/>
      <c r="CG69" s="47"/>
      <c r="CH69" s="47"/>
      <c r="CI69" s="47"/>
    </row>
    <row r="70" spans="2:88" ht="20.25" hidden="1" x14ac:dyDescent="0.3">
      <c r="D70" s="92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Q70" s="76"/>
      <c r="AR70" s="77"/>
      <c r="AS70" s="77"/>
      <c r="AT70" s="74"/>
      <c r="AU70" s="74"/>
      <c r="AV70" s="74"/>
      <c r="AW70" s="74"/>
      <c r="BE70" s="685"/>
      <c r="BF70" s="462"/>
      <c r="BG70" s="103"/>
      <c r="BH70" s="460"/>
      <c r="BI70" s="460"/>
      <c r="BJ70" s="460"/>
      <c r="BK70" s="460"/>
      <c r="BL70" s="460"/>
      <c r="BM70" s="103"/>
      <c r="BN70" s="460"/>
      <c r="BO70" s="673"/>
      <c r="BP70" s="103"/>
      <c r="BQ70" s="460"/>
      <c r="BR70" s="460"/>
      <c r="BS70" s="460"/>
      <c r="BT70" s="103"/>
      <c r="BU70" s="673"/>
      <c r="BV70" s="202"/>
      <c r="BW70" s="53"/>
      <c r="BX70" s="46"/>
      <c r="BY70" s="46"/>
      <c r="BZ70" s="46"/>
      <c r="CA70" s="47"/>
      <c r="CB70" s="47"/>
      <c r="CD70" s="47"/>
      <c r="CE70" s="47"/>
      <c r="CF70" s="47"/>
      <c r="CG70" s="47"/>
      <c r="CH70" s="47"/>
      <c r="CI70" s="47"/>
    </row>
    <row r="71" spans="2:88" ht="21" hidden="1" thickBot="1" x14ac:dyDescent="0.35">
      <c r="D71" s="92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Q71" s="76"/>
      <c r="AR71" s="77"/>
      <c r="AS71" s="77"/>
      <c r="AT71" s="74"/>
      <c r="AU71" s="74"/>
      <c r="AV71" s="74"/>
      <c r="AW71" s="74"/>
      <c r="BE71" s="85"/>
      <c r="BF71" s="90">
        <v>11</v>
      </c>
      <c r="BG71" s="675"/>
      <c r="BH71" s="87"/>
      <c r="BI71" s="87"/>
      <c r="BJ71" s="87"/>
      <c r="BK71" s="675"/>
      <c r="BL71" s="680"/>
      <c r="BN71" s="684"/>
      <c r="BO71" s="680"/>
      <c r="BP71" s="677" t="b">
        <f>IF(BQ84=11,9)</f>
        <v>0</v>
      </c>
      <c r="BQ71" s="680"/>
      <c r="BR71" s="686" t="b">
        <f>IF(BQ84=11,11)</f>
        <v>0</v>
      </c>
      <c r="BS71" s="460"/>
      <c r="BT71" s="103"/>
      <c r="BU71" s="53"/>
      <c r="BV71" s="202"/>
      <c r="BW71" s="105"/>
      <c r="BX71" s="46"/>
      <c r="BY71" s="46"/>
      <c r="BZ71" s="105"/>
      <c r="CB71" s="47"/>
      <c r="CC71" s="47"/>
      <c r="CD71" s="47"/>
      <c r="CE71" s="47"/>
      <c r="CF71" s="47"/>
      <c r="CG71" s="47"/>
      <c r="CH71" s="47"/>
      <c r="CI71" s="47"/>
    </row>
    <row r="72" spans="2:88" ht="21" hidden="1" thickBot="1" x14ac:dyDescent="0.35">
      <c r="D72" s="92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Q72" s="76"/>
      <c r="AR72" s="77"/>
      <c r="AS72" s="77"/>
      <c r="AT72" s="74"/>
      <c r="AU72" s="74"/>
      <c r="AV72" s="74"/>
      <c r="AW72" s="74"/>
      <c r="BE72" s="85"/>
      <c r="BF72" s="90">
        <v>10</v>
      </c>
      <c r="BG72" s="675"/>
      <c r="BH72" s="87"/>
      <c r="BI72" s="675"/>
      <c r="BJ72" s="679"/>
      <c r="BL72" s="682"/>
      <c r="BM72" s="682"/>
      <c r="BN72" s="681" t="b">
        <f>IF(BP84=10,8)</f>
        <v>0</v>
      </c>
      <c r="BO72" s="679"/>
      <c r="BP72" s="679"/>
      <c r="BQ72" s="679"/>
      <c r="BR72" s="687" t="b">
        <f>IF(BP84=10,11)</f>
        <v>0</v>
      </c>
      <c r="BS72" s="460"/>
      <c r="BT72" s="103"/>
      <c r="BU72" s="53"/>
      <c r="BV72" s="202"/>
      <c r="BW72" s="105"/>
      <c r="BX72" s="46"/>
      <c r="BY72" s="105"/>
      <c r="BZ72" s="46"/>
      <c r="CA72" s="47"/>
      <c r="CB72" s="47"/>
      <c r="CC72" s="47"/>
      <c r="CD72" s="47"/>
      <c r="CE72" s="47"/>
      <c r="CF72" s="47"/>
      <c r="CG72" s="47"/>
      <c r="CH72" s="47"/>
      <c r="CI72" s="47"/>
    </row>
    <row r="73" spans="2:88" ht="21" hidden="1" thickBot="1" x14ac:dyDescent="0.35">
      <c r="B73" s="95"/>
      <c r="C73" s="95"/>
      <c r="D73" s="92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Q73" s="76"/>
      <c r="AR73" s="77"/>
      <c r="AS73" s="77"/>
      <c r="AT73" s="74"/>
      <c r="AU73" s="74"/>
      <c r="AV73" s="74"/>
      <c r="AW73" s="74"/>
      <c r="BE73" s="85"/>
      <c r="BF73" s="90">
        <v>9</v>
      </c>
      <c r="BG73" s="675"/>
      <c r="BH73" s="679"/>
      <c r="BJ73" s="682"/>
      <c r="BK73" s="679"/>
      <c r="BL73" s="681" t="b">
        <f>IF(BO84=9,6)</f>
        <v>0</v>
      </c>
      <c r="BM73" s="679"/>
      <c r="BN73" s="679"/>
      <c r="BO73" s="679"/>
      <c r="BP73" s="679"/>
      <c r="BQ73" s="679"/>
      <c r="BR73" s="687" t="b">
        <f>IF(BO84=9,11)</f>
        <v>0</v>
      </c>
      <c r="BS73" s="460"/>
      <c r="BT73" s="103"/>
      <c r="BU73" s="53"/>
      <c r="BV73" s="202"/>
      <c r="BW73" s="105"/>
      <c r="BX73" s="46"/>
      <c r="BY73" s="46"/>
      <c r="BZ73" s="46"/>
      <c r="CA73" s="47"/>
      <c r="CB73" s="47"/>
      <c r="CC73" s="47"/>
      <c r="CD73" s="47"/>
      <c r="CE73" s="47"/>
      <c r="CF73" s="47"/>
      <c r="CG73" s="47"/>
      <c r="CH73" s="47"/>
      <c r="CI73" s="47"/>
    </row>
    <row r="74" spans="2:88" ht="21" hidden="1" thickBot="1" x14ac:dyDescent="0.35">
      <c r="B74" s="95"/>
      <c r="C74" s="95"/>
      <c r="D74" s="92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Q74" s="76"/>
      <c r="AR74" s="77"/>
      <c r="AS74" s="77"/>
      <c r="AT74" s="74"/>
      <c r="AU74" s="74"/>
      <c r="AV74" s="74"/>
      <c r="AW74" s="74"/>
      <c r="BE74" s="85"/>
      <c r="BF74" s="90">
        <v>8</v>
      </c>
      <c r="BH74" s="675"/>
      <c r="BI74" s="680"/>
      <c r="BJ74" s="677" t="b">
        <f>IF(BN84=8,4)</f>
        <v>0</v>
      </c>
      <c r="BK74" s="680"/>
      <c r="BL74" s="680"/>
      <c r="BM74" s="680"/>
      <c r="BN74" s="680"/>
      <c r="BO74" s="680"/>
      <c r="BP74" s="680"/>
      <c r="BQ74" s="680"/>
      <c r="BR74" s="686" t="b">
        <f>IF(BN84=8,11)</f>
        <v>0</v>
      </c>
      <c r="BS74" s="460"/>
      <c r="BT74" s="103"/>
      <c r="BU74" s="53"/>
      <c r="BV74" s="202"/>
      <c r="BW74" s="46"/>
      <c r="BX74" s="46"/>
      <c r="BY74" s="46"/>
      <c r="BZ74" s="46"/>
      <c r="CA74" s="47"/>
      <c r="CB74" s="47"/>
      <c r="CC74" s="47"/>
      <c r="CD74" s="47"/>
      <c r="CE74" s="47"/>
      <c r="CF74" s="47"/>
      <c r="CG74" s="47"/>
      <c r="CH74" s="47"/>
      <c r="CI74" s="47"/>
    </row>
    <row r="75" spans="2:88" ht="21" hidden="1" thickBot="1" x14ac:dyDescent="0.35"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Q75" s="76"/>
      <c r="AR75" s="77"/>
      <c r="AS75" s="77"/>
      <c r="AT75" s="74"/>
      <c r="AU75" s="74"/>
      <c r="AV75" s="74"/>
      <c r="AW75" s="74"/>
      <c r="BE75" s="85"/>
      <c r="BF75" s="90">
        <v>7</v>
      </c>
      <c r="BH75" s="677" t="b">
        <f>IF(BM84=7,2)</f>
        <v>0</v>
      </c>
      <c r="BI75" s="680"/>
      <c r="BJ75" s="675"/>
      <c r="BK75" s="680"/>
      <c r="BL75" s="680"/>
      <c r="BM75" s="680"/>
      <c r="BN75" s="680"/>
      <c r="BO75" s="680"/>
      <c r="BP75" s="675"/>
      <c r="BQ75" s="680"/>
      <c r="BR75" s="686" t="b">
        <f>IF(BM84=7,11)</f>
        <v>0</v>
      </c>
      <c r="BS75" s="103"/>
      <c r="BT75" s="674"/>
      <c r="BU75" s="103"/>
      <c r="BV75" s="202"/>
      <c r="BW75" s="46"/>
      <c r="BX75" s="46"/>
      <c r="BY75" s="46"/>
      <c r="BZ75" s="46"/>
      <c r="CA75" s="47"/>
      <c r="CB75" s="47"/>
      <c r="CC75" s="47"/>
      <c r="CD75" s="47"/>
      <c r="CE75" s="47"/>
      <c r="CF75" s="47"/>
      <c r="CG75" s="47"/>
      <c r="CH75" s="47"/>
      <c r="CI75" s="47"/>
    </row>
    <row r="76" spans="2:88" ht="21" hidden="1" thickBot="1" x14ac:dyDescent="0.35"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Q76" s="76"/>
      <c r="AR76" s="77"/>
      <c r="AS76" s="77"/>
      <c r="AT76" s="74"/>
      <c r="AU76" s="74"/>
      <c r="AV76" s="74"/>
      <c r="AW76" s="74"/>
      <c r="BE76" s="85"/>
      <c r="BF76" s="90">
        <v>6</v>
      </c>
      <c r="BG76" s="677">
        <f>IF(BL84=6,1)</f>
        <v>1</v>
      </c>
      <c r="BH76" s="675"/>
      <c r="BI76" s="680"/>
      <c r="BJ76" s="680"/>
      <c r="BK76" s="680"/>
      <c r="BL76" s="680"/>
      <c r="BM76" s="680"/>
      <c r="BN76" s="680"/>
      <c r="BO76" s="680"/>
      <c r="BP76" s="675"/>
      <c r="BQ76" s="678">
        <f>IF(BL84=6,10)</f>
        <v>10</v>
      </c>
      <c r="BR76" s="87"/>
      <c r="BS76" s="460"/>
      <c r="BT76" s="674"/>
      <c r="BU76" s="103"/>
      <c r="BV76" s="202"/>
      <c r="BW76" s="46"/>
      <c r="BX76" s="46"/>
      <c r="BY76" s="46"/>
      <c r="BZ76" s="46"/>
      <c r="CA76" s="47"/>
      <c r="CB76" s="47"/>
      <c r="CC76" s="47"/>
      <c r="CD76" s="47"/>
      <c r="CE76" s="47"/>
      <c r="CF76" s="47"/>
      <c r="CG76" s="47"/>
      <c r="CH76" s="47"/>
      <c r="CI76" s="47"/>
    </row>
    <row r="77" spans="2:88" ht="21" hidden="1" thickBot="1" x14ac:dyDescent="0.35"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Q77" s="76"/>
      <c r="AR77" s="77"/>
      <c r="AS77" s="77"/>
      <c r="AT77" s="74"/>
      <c r="AU77" s="74"/>
      <c r="AV77" s="74"/>
      <c r="AW77" s="74"/>
      <c r="BE77" s="85"/>
      <c r="BF77" s="90">
        <v>5</v>
      </c>
      <c r="BH77" s="681" t="b">
        <f>IF(BK84=5,2)</f>
        <v>0</v>
      </c>
      <c r="BI77" s="679"/>
      <c r="BJ77" s="682"/>
      <c r="BK77" s="679"/>
      <c r="BL77" s="682"/>
      <c r="BM77" s="679"/>
      <c r="BN77" s="683" t="b">
        <f>IF(BK84=5,8)</f>
        <v>0</v>
      </c>
      <c r="BP77" s="87"/>
      <c r="BQ77" s="87"/>
      <c r="BR77" s="87"/>
      <c r="BS77" s="460"/>
      <c r="BT77" s="674"/>
      <c r="BU77" s="103"/>
      <c r="BV77" s="202"/>
      <c r="BW77" s="46"/>
      <c r="BX77" s="46"/>
      <c r="BY77" s="46"/>
      <c r="BZ77" s="46"/>
      <c r="CA77" s="47"/>
      <c r="CB77" s="47"/>
      <c r="CC77" s="47"/>
      <c r="CD77" s="47"/>
      <c r="CE77" s="47"/>
      <c r="CF77" s="47"/>
      <c r="CG77" s="47"/>
      <c r="CH77" s="47"/>
      <c r="CI77" s="47"/>
    </row>
    <row r="78" spans="2:88" ht="21" hidden="1" thickBot="1" x14ac:dyDescent="0.35">
      <c r="B78" s="95"/>
      <c r="C78" s="95"/>
      <c r="D78" s="92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Q78" s="76"/>
      <c r="AR78" s="77"/>
      <c r="AS78" s="77"/>
      <c r="AT78" s="74"/>
      <c r="AU78" s="74"/>
      <c r="AV78" s="74"/>
      <c r="AW78" s="74"/>
      <c r="BE78" s="85"/>
      <c r="BF78" s="90">
        <v>4</v>
      </c>
      <c r="BG78" s="681" t="b">
        <f>IF(BJ84=4,1)</f>
        <v>0</v>
      </c>
      <c r="BH78" s="682"/>
      <c r="BI78" s="682"/>
      <c r="BJ78" s="679"/>
      <c r="BK78" s="682"/>
      <c r="BL78" s="682"/>
      <c r="BM78" s="683" t="b">
        <f>IF(BJ84=4,7)</f>
        <v>0</v>
      </c>
      <c r="BN78" s="87"/>
      <c r="BO78" s="87"/>
      <c r="BP78" s="87"/>
      <c r="BQ78" s="87"/>
      <c r="BR78" s="87"/>
      <c r="BS78" s="87"/>
      <c r="BT78" s="676"/>
      <c r="BU78" s="61"/>
      <c r="BV78" s="46"/>
      <c r="BW78" s="46"/>
      <c r="BX78" s="46"/>
      <c r="BY78" s="46"/>
      <c r="BZ78" s="46"/>
      <c r="CA78" s="47"/>
      <c r="CB78" s="47"/>
      <c r="CC78" s="47"/>
      <c r="CD78" s="47"/>
      <c r="CE78" s="47"/>
      <c r="CF78" s="47"/>
      <c r="CG78" s="47"/>
      <c r="CH78" s="47"/>
      <c r="CI78" s="47"/>
    </row>
    <row r="79" spans="2:88" ht="21" hidden="1" thickBot="1" x14ac:dyDescent="0.35">
      <c r="B79" s="95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Q79" s="76"/>
      <c r="AR79" s="77"/>
      <c r="AS79" s="77"/>
      <c r="AT79" s="74"/>
      <c r="AU79" s="74"/>
      <c r="AV79" s="74"/>
      <c r="AW79" s="74"/>
      <c r="BE79" s="85"/>
      <c r="BF79" s="90">
        <v>3</v>
      </c>
      <c r="BG79" s="677" t="b">
        <f>IF(BI84=3,1)</f>
        <v>0</v>
      </c>
      <c r="BH79" s="680"/>
      <c r="BI79" s="680"/>
      <c r="BJ79" s="680"/>
      <c r="BK79" s="678" t="b">
        <f>IF(BI84=3,5)</f>
        <v>0</v>
      </c>
      <c r="BL79" s="87"/>
      <c r="BM79" s="87"/>
      <c r="BN79" s="87"/>
      <c r="BO79" s="87"/>
      <c r="BP79" s="87"/>
      <c r="BQ79" s="87"/>
      <c r="BR79" s="87"/>
      <c r="BS79" s="87"/>
      <c r="BT79" s="676"/>
      <c r="BU79" s="61"/>
      <c r="BV79" s="46"/>
      <c r="BW79" s="46"/>
      <c r="BX79" s="46"/>
      <c r="BY79" s="46"/>
      <c r="BZ79" s="46"/>
      <c r="CA79" s="47"/>
      <c r="CB79" s="47"/>
      <c r="CC79" s="47"/>
      <c r="CD79" s="47"/>
      <c r="CE79" s="47"/>
      <c r="CF79" s="47"/>
      <c r="CG79" s="47"/>
      <c r="CH79" s="47"/>
      <c r="CI79" s="47"/>
    </row>
    <row r="80" spans="2:88" ht="21" hidden="1" thickBot="1" x14ac:dyDescent="0.35"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Q80" s="76"/>
      <c r="AR80" s="77"/>
      <c r="AS80" s="77"/>
      <c r="AT80" s="74"/>
      <c r="AU80" s="74"/>
      <c r="AV80" s="74"/>
      <c r="AW80" s="74"/>
      <c r="BE80" s="85"/>
      <c r="BF80" s="90">
        <v>2</v>
      </c>
      <c r="BG80" s="677" t="b">
        <f>IF(BH84=2,1)</f>
        <v>0</v>
      </c>
      <c r="BH80" s="680"/>
      <c r="BI80" s="678" t="b">
        <f>IF(BH84=2,3)</f>
        <v>0</v>
      </c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676"/>
      <c r="BU80" s="61"/>
      <c r="BV80" s="46"/>
      <c r="BW80" s="46"/>
      <c r="BX80" s="46"/>
      <c r="BY80" s="46"/>
      <c r="BZ80" s="46"/>
      <c r="CA80" s="47"/>
      <c r="CB80" s="47"/>
      <c r="CC80" s="47"/>
      <c r="CD80" s="47"/>
      <c r="CE80" s="47"/>
      <c r="CF80" s="47"/>
      <c r="CG80" s="47"/>
      <c r="CH80" s="47"/>
      <c r="CI80" s="47"/>
    </row>
    <row r="81" spans="4:87" ht="21" hidden="1" thickBot="1" x14ac:dyDescent="0.35"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Q81" s="76"/>
      <c r="AR81" s="77"/>
      <c r="AS81" s="77"/>
      <c r="AT81" s="74"/>
      <c r="AU81" s="74"/>
      <c r="AV81" s="74"/>
      <c r="AW81" s="74"/>
      <c r="BE81" s="85"/>
      <c r="BF81" s="85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676"/>
      <c r="BR81" s="60"/>
      <c r="BS81" s="55"/>
      <c r="BT81" s="55"/>
      <c r="BU81" s="103"/>
      <c r="BV81" s="202"/>
      <c r="BW81" s="202"/>
      <c r="BX81" s="46"/>
      <c r="BY81" s="46"/>
      <c r="BZ81" s="46"/>
      <c r="CA81" s="47"/>
      <c r="CB81" s="47"/>
      <c r="CC81" s="47"/>
      <c r="CD81" s="47"/>
      <c r="CE81" s="47"/>
      <c r="CF81" s="47"/>
      <c r="CG81" s="47"/>
      <c r="CH81" s="47"/>
      <c r="CI81" s="47"/>
    </row>
    <row r="82" spans="4:87" ht="31.5" customHeight="1" thickBot="1" x14ac:dyDescent="0.4">
      <c r="G82" s="11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Q82" s="76"/>
      <c r="AS82" s="77"/>
      <c r="AT82" s="74"/>
      <c r="AU82" s="74"/>
      <c r="AV82" s="74"/>
      <c r="AW82" s="74"/>
      <c r="AX82" s="74"/>
      <c r="AZ82" s="74"/>
      <c r="BA82" s="74"/>
      <c r="BB82" s="74"/>
      <c r="BE82" s="467" t="s">
        <v>92</v>
      </c>
      <c r="BF82" s="47"/>
      <c r="BG82" s="81">
        <f t="shared" ref="BG82:BR82" si="0">SUM(BG60:BG81)</f>
        <v>1</v>
      </c>
      <c r="BH82" s="82">
        <f t="shared" si="0"/>
        <v>0</v>
      </c>
      <c r="BI82" s="82">
        <f t="shared" si="0"/>
        <v>0</v>
      </c>
      <c r="BJ82" s="82">
        <f t="shared" si="0"/>
        <v>0</v>
      </c>
      <c r="BK82" s="82">
        <f t="shared" si="0"/>
        <v>0</v>
      </c>
      <c r="BL82" s="82">
        <f t="shared" si="0"/>
        <v>0</v>
      </c>
      <c r="BM82" s="82">
        <f t="shared" si="0"/>
        <v>0</v>
      </c>
      <c r="BN82" s="82">
        <f t="shared" si="0"/>
        <v>0</v>
      </c>
      <c r="BO82" s="82">
        <f t="shared" si="0"/>
        <v>0</v>
      </c>
      <c r="BP82" s="82">
        <f t="shared" si="0"/>
        <v>0</v>
      </c>
      <c r="BQ82" s="82">
        <f t="shared" si="0"/>
        <v>10</v>
      </c>
      <c r="BR82" s="83">
        <f t="shared" si="0"/>
        <v>0</v>
      </c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47"/>
      <c r="CE82" s="47"/>
      <c r="CF82" s="47"/>
      <c r="CG82" s="47"/>
      <c r="CH82" s="47"/>
      <c r="CI82" s="47"/>
    </row>
    <row r="83" spans="4:87" ht="33.75" hidden="1" customHeight="1" x14ac:dyDescent="0.3"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Q83" s="76"/>
      <c r="AR83" s="96"/>
      <c r="AS83" s="77"/>
      <c r="AT83" s="74"/>
      <c r="AU83" s="74"/>
      <c r="AV83" s="74"/>
      <c r="AW83" s="74"/>
      <c r="AX83" s="74"/>
      <c r="AY83" s="74"/>
      <c r="AZ83" s="74"/>
      <c r="BA83" s="74"/>
      <c r="BE83" s="97"/>
      <c r="BF83" s="64"/>
      <c r="BG83" s="60">
        <v>1</v>
      </c>
      <c r="BH83" s="60">
        <v>2</v>
      </c>
      <c r="BI83" s="60">
        <v>3</v>
      </c>
      <c r="BJ83" s="60">
        <v>4</v>
      </c>
      <c r="BK83" s="60">
        <v>5</v>
      </c>
      <c r="BL83" s="60">
        <v>6</v>
      </c>
      <c r="BM83" s="60">
        <v>7</v>
      </c>
      <c r="BN83" s="60">
        <v>8</v>
      </c>
      <c r="BO83" s="60"/>
      <c r="BP83" s="60">
        <v>9</v>
      </c>
      <c r="BQ83" s="55">
        <v>10</v>
      </c>
      <c r="BR83" s="60">
        <v>11</v>
      </c>
      <c r="BS83" s="60"/>
      <c r="BT83" s="60"/>
      <c r="BU83" s="60"/>
      <c r="BV83" s="60"/>
      <c r="BW83" s="64"/>
      <c r="BX83" s="64"/>
      <c r="BY83" s="64"/>
      <c r="BZ83" s="64"/>
      <c r="CA83" s="64"/>
      <c r="CB83" s="64"/>
      <c r="CC83" s="64"/>
      <c r="CD83" s="64"/>
      <c r="CE83" s="47"/>
      <c r="CF83" s="47"/>
      <c r="CG83" s="47"/>
      <c r="CH83" s="47"/>
      <c r="CI83" s="47"/>
    </row>
    <row r="84" spans="4:87" ht="20.25" hidden="1" x14ac:dyDescent="0.3"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Q84" s="76"/>
      <c r="AR84" s="96"/>
      <c r="AS84" s="77"/>
      <c r="AT84" s="74"/>
      <c r="AU84" s="74"/>
      <c r="AV84" s="74"/>
      <c r="AW84" s="74"/>
      <c r="AX84" s="74"/>
      <c r="AY84" s="74"/>
      <c r="AZ84" s="74"/>
      <c r="BA84" s="74"/>
      <c r="BB84" s="74"/>
      <c r="BE84" s="45"/>
      <c r="BF84" s="47"/>
      <c r="BG84" s="98" t="b">
        <f>+AZ102</f>
        <v>0</v>
      </c>
      <c r="BH84" s="98" t="b">
        <f>+AZ103</f>
        <v>0</v>
      </c>
      <c r="BI84" s="98" t="b">
        <f>+AZ104</f>
        <v>0</v>
      </c>
      <c r="BJ84" s="98" t="b">
        <f>+AZ105</f>
        <v>0</v>
      </c>
      <c r="BK84" s="98" t="b">
        <f>+AZ106</f>
        <v>0</v>
      </c>
      <c r="BL84" s="98">
        <f>+AZ107</f>
        <v>6</v>
      </c>
      <c r="BM84" s="98" t="b">
        <f>+AZ108</f>
        <v>0</v>
      </c>
      <c r="BN84" s="98" t="b">
        <f>+AZ109</f>
        <v>0</v>
      </c>
      <c r="BO84" s="377" t="b">
        <f>+AZ110</f>
        <v>0</v>
      </c>
      <c r="BP84" s="98" t="b">
        <f>+AZ111</f>
        <v>0</v>
      </c>
      <c r="BQ84" s="98" t="b">
        <f>+AZ112</f>
        <v>0</v>
      </c>
      <c r="BR84" s="649" t="b">
        <f>+AZ113</f>
        <v>0</v>
      </c>
      <c r="BS84" s="99"/>
      <c r="BT84" s="99"/>
      <c r="BU84" s="99"/>
      <c r="BV84" s="99"/>
      <c r="BW84" s="99"/>
      <c r="BX84" s="99"/>
      <c r="BY84" s="99"/>
      <c r="BZ84" s="99"/>
      <c r="CA84" s="688"/>
      <c r="CB84" s="98"/>
      <c r="CC84" s="98"/>
      <c r="CD84" s="47"/>
      <c r="CE84" s="47"/>
      <c r="CF84" s="47"/>
      <c r="CG84" s="47"/>
      <c r="CH84" s="47"/>
      <c r="CI84" s="47"/>
    </row>
    <row r="85" spans="4:87" ht="20.25" hidden="1" x14ac:dyDescent="0.3"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Q85" s="76"/>
      <c r="AR85" s="96"/>
      <c r="AS85" s="77"/>
      <c r="AT85" s="74"/>
      <c r="AU85" s="74"/>
      <c r="AV85" s="74"/>
      <c r="AW85" s="74"/>
      <c r="AX85" s="74"/>
      <c r="AY85" s="74"/>
      <c r="AZ85" s="74"/>
      <c r="BA85" s="74"/>
      <c r="BB85" s="74"/>
      <c r="BE85" s="46"/>
      <c r="BF85" s="99"/>
      <c r="BG85" s="99" t="b">
        <f>+BG84</f>
        <v>0</v>
      </c>
      <c r="BH85" s="99" t="b">
        <f>+BH84</f>
        <v>0</v>
      </c>
      <c r="BI85" s="99" t="b">
        <f>+BI84</f>
        <v>0</v>
      </c>
      <c r="BJ85" s="99" t="b">
        <f>+BJ84</f>
        <v>0</v>
      </c>
      <c r="BK85" s="99" t="b">
        <f>+BK84</f>
        <v>0</v>
      </c>
      <c r="BL85" s="99">
        <f t="shared" ref="BL85:BN85" si="1">+BL84</f>
        <v>6</v>
      </c>
      <c r="BM85" s="99" t="b">
        <f t="shared" si="1"/>
        <v>0</v>
      </c>
      <c r="BN85" s="99" t="b">
        <f t="shared" si="1"/>
        <v>0</v>
      </c>
      <c r="BO85" s="378" t="b">
        <f>+BO84</f>
        <v>0</v>
      </c>
      <c r="BP85" s="99" t="b">
        <f>+BP84</f>
        <v>0</v>
      </c>
      <c r="BQ85" s="99" t="b">
        <f t="shared" ref="BQ85:BR85" si="2">+BQ84</f>
        <v>0</v>
      </c>
      <c r="BR85" s="649" t="b">
        <f t="shared" si="2"/>
        <v>0</v>
      </c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47"/>
      <c r="CE85" s="47"/>
      <c r="CF85" s="47"/>
      <c r="CG85" s="47"/>
      <c r="CH85" s="47"/>
      <c r="CI85" s="47"/>
    </row>
    <row r="86" spans="4:87" ht="12.75" customHeight="1" thickBot="1" x14ac:dyDescent="0.35"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Q86" s="76"/>
      <c r="AR86" s="96"/>
      <c r="AS86" s="77"/>
      <c r="AT86" s="74"/>
      <c r="AU86" s="74"/>
      <c r="AV86" s="74"/>
      <c r="AW86" s="74"/>
      <c r="AX86" s="74"/>
      <c r="AY86" s="74"/>
      <c r="AZ86" s="74"/>
      <c r="BA86" s="74"/>
      <c r="BB86" s="74"/>
      <c r="BE86" s="46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99"/>
      <c r="CD86" s="99"/>
      <c r="CE86" s="99"/>
      <c r="CF86" s="99"/>
      <c r="CG86" s="99"/>
      <c r="CH86" s="47"/>
      <c r="CI86" s="47"/>
    </row>
    <row r="87" spans="4:87" ht="31.5" customHeight="1" thickBot="1" x14ac:dyDescent="0.4"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Q87" s="76"/>
      <c r="AS87" s="77"/>
      <c r="AT87" s="74"/>
      <c r="AU87" s="74"/>
      <c r="AV87" s="74"/>
      <c r="AW87" s="74"/>
      <c r="AX87" s="74"/>
      <c r="AY87" s="74"/>
      <c r="AZ87" s="74"/>
      <c r="BA87" s="74"/>
      <c r="BB87" s="74"/>
      <c r="BE87" s="100" t="s">
        <v>80</v>
      </c>
      <c r="BF87" s="14" t="str">
        <f>IF(BF85=11,"7","")</f>
        <v/>
      </c>
      <c r="BG87" s="464" t="str">
        <f>IF(BG85=1,"1","")</f>
        <v/>
      </c>
      <c r="BH87" s="465" t="str">
        <f>IF(BH85=2,"2","")</f>
        <v/>
      </c>
      <c r="BI87" s="465" t="str">
        <f>IF(BI85=3,"3","")</f>
        <v/>
      </c>
      <c r="BJ87" s="465" t="str">
        <f>IF(BJ85=4,"4","")</f>
        <v/>
      </c>
      <c r="BK87" s="465" t="str">
        <f>IF(BK85=5,"5","")</f>
        <v/>
      </c>
      <c r="BL87" s="465" t="str">
        <f>IF(BL85=6,"6","")</f>
        <v>6</v>
      </c>
      <c r="BM87" s="465" t="str">
        <f>IF(BM85=7,"7","")</f>
        <v/>
      </c>
      <c r="BN87" s="465" t="str">
        <f>IF(BN85=8,"8","")</f>
        <v/>
      </c>
      <c r="BO87" s="465" t="str">
        <f>IF(BO85=9,"X","")</f>
        <v/>
      </c>
      <c r="BP87" s="465" t="str">
        <f>IF(BP85=10,"9","")</f>
        <v/>
      </c>
      <c r="BQ87" s="465" t="str">
        <f>IF(BQ85=11,"10","")</f>
        <v/>
      </c>
      <c r="BR87" s="466" t="str">
        <f>IF(BR85=12,"11","")</f>
        <v/>
      </c>
      <c r="BS87" s="650"/>
      <c r="BT87" s="650"/>
      <c r="BU87" s="650"/>
      <c r="BV87" s="459"/>
      <c r="BW87" s="459"/>
      <c r="BX87" s="459"/>
      <c r="BY87" s="459"/>
      <c r="BZ87" s="459"/>
      <c r="CA87" s="459"/>
      <c r="CB87" s="459"/>
      <c r="CC87" s="459"/>
      <c r="CH87" s="47"/>
      <c r="CI87" s="47"/>
    </row>
    <row r="88" spans="4:87" ht="20.25" x14ac:dyDescent="0.3"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Q88" s="76"/>
      <c r="AS88" s="77"/>
      <c r="AT88" s="74"/>
      <c r="AU88" s="74"/>
      <c r="AV88" s="74"/>
      <c r="AW88" s="74"/>
      <c r="AX88" s="74"/>
      <c r="AY88" s="74"/>
      <c r="AZ88" s="74"/>
      <c r="BA88" s="74"/>
      <c r="BS88" s="105"/>
      <c r="BT88" s="105"/>
      <c r="BU88" s="105"/>
      <c r="BV88" s="105"/>
      <c r="BW88" s="105"/>
      <c r="BX88" s="105"/>
      <c r="BY88" s="105"/>
      <c r="BZ88" s="105"/>
      <c r="CH88" s="47"/>
      <c r="CI88" s="47"/>
    </row>
    <row r="89" spans="4:87" ht="61.5" customHeight="1" thickBot="1" x14ac:dyDescent="0.35"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Q89" s="76"/>
      <c r="AR89" s="77"/>
      <c r="AS89" s="77"/>
      <c r="AT89" s="74"/>
      <c r="AU89" s="74"/>
      <c r="AV89" s="74"/>
      <c r="AW89" s="74"/>
      <c r="AX89" s="74"/>
      <c r="AY89" s="74"/>
      <c r="AZ89" s="74"/>
      <c r="BA89" s="74"/>
      <c r="BB89" s="74"/>
      <c r="BS89" s="105"/>
      <c r="BT89" s="105"/>
      <c r="BU89" s="105"/>
      <c r="BV89" s="105"/>
      <c r="BW89" s="105"/>
      <c r="BX89" s="105"/>
      <c r="BY89" s="105"/>
      <c r="BZ89" s="105"/>
      <c r="CH89" s="47"/>
      <c r="CI89" s="47"/>
    </row>
    <row r="90" spans="4:87" ht="20.25" hidden="1" x14ac:dyDescent="0.3"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Q90" s="76"/>
      <c r="AR90" s="77"/>
      <c r="AS90" s="77"/>
      <c r="AT90" s="74"/>
      <c r="AU90" s="74"/>
      <c r="AV90" s="74"/>
      <c r="AW90" s="74"/>
      <c r="BS90" s="105"/>
      <c r="BT90" s="105"/>
      <c r="BU90" s="105"/>
      <c r="BV90" s="105"/>
      <c r="BW90" s="105"/>
      <c r="BX90" s="105"/>
      <c r="BY90" s="105"/>
      <c r="BZ90" s="105"/>
      <c r="CH90" s="47"/>
      <c r="CI90" s="47"/>
    </row>
    <row r="91" spans="4:87" ht="20.25" hidden="1" x14ac:dyDescent="0.3"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Q91" s="76"/>
      <c r="AR91" s="77"/>
      <c r="AS91" s="77"/>
      <c r="AT91" s="74"/>
      <c r="AU91" s="74"/>
      <c r="AV91" s="74"/>
      <c r="AW91" s="74"/>
      <c r="BS91" s="105"/>
      <c r="BT91" s="105"/>
      <c r="BU91" s="105"/>
      <c r="BV91" s="105"/>
      <c r="BW91" s="105"/>
      <c r="BX91" s="105"/>
      <c r="BY91" s="105"/>
      <c r="BZ91" s="105"/>
      <c r="CH91" s="47"/>
      <c r="CI91" s="47"/>
    </row>
    <row r="92" spans="4:87" ht="157.5" hidden="1" customHeight="1" x14ac:dyDescent="0.3"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Q92" s="76"/>
      <c r="AR92" s="77"/>
      <c r="AS92" s="77"/>
      <c r="AT92" s="74"/>
      <c r="AU92" s="74"/>
      <c r="AV92" s="74"/>
      <c r="AW92" s="74"/>
      <c r="BE92" s="78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47"/>
      <c r="CH92" s="47"/>
      <c r="CI92" s="47"/>
    </row>
    <row r="93" spans="4:87" ht="20.25" hidden="1" x14ac:dyDescent="0.3"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Q93" s="76"/>
      <c r="AR93" s="77"/>
      <c r="AS93" s="77"/>
      <c r="AT93" s="74"/>
      <c r="AU93" s="74"/>
      <c r="AV93" s="74"/>
      <c r="AW93" s="74"/>
      <c r="BS93" s="105"/>
      <c r="BT93" s="105"/>
      <c r="BU93" s="105"/>
      <c r="BV93" s="105"/>
      <c r="BW93" s="105"/>
      <c r="BX93" s="105"/>
      <c r="BY93" s="105"/>
      <c r="BZ93" s="105"/>
      <c r="CH93" s="47"/>
      <c r="CI93" s="47"/>
    </row>
    <row r="94" spans="4:87" ht="33.75" hidden="1" customHeight="1" x14ac:dyDescent="0.3"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Q94" s="76"/>
      <c r="AR94" s="77"/>
      <c r="AS94" s="77"/>
      <c r="AT94" s="74"/>
      <c r="AU94" s="74"/>
      <c r="AV94" s="74"/>
      <c r="AW94" s="74"/>
      <c r="BS94" s="105"/>
      <c r="BT94" s="105"/>
      <c r="BU94" s="105"/>
      <c r="BV94" s="105"/>
      <c r="BW94" s="105"/>
      <c r="BX94" s="105"/>
      <c r="BY94" s="105"/>
      <c r="BZ94" s="105"/>
      <c r="CH94" s="47"/>
      <c r="CI94" s="47"/>
    </row>
    <row r="95" spans="4:87" ht="25.5" hidden="1" x14ac:dyDescent="0.35"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2"/>
      <c r="AT95" s="74"/>
      <c r="AU95" s="74"/>
      <c r="AV95" s="74"/>
      <c r="AW95" s="74"/>
      <c r="AX95" s="74"/>
      <c r="AY95" s="74"/>
      <c r="AZ95" s="74"/>
      <c r="BA95" s="74"/>
      <c r="BB95" s="74"/>
      <c r="BS95" s="105"/>
      <c r="BT95" s="105"/>
      <c r="BU95" s="105"/>
      <c r="BV95" s="105"/>
      <c r="BW95" s="105"/>
      <c r="BX95" s="105"/>
      <c r="BY95" s="105"/>
      <c r="BZ95" s="105"/>
    </row>
    <row r="96" spans="4:87" ht="30" hidden="1" x14ac:dyDescent="0.3">
      <c r="D96" s="103"/>
      <c r="E96" s="103"/>
      <c r="F96" s="103"/>
      <c r="G96" s="103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T96" s="74"/>
      <c r="AU96" s="74"/>
      <c r="AV96" s="74"/>
      <c r="AW96" s="74"/>
      <c r="AX96" s="74"/>
      <c r="AY96" s="74"/>
      <c r="AZ96" s="74"/>
      <c r="BA96" s="74"/>
      <c r="BB96" s="74"/>
      <c r="BS96" s="105"/>
      <c r="BT96" s="105"/>
      <c r="BU96" s="105"/>
      <c r="BV96" s="105"/>
      <c r="BW96" s="105"/>
      <c r="BX96" s="105"/>
      <c r="BY96" s="105"/>
      <c r="BZ96" s="105"/>
      <c r="CH96" s="47"/>
      <c r="CI96" s="47"/>
    </row>
    <row r="97" spans="2:87" hidden="1" x14ac:dyDescent="0.25">
      <c r="D97" s="103"/>
      <c r="E97" s="103"/>
      <c r="F97" s="103"/>
      <c r="G97" s="103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5"/>
      <c r="AQ97" s="76"/>
      <c r="AR97" s="77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M97" s="107"/>
      <c r="BN97" s="107"/>
      <c r="BO97" s="105"/>
      <c r="BS97" s="105"/>
      <c r="BT97" s="105"/>
      <c r="BU97" s="105"/>
      <c r="BV97" s="105"/>
      <c r="BW97" s="105"/>
      <c r="BX97" s="105"/>
      <c r="BY97" s="105"/>
      <c r="BZ97" s="105"/>
    </row>
    <row r="98" spans="2:87" ht="18.75" hidden="1" thickBot="1" x14ac:dyDescent="0.3">
      <c r="D98" s="103"/>
      <c r="E98" s="103"/>
      <c r="F98" s="103"/>
      <c r="G98" s="103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5"/>
      <c r="AQ98" s="76"/>
      <c r="AR98" s="77"/>
      <c r="AS98" s="77"/>
      <c r="AT98" s="74"/>
      <c r="AU98" s="74"/>
      <c r="AV98" s="74"/>
      <c r="AW98" s="74"/>
      <c r="AX98" s="74"/>
      <c r="AY98" s="74"/>
      <c r="BA98" s="108" t="s">
        <v>49</v>
      </c>
      <c r="BB98" s="74"/>
      <c r="BC98" s="109"/>
      <c r="BD98" s="74"/>
      <c r="BM98" s="107"/>
      <c r="BN98" s="107"/>
      <c r="BO98" s="105"/>
      <c r="BS98" s="105"/>
      <c r="BT98" s="105"/>
      <c r="BU98" s="105"/>
      <c r="BV98" s="105"/>
      <c r="BW98" s="264"/>
      <c r="BX98" s="105"/>
      <c r="BY98" s="105"/>
      <c r="BZ98" s="105"/>
      <c r="CI98" s="108" t="s">
        <v>48</v>
      </c>
    </row>
    <row r="99" spans="2:87" ht="45.75" customHeight="1" thickBot="1" x14ac:dyDescent="0.4">
      <c r="B99" s="111" t="s">
        <v>135</v>
      </c>
      <c r="C99" s="112"/>
      <c r="D99" s="706" t="str">
        <f>IF(BA99&gt;0," ","change the angle of frame")</f>
        <v xml:space="preserve"> </v>
      </c>
      <c r="E99" s="113"/>
      <c r="F99" s="113"/>
      <c r="G99" s="113"/>
      <c r="H99" s="114"/>
      <c r="I99" s="114"/>
      <c r="J99" s="114"/>
      <c r="K99" s="114"/>
      <c r="L99" s="114"/>
      <c r="M99" s="114"/>
      <c r="N99" s="114"/>
      <c r="O99" s="114"/>
      <c r="P99" s="114"/>
      <c r="T99" s="333" t="s">
        <v>130</v>
      </c>
      <c r="U99" s="328"/>
      <c r="V99" s="328"/>
      <c r="W99" s="328"/>
      <c r="X99" s="334" t="s">
        <v>88</v>
      </c>
      <c r="Y99" s="114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4"/>
      <c r="AQ99" s="115"/>
      <c r="AR99" s="115"/>
      <c r="AS99" s="116"/>
      <c r="AT99" s="74"/>
      <c r="AU99" s="74"/>
      <c r="AV99" s="74"/>
      <c r="AW99" s="74"/>
      <c r="AX99" s="74"/>
      <c r="AY99" s="74"/>
      <c r="AZ99" s="117"/>
      <c r="BA99" s="108">
        <f>-+AW102</f>
        <v>139.67806461118255</v>
      </c>
      <c r="BB99" s="74"/>
      <c r="BC99" s="109"/>
      <c r="BD99" s="74"/>
      <c r="BM99" s="107"/>
      <c r="BN99" s="107"/>
      <c r="BO99" s="105"/>
      <c r="BS99" s="105"/>
      <c r="BT99" s="105"/>
      <c r="BU99" s="306"/>
      <c r="BV99" s="105"/>
      <c r="BW99" s="264"/>
      <c r="BX99" s="105"/>
      <c r="BY99" s="105"/>
      <c r="BZ99" s="105"/>
      <c r="CI99" s="108">
        <f>+-AW113</f>
        <v>-168.32193538881745</v>
      </c>
    </row>
    <row r="100" spans="2:87" ht="45.75" customHeight="1" thickBot="1" x14ac:dyDescent="0.45">
      <c r="B100" s="1">
        <v>0</v>
      </c>
      <c r="C100" s="31"/>
      <c r="D100" s="707"/>
      <c r="E100" s="113"/>
      <c r="F100" s="113"/>
      <c r="G100" s="113"/>
      <c r="H100" s="114"/>
      <c r="I100" s="114"/>
      <c r="J100" s="114"/>
      <c r="K100" s="114"/>
      <c r="L100" s="114"/>
      <c r="M100" s="114"/>
      <c r="N100" s="114"/>
      <c r="O100" s="114"/>
      <c r="P100" s="114"/>
      <c r="T100" s="359" t="s">
        <v>85</v>
      </c>
      <c r="U100" s="330" t="s">
        <v>86</v>
      </c>
      <c r="V100" s="330" t="s">
        <v>87</v>
      </c>
      <c r="W100" s="357" t="s">
        <v>129</v>
      </c>
      <c r="X100" s="331" t="s">
        <v>89</v>
      </c>
      <c r="Y100" s="114"/>
      <c r="Z100" s="114"/>
      <c r="AA100" s="114"/>
      <c r="AB100" s="114"/>
      <c r="AC100" s="114"/>
      <c r="AD100" s="114"/>
      <c r="AE100" s="114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4"/>
      <c r="AQ100" s="115"/>
      <c r="AR100" s="115"/>
      <c r="AS100" s="116"/>
      <c r="BB100" s="74"/>
      <c r="BC100" s="74"/>
      <c r="BD100" s="74"/>
      <c r="BM100" s="107"/>
      <c r="BN100" s="107"/>
      <c r="BO100" s="105"/>
    </row>
    <row r="101" spans="2:87" ht="45.75" customHeight="1" thickBot="1" x14ac:dyDescent="0.45">
      <c r="B101" s="703" t="s">
        <v>134</v>
      </c>
      <c r="C101" s="118"/>
      <c r="D101" s="706" t="str">
        <f>IF(CI99&lt;0," ","change the angle of frame")</f>
        <v xml:space="preserve"> </v>
      </c>
      <c r="E101" s="113"/>
      <c r="F101" s="113"/>
      <c r="G101" s="113"/>
      <c r="H101" s="114"/>
      <c r="I101" s="114"/>
      <c r="J101" s="114"/>
      <c r="K101" s="114"/>
      <c r="L101" s="114"/>
      <c r="M101" s="114"/>
      <c r="N101" s="114"/>
      <c r="O101" s="114"/>
      <c r="P101" s="114"/>
      <c r="T101" s="359">
        <v>3.8163376000000002</v>
      </c>
      <c r="U101" s="330">
        <f>+$B$100-T101</f>
        <v>-3.8163376000000002</v>
      </c>
      <c r="V101" s="332">
        <f>COS(U101*3.14159265358979/180)</f>
        <v>0.9977825300623856</v>
      </c>
      <c r="W101" s="358">
        <f>+V101*185.8889</f>
        <v>185.47669695251381</v>
      </c>
      <c r="X101" s="356">
        <f>+((X106*AF106)+(W101*1))/(AF106+1)</f>
        <v>175.2786355572477</v>
      </c>
      <c r="Y101" s="114"/>
      <c r="Z101" s="114"/>
      <c r="AA101" s="234"/>
      <c r="AB101" s="325"/>
      <c r="AC101" s="114"/>
      <c r="AD101" s="114"/>
      <c r="AE101" s="114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4"/>
      <c r="AQ101" s="119"/>
      <c r="AR101" s="115"/>
      <c r="AT101" s="74"/>
      <c r="AU101" s="74"/>
      <c r="AV101" s="183" t="s">
        <v>79</v>
      </c>
      <c r="AW101" s="74"/>
      <c r="AX101" s="74"/>
      <c r="AY101" s="74"/>
      <c r="AZ101" s="74"/>
      <c r="BA101" s="74"/>
      <c r="BB101" s="120"/>
      <c r="BC101" s="120"/>
      <c r="BD101" s="120"/>
      <c r="BM101" s="107"/>
      <c r="BN101" s="107"/>
      <c r="BO101" s="105"/>
    </row>
    <row r="102" spans="2:87" ht="45.75" customHeight="1" thickBot="1" x14ac:dyDescent="0.45">
      <c r="B102" s="704"/>
      <c r="C102" s="118"/>
      <c r="D102" s="707"/>
      <c r="E102" s="113"/>
      <c r="F102" s="113"/>
      <c r="G102" s="113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458" t="s">
        <v>97</v>
      </c>
      <c r="AO102" s="115"/>
      <c r="AP102" s="114"/>
      <c r="AQ102" s="119"/>
      <c r="AR102" s="115"/>
      <c r="AT102" s="184">
        <v>1</v>
      </c>
      <c r="AU102" s="376">
        <v>0</v>
      </c>
      <c r="AV102" s="186">
        <f>+COS(($B$100*-1)*3.14159265358979/180)*AU102</f>
        <v>0</v>
      </c>
      <c r="AW102" s="187">
        <f t="shared" ref="AW102:AW113" si="3">+AV102-D$3</f>
        <v>-139.67806461118255</v>
      </c>
      <c r="AX102" s="188">
        <f t="shared" ref="AX102:AX113" si="4">ABS(AW102)</f>
        <v>139.67806461118255</v>
      </c>
      <c r="AY102" s="189">
        <f>MIN(AX102:AX153)</f>
        <v>0.32193538881745098</v>
      </c>
      <c r="AZ102" s="188" t="b">
        <f>IF(AY102=AX102,AT102)</f>
        <v>0</v>
      </c>
      <c r="BA102" s="190">
        <v>1</v>
      </c>
      <c r="BB102" s="120"/>
      <c r="BC102" s="120"/>
      <c r="BD102" s="120"/>
      <c r="BM102" s="107"/>
      <c r="BN102" s="107"/>
      <c r="BO102" s="105"/>
    </row>
    <row r="103" spans="2:87" ht="27" hidden="1" thickBot="1" x14ac:dyDescent="0.45">
      <c r="B103" s="9">
        <v>1</v>
      </c>
      <c r="C103" s="121"/>
      <c r="D103" s="122"/>
      <c r="E103" s="123"/>
      <c r="F103" s="124"/>
      <c r="G103" s="124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3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751" t="s">
        <v>44</v>
      </c>
      <c r="AO103" s="752"/>
      <c r="AP103" s="127"/>
      <c r="AQ103" s="128"/>
      <c r="AT103" s="184">
        <v>2</v>
      </c>
      <c r="AU103" s="376">
        <f>+AU102+28</f>
        <v>28</v>
      </c>
      <c r="AV103" s="17">
        <f>+AV102+$E$2</f>
        <v>28</v>
      </c>
      <c r="AW103" s="187">
        <f t="shared" si="3"/>
        <v>-111.67806461118255</v>
      </c>
      <c r="AX103" s="188">
        <f t="shared" si="4"/>
        <v>111.67806461118255</v>
      </c>
      <c r="AY103" s="188">
        <f>+AY102</f>
        <v>0.32193538881745098</v>
      </c>
      <c r="AZ103" s="188" t="b">
        <f t="shared" ref="AZ103:AZ113" si="5">IF(AY103=AX103,AT103)</f>
        <v>0</v>
      </c>
      <c r="BA103" s="190">
        <v>2</v>
      </c>
      <c r="BB103" s="120"/>
      <c r="BC103" s="120"/>
      <c r="BD103" s="120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</row>
    <row r="104" spans="2:87" ht="42" hidden="1" thickBot="1" x14ac:dyDescent="0.45">
      <c r="B104" s="129"/>
      <c r="C104" s="130"/>
      <c r="D104" s="131"/>
      <c r="F104" s="132"/>
      <c r="H104" s="133" t="s">
        <v>4</v>
      </c>
      <c r="I104" s="133" t="s">
        <v>1</v>
      </c>
      <c r="J104" s="134" t="s">
        <v>0</v>
      </c>
      <c r="K104" s="134" t="s">
        <v>2</v>
      </c>
      <c r="L104" s="134" t="s">
        <v>3</v>
      </c>
      <c r="M104" s="134" t="s">
        <v>8</v>
      </c>
      <c r="N104" s="134" t="s">
        <v>5</v>
      </c>
      <c r="O104" s="134" t="s">
        <v>6</v>
      </c>
      <c r="P104" s="134" t="s">
        <v>7</v>
      </c>
      <c r="Q104" s="134" t="s">
        <v>9</v>
      </c>
      <c r="R104" s="135" t="s">
        <v>10</v>
      </c>
      <c r="S104" s="134" t="s">
        <v>11</v>
      </c>
      <c r="T104" s="136" t="s">
        <v>12</v>
      </c>
      <c r="U104" s="137"/>
      <c r="V104" s="137"/>
      <c r="W104" s="138"/>
      <c r="X104" s="137"/>
      <c r="Y104" s="137"/>
      <c r="Z104" s="355" t="s">
        <v>90</v>
      </c>
      <c r="AA104" s="355"/>
      <c r="AB104" s="355" t="s">
        <v>90</v>
      </c>
      <c r="AC104" s="355" t="s">
        <v>90</v>
      </c>
      <c r="AD104" s="355"/>
      <c r="AE104" s="355" t="s">
        <v>90</v>
      </c>
      <c r="AF104" s="137"/>
      <c r="AG104" s="137"/>
      <c r="AH104" s="137"/>
      <c r="AI104" s="137"/>
      <c r="AJ104" s="137"/>
      <c r="AK104" s="137"/>
      <c r="AL104" s="138" t="s">
        <v>39</v>
      </c>
      <c r="AM104" s="138" t="s">
        <v>39</v>
      </c>
      <c r="AN104" s="139"/>
      <c r="AO104" s="140"/>
      <c r="AP104" s="105"/>
      <c r="AQ104" s="141"/>
      <c r="AT104" s="184">
        <v>3</v>
      </c>
      <c r="AU104" s="376">
        <f t="shared" ref="AU104:AU113" si="6">+AU103+28</f>
        <v>56</v>
      </c>
      <c r="AV104" s="17">
        <f t="shared" ref="AV104:AV113" si="7">+AV103+$E$2</f>
        <v>56</v>
      </c>
      <c r="AW104" s="187">
        <f t="shared" si="3"/>
        <v>-83.678064611182549</v>
      </c>
      <c r="AX104" s="188">
        <f t="shared" si="4"/>
        <v>83.678064611182549</v>
      </c>
      <c r="AY104" s="188">
        <f t="shared" ref="AY104:AY113" si="8">+AY103</f>
        <v>0.32193538881745098</v>
      </c>
      <c r="AZ104" s="188" t="b">
        <f t="shared" si="5"/>
        <v>0</v>
      </c>
      <c r="BA104" s="190">
        <v>3</v>
      </c>
      <c r="BB104" s="120"/>
      <c r="BC104" s="120"/>
      <c r="BD104" s="120"/>
      <c r="BN104" s="142"/>
      <c r="BO104" s="142"/>
      <c r="BP104" s="142"/>
      <c r="BQ104" s="142"/>
      <c r="BR104" s="142"/>
      <c r="BS104" s="142"/>
    </row>
    <row r="105" spans="2:87" ht="42" hidden="1" customHeight="1" thickBot="1" x14ac:dyDescent="0.45">
      <c r="B105" s="143"/>
      <c r="C105" s="144"/>
      <c r="D105" s="446" t="s">
        <v>97</v>
      </c>
      <c r="E105" s="123"/>
      <c r="F105" s="145"/>
      <c r="H105" s="146"/>
      <c r="I105" s="147"/>
      <c r="J105" s="53"/>
      <c r="K105" s="53"/>
      <c r="L105" s="53"/>
      <c r="M105" s="53"/>
      <c r="N105" s="53"/>
      <c r="O105" s="53"/>
      <c r="P105" s="53"/>
      <c r="Q105" s="53"/>
      <c r="R105" s="148"/>
      <c r="S105" s="53"/>
      <c r="T105" s="149"/>
      <c r="U105" s="150"/>
      <c r="V105" s="150"/>
      <c r="W105" s="150"/>
      <c r="X105" s="137" t="s">
        <v>34</v>
      </c>
      <c r="Y105" s="151" t="s">
        <v>27</v>
      </c>
      <c r="Z105" s="439" t="s">
        <v>77</v>
      </c>
      <c r="AA105" s="440" t="s">
        <v>28</v>
      </c>
      <c r="AB105" s="439" t="s">
        <v>29</v>
      </c>
      <c r="AC105" s="439" t="s">
        <v>78</v>
      </c>
      <c r="AD105" s="355" t="s">
        <v>30</v>
      </c>
      <c r="AE105" s="441" t="s">
        <v>31</v>
      </c>
      <c r="AF105" s="352" t="s">
        <v>32</v>
      </c>
      <c r="AG105" s="355" t="s">
        <v>33</v>
      </c>
      <c r="AH105" s="355" t="s">
        <v>35</v>
      </c>
      <c r="AI105" s="355" t="s">
        <v>36</v>
      </c>
      <c r="AJ105" s="445" t="s">
        <v>37</v>
      </c>
      <c r="AK105" s="445" t="s">
        <v>38</v>
      </c>
      <c r="AL105" s="152" t="s">
        <v>20</v>
      </c>
      <c r="AM105" s="152" t="s">
        <v>21</v>
      </c>
      <c r="AN105" s="153" t="s">
        <v>20</v>
      </c>
      <c r="AO105" s="153" t="s">
        <v>21</v>
      </c>
      <c r="AP105" s="105"/>
      <c r="AR105" s="154"/>
      <c r="AT105" s="184">
        <v>4</v>
      </c>
      <c r="AU105" s="376">
        <f t="shared" si="6"/>
        <v>84</v>
      </c>
      <c r="AV105" s="17">
        <f t="shared" si="7"/>
        <v>84</v>
      </c>
      <c r="AW105" s="187">
        <f t="shared" si="3"/>
        <v>-55.678064611182549</v>
      </c>
      <c r="AX105" s="188">
        <f t="shared" si="4"/>
        <v>55.678064611182549</v>
      </c>
      <c r="AY105" s="188">
        <f t="shared" si="8"/>
        <v>0.32193538881745098</v>
      </c>
      <c r="AZ105" s="188" t="b">
        <f t="shared" si="5"/>
        <v>0</v>
      </c>
      <c r="BA105" s="190">
        <v>4</v>
      </c>
      <c r="BB105" s="120"/>
      <c r="BC105" s="120"/>
      <c r="BD105" s="120"/>
    </row>
    <row r="106" spans="2:87" ht="21" hidden="1" thickBot="1" x14ac:dyDescent="0.45">
      <c r="B106" s="155">
        <v>1</v>
      </c>
      <c r="C106" s="156">
        <f>+($B$100*-1)+D106</f>
        <v>0</v>
      </c>
      <c r="D106" s="8">
        <v>0</v>
      </c>
      <c r="E106" s="360"/>
      <c r="F106" s="361"/>
      <c r="G106" s="158">
        <f>+D106</f>
        <v>0</v>
      </c>
      <c r="H106" s="159">
        <v>312.57960000000003</v>
      </c>
      <c r="I106" s="160">
        <v>111.9081254</v>
      </c>
      <c r="J106" s="75">
        <f>+I106-C106</f>
        <v>111.9081254</v>
      </c>
      <c r="K106" s="75">
        <f t="shared" ref="K106:K125" si="9">+J106/2</f>
        <v>55.954062700000001</v>
      </c>
      <c r="L106" s="75">
        <f t="shared" ref="L106:L125" si="10">SIN(K106*3.14159265358979/180)</f>
        <v>0.82858896924449466</v>
      </c>
      <c r="M106" s="75">
        <f t="shared" ref="M106:M125" si="11">+L106*H106</f>
        <v>259.00000857085644</v>
      </c>
      <c r="N106" s="75">
        <f t="shared" ref="N106:N125" si="12">+M106*2</f>
        <v>518.00001714171287</v>
      </c>
      <c r="O106" s="75">
        <f>+C106/2</f>
        <v>0</v>
      </c>
      <c r="P106" s="75">
        <f t="shared" ref="P106:P125" si="13">SIN(O106*3.14159265358979/180)</f>
        <v>0</v>
      </c>
      <c r="Q106" s="75">
        <f t="shared" ref="Q106:Q125" si="14">+P106*N106</f>
        <v>0</v>
      </c>
      <c r="R106" s="161">
        <v>175</v>
      </c>
      <c r="S106" s="75">
        <f>+R106+Q106</f>
        <v>175</v>
      </c>
      <c r="T106" s="162">
        <f t="shared" ref="T106:T125" si="15">+S106</f>
        <v>175</v>
      </c>
      <c r="U106" s="51"/>
      <c r="V106" s="163">
        <f t="shared" ref="V106:V125" si="16">IF(B106&lt;($B$103+1),T106,0)</f>
        <v>175</v>
      </c>
      <c r="W106" s="158"/>
      <c r="X106" s="163">
        <f>SUM(V106:V125)/($B$103)</f>
        <v>175</v>
      </c>
      <c r="Y106" s="164">
        <f>+C106</f>
        <v>0</v>
      </c>
      <c r="Z106" s="442">
        <f>66.2555484-Y106</f>
        <v>66.255548399999995</v>
      </c>
      <c r="AA106" s="443">
        <f t="shared" ref="AA106:AA125" si="17">SIN(Z106*3.14159265358979/180)</f>
        <v>0.91535047595051022</v>
      </c>
      <c r="AB106" s="442">
        <f>+AA106*304.3209</f>
        <v>278.56028065668761</v>
      </c>
      <c r="AC106" s="442">
        <f>50.0185497+Y106</f>
        <v>50.018549700000001</v>
      </c>
      <c r="AD106" s="443">
        <f>SIN(AC106*3.14159265358979/180)</f>
        <v>0.76625250760411079</v>
      </c>
      <c r="AE106" s="442">
        <f>+AD106*279.0605</f>
        <v>213.83080789825695</v>
      </c>
      <c r="AF106" s="353">
        <f>12.2*3*B103</f>
        <v>36.599999999999994</v>
      </c>
      <c r="AG106" s="442">
        <f>+AE106+AB106</f>
        <v>492.39108855494453</v>
      </c>
      <c r="AH106" s="442">
        <f>+V106-AE106</f>
        <v>-38.83080789825695</v>
      </c>
      <c r="AI106" s="442">
        <f>+X106-AH106</f>
        <v>213.83080789825695</v>
      </c>
      <c r="AJ106" s="442">
        <f>+((AG106-AI106)/AG106)*AF106</f>
        <v>20.705708346500874</v>
      </c>
      <c r="AK106" s="442">
        <f>+(AI106/AG106)*AF106</f>
        <v>15.894291653499126</v>
      </c>
      <c r="AL106" s="165">
        <f t="shared" ref="AL106:AL125" si="18">2*$C$7/AJ106</f>
        <v>560.23198076004599</v>
      </c>
      <c r="AM106" s="166">
        <f t="shared" ref="AM106:AM125" si="19">$D$7/AK106</f>
        <v>629.15669461737241</v>
      </c>
      <c r="AN106" s="167">
        <f>ABS(AL106)</f>
        <v>560.23198076004599</v>
      </c>
      <c r="AO106" s="167">
        <f>ABS(AM106)</f>
        <v>629.15669461737241</v>
      </c>
      <c r="AP106" s="57"/>
      <c r="AR106" s="168"/>
      <c r="AT106" s="184">
        <v>5</v>
      </c>
      <c r="AU106" s="376">
        <f t="shared" si="6"/>
        <v>112</v>
      </c>
      <c r="AV106" s="17">
        <f t="shared" si="7"/>
        <v>112</v>
      </c>
      <c r="AW106" s="187">
        <f t="shared" si="3"/>
        <v>-27.678064611182549</v>
      </c>
      <c r="AX106" s="188">
        <f t="shared" si="4"/>
        <v>27.678064611182549</v>
      </c>
      <c r="AY106" s="188">
        <f t="shared" si="8"/>
        <v>0.32193538881745098</v>
      </c>
      <c r="AZ106" s="188" t="b">
        <f t="shared" si="5"/>
        <v>0</v>
      </c>
      <c r="BA106" s="190">
        <v>5</v>
      </c>
      <c r="BB106" s="120"/>
      <c r="BC106" s="120"/>
      <c r="BD106" s="120"/>
    </row>
    <row r="107" spans="2:87" ht="21" hidden="1" thickBot="1" x14ac:dyDescent="0.45">
      <c r="B107" s="169">
        <v>2</v>
      </c>
      <c r="C107" s="170"/>
      <c r="D107" s="8">
        <v>0</v>
      </c>
      <c r="E107" s="362"/>
      <c r="F107" s="292"/>
      <c r="G107" s="173">
        <f t="shared" ref="G107:G125" si="20">+D107+AP107</f>
        <v>0</v>
      </c>
      <c r="H107" s="159">
        <v>312.57960000000003</v>
      </c>
      <c r="I107" s="160">
        <v>111.9081254</v>
      </c>
      <c r="J107" s="57">
        <f t="shared" ref="J107:J125" si="21">+I107-D107</f>
        <v>111.9081254</v>
      </c>
      <c r="K107" s="57">
        <f t="shared" si="9"/>
        <v>55.954062700000001</v>
      </c>
      <c r="L107" s="57">
        <f>SIN(K107*3.14159265358979/180)</f>
        <v>0.82858896924449466</v>
      </c>
      <c r="M107" s="57">
        <f t="shared" si="11"/>
        <v>259.00000857085644</v>
      </c>
      <c r="N107" s="57">
        <f t="shared" si="12"/>
        <v>518.00001714171287</v>
      </c>
      <c r="O107" s="57">
        <f>+C106+(D107/2)</f>
        <v>0</v>
      </c>
      <c r="P107" s="57">
        <f t="shared" si="13"/>
        <v>0</v>
      </c>
      <c r="Q107" s="57">
        <f t="shared" si="14"/>
        <v>0</v>
      </c>
      <c r="R107" s="57">
        <f t="shared" ref="R107:R125" si="22">+T106</f>
        <v>175</v>
      </c>
      <c r="S107" s="57">
        <f>+R107+Q107</f>
        <v>175</v>
      </c>
      <c r="T107" s="175">
        <f t="shared" si="15"/>
        <v>175</v>
      </c>
      <c r="U107" s="105"/>
      <c r="V107" s="176">
        <f t="shared" si="16"/>
        <v>0</v>
      </c>
      <c r="W107" s="158"/>
      <c r="X107" s="176" t="e">
        <f t="shared" ref="X107:X125" si="23">SUM(V107:V126)/($B$103-B106)</f>
        <v>#DIV/0!</v>
      </c>
      <c r="Y107" s="177">
        <f>SUM(D107)+$C$106</f>
        <v>0</v>
      </c>
      <c r="Z107" s="438">
        <f t="shared" ref="Z107:Z125" si="24">66.2555484-Y107</f>
        <v>66.255548399999995</v>
      </c>
      <c r="AA107" s="444">
        <f t="shared" si="17"/>
        <v>0.91535047595051022</v>
      </c>
      <c r="AB107" s="438">
        <f t="shared" ref="AB107:AB125" si="25">+AA107*304.3209</f>
        <v>278.56028065668761</v>
      </c>
      <c r="AC107" s="438">
        <f t="shared" ref="AC107:AC125" si="26">50.0185497+Y107</f>
        <v>50.018549700000001</v>
      </c>
      <c r="AD107" s="444">
        <f t="shared" ref="AD107:AD125" si="27">SIN(AC107*3.14159265358979/180)</f>
        <v>0.76625250760411079</v>
      </c>
      <c r="AE107" s="438">
        <f t="shared" ref="AE107:AE125" si="28">+AD107*279.0605</f>
        <v>213.83080789825695</v>
      </c>
      <c r="AF107" s="354">
        <f>28.5*($B$103-B106)</f>
        <v>0</v>
      </c>
      <c r="AG107" s="438">
        <f t="shared" ref="AG107:AG125" si="29">+AE107+AB107</f>
        <v>492.39108855494453</v>
      </c>
      <c r="AH107" s="438">
        <f>+V107-AE107</f>
        <v>-213.83080789825695</v>
      </c>
      <c r="AI107" s="438" t="e">
        <f>+X107-AH107</f>
        <v>#DIV/0!</v>
      </c>
      <c r="AJ107" s="438" t="e">
        <f t="shared" ref="AJ107:AJ125" si="30">+((AG107-AI107)/AG107)*AF107</f>
        <v>#DIV/0!</v>
      </c>
      <c r="AK107" s="438" t="e">
        <f t="shared" ref="AK107:AK125" si="31">+(AI107/AG107)*AF107</f>
        <v>#DIV/0!</v>
      </c>
      <c r="AL107" s="165" t="e">
        <f t="shared" si="18"/>
        <v>#DIV/0!</v>
      </c>
      <c r="AM107" s="166" t="e">
        <f t="shared" si="19"/>
        <v>#DIV/0!</v>
      </c>
      <c r="AN107" s="180" t="e">
        <f t="shared" ref="AN107:AO125" si="32">ABS(AL107)</f>
        <v>#DIV/0!</v>
      </c>
      <c r="AO107" s="167" t="e">
        <f t="shared" si="32"/>
        <v>#DIV/0!</v>
      </c>
      <c r="AR107" s="105"/>
      <c r="AT107" s="184">
        <v>6</v>
      </c>
      <c r="AU107" s="376">
        <f t="shared" si="6"/>
        <v>140</v>
      </c>
      <c r="AV107" s="17">
        <f t="shared" si="7"/>
        <v>140</v>
      </c>
      <c r="AW107" s="187">
        <f t="shared" si="3"/>
        <v>0.32193538881745098</v>
      </c>
      <c r="AX107" s="188">
        <f t="shared" si="4"/>
        <v>0.32193538881745098</v>
      </c>
      <c r="AY107" s="188">
        <f t="shared" si="8"/>
        <v>0.32193538881745098</v>
      </c>
      <c r="AZ107" s="188">
        <f t="shared" si="5"/>
        <v>6</v>
      </c>
      <c r="BA107" s="190">
        <v>6</v>
      </c>
      <c r="BB107" s="120"/>
      <c r="BC107" s="120"/>
      <c r="BD107" s="120"/>
    </row>
    <row r="108" spans="2:87" ht="21" hidden="1" thickBot="1" x14ac:dyDescent="0.45">
      <c r="B108" s="169">
        <v>3</v>
      </c>
      <c r="C108" s="170"/>
      <c r="D108" s="8">
        <v>0</v>
      </c>
      <c r="E108" s="360"/>
      <c r="F108" s="363"/>
      <c r="G108" s="173">
        <f t="shared" si="20"/>
        <v>0</v>
      </c>
      <c r="H108" s="159">
        <v>312.57960000000003</v>
      </c>
      <c r="I108" s="160">
        <v>111.9081254</v>
      </c>
      <c r="J108" s="57">
        <f t="shared" si="21"/>
        <v>111.9081254</v>
      </c>
      <c r="K108" s="57">
        <f t="shared" si="9"/>
        <v>55.954062700000001</v>
      </c>
      <c r="L108" s="57">
        <f t="shared" si="10"/>
        <v>0.82858896924449466</v>
      </c>
      <c r="M108" s="57">
        <f t="shared" si="11"/>
        <v>259.00000857085644</v>
      </c>
      <c r="N108" s="57">
        <f t="shared" si="12"/>
        <v>518.00001714171287</v>
      </c>
      <c r="O108" s="57">
        <f>+C106+D107+(D108/2)</f>
        <v>0</v>
      </c>
      <c r="P108" s="57">
        <f t="shared" si="13"/>
        <v>0</v>
      </c>
      <c r="Q108" s="57">
        <f t="shared" si="14"/>
        <v>0</v>
      </c>
      <c r="R108" s="57">
        <f t="shared" si="22"/>
        <v>175</v>
      </c>
      <c r="S108" s="57">
        <f t="shared" ref="S108:S125" si="33">+S107+Q108</f>
        <v>175</v>
      </c>
      <c r="T108" s="175">
        <f t="shared" si="15"/>
        <v>175</v>
      </c>
      <c r="U108" s="105"/>
      <c r="V108" s="176">
        <f t="shared" si="16"/>
        <v>0</v>
      </c>
      <c r="W108" s="158"/>
      <c r="X108" s="176">
        <f t="shared" si="23"/>
        <v>0</v>
      </c>
      <c r="Y108" s="177">
        <f>SUM(D107:D108)+$C$106</f>
        <v>0</v>
      </c>
      <c r="Z108" s="438">
        <f t="shared" si="24"/>
        <v>66.255548399999995</v>
      </c>
      <c r="AA108" s="444">
        <f t="shared" si="17"/>
        <v>0.91535047595051022</v>
      </c>
      <c r="AB108" s="438">
        <f t="shared" si="25"/>
        <v>278.56028065668761</v>
      </c>
      <c r="AC108" s="438">
        <f t="shared" si="26"/>
        <v>50.018549700000001</v>
      </c>
      <c r="AD108" s="444">
        <f t="shared" si="27"/>
        <v>0.76625250760411079</v>
      </c>
      <c r="AE108" s="438">
        <f t="shared" si="28"/>
        <v>213.83080789825695</v>
      </c>
      <c r="AF108" s="354">
        <f t="shared" ref="AF108:AF125" si="34">28.5*($B$103-B107)</f>
        <v>-28.5</v>
      </c>
      <c r="AG108" s="438">
        <f t="shared" si="29"/>
        <v>492.39108855494453</v>
      </c>
      <c r="AH108" s="438">
        <f>+V108-AE108</f>
        <v>-213.83080789825695</v>
      </c>
      <c r="AI108" s="438">
        <f>+X108-AH108</f>
        <v>213.83080789825695</v>
      </c>
      <c r="AJ108" s="438">
        <f t="shared" si="30"/>
        <v>-16.123297482931012</v>
      </c>
      <c r="AK108" s="438">
        <f t="shared" si="31"/>
        <v>-12.376702517068994</v>
      </c>
      <c r="AL108" s="165">
        <f t="shared" si="18"/>
        <v>-719.45580687079564</v>
      </c>
      <c r="AM108" s="166">
        <f t="shared" si="19"/>
        <v>-807.9696499296781</v>
      </c>
      <c r="AN108" s="167">
        <f t="shared" si="32"/>
        <v>719.45580687079564</v>
      </c>
      <c r="AO108" s="167">
        <f t="shared" si="32"/>
        <v>807.9696499296781</v>
      </c>
      <c r="AT108" s="184">
        <v>7</v>
      </c>
      <c r="AU108" s="376">
        <f t="shared" si="6"/>
        <v>168</v>
      </c>
      <c r="AV108" s="17">
        <f t="shared" si="7"/>
        <v>168</v>
      </c>
      <c r="AW108" s="187">
        <f t="shared" si="3"/>
        <v>28.321935388817451</v>
      </c>
      <c r="AX108" s="188">
        <f t="shared" si="4"/>
        <v>28.321935388817451</v>
      </c>
      <c r="AY108" s="188">
        <f t="shared" si="8"/>
        <v>0.32193538881745098</v>
      </c>
      <c r="AZ108" s="188" t="b">
        <f t="shared" si="5"/>
        <v>0</v>
      </c>
      <c r="BA108" s="190">
        <v>7</v>
      </c>
      <c r="BB108" s="120"/>
      <c r="BC108" s="120"/>
      <c r="BD108" s="120"/>
    </row>
    <row r="109" spans="2:87" ht="21" hidden="1" thickBot="1" x14ac:dyDescent="0.45">
      <c r="B109" s="169">
        <v>4</v>
      </c>
      <c r="C109" s="170"/>
      <c r="D109" s="8">
        <v>0</v>
      </c>
      <c r="E109" s="360"/>
      <c r="F109" s="363"/>
      <c r="G109" s="173">
        <f t="shared" si="20"/>
        <v>0</v>
      </c>
      <c r="H109" s="159">
        <v>312.57960000000003</v>
      </c>
      <c r="I109" s="160">
        <v>111.9081254</v>
      </c>
      <c r="J109" s="57">
        <f t="shared" si="21"/>
        <v>111.9081254</v>
      </c>
      <c r="K109" s="57">
        <f t="shared" si="9"/>
        <v>55.954062700000001</v>
      </c>
      <c r="L109" s="57">
        <f t="shared" si="10"/>
        <v>0.82858896924449466</v>
      </c>
      <c r="M109" s="57">
        <f t="shared" si="11"/>
        <v>259.00000857085644</v>
      </c>
      <c r="N109" s="57">
        <f t="shared" si="12"/>
        <v>518.00001714171287</v>
      </c>
      <c r="O109" s="57">
        <f>+C106+D107+D108+(D109/2)</f>
        <v>0</v>
      </c>
      <c r="P109" s="57">
        <f t="shared" si="13"/>
        <v>0</v>
      </c>
      <c r="Q109" s="57">
        <f t="shared" si="14"/>
        <v>0</v>
      </c>
      <c r="R109" s="57">
        <f t="shared" si="22"/>
        <v>175</v>
      </c>
      <c r="S109" s="57">
        <f t="shared" si="33"/>
        <v>175</v>
      </c>
      <c r="T109" s="175">
        <f t="shared" si="15"/>
        <v>175</v>
      </c>
      <c r="U109" s="105"/>
      <c r="V109" s="176">
        <f t="shared" si="16"/>
        <v>0</v>
      </c>
      <c r="W109" s="158"/>
      <c r="X109" s="176">
        <f t="shared" si="23"/>
        <v>0</v>
      </c>
      <c r="Y109" s="177">
        <f>SUM(D107:D109)+$C$106</f>
        <v>0</v>
      </c>
      <c r="Z109" s="438">
        <f t="shared" si="24"/>
        <v>66.255548399999995</v>
      </c>
      <c r="AA109" s="444">
        <f t="shared" si="17"/>
        <v>0.91535047595051022</v>
      </c>
      <c r="AB109" s="438">
        <f t="shared" si="25"/>
        <v>278.56028065668761</v>
      </c>
      <c r="AC109" s="438">
        <f t="shared" si="26"/>
        <v>50.018549700000001</v>
      </c>
      <c r="AD109" s="444">
        <f t="shared" si="27"/>
        <v>0.76625250760411079</v>
      </c>
      <c r="AE109" s="438">
        <f t="shared" si="28"/>
        <v>213.83080789825695</v>
      </c>
      <c r="AF109" s="354">
        <f t="shared" si="34"/>
        <v>-57</v>
      </c>
      <c r="AG109" s="438">
        <f t="shared" si="29"/>
        <v>492.39108855494453</v>
      </c>
      <c r="AH109" s="438">
        <f>+V109-AE109</f>
        <v>-213.83080789825695</v>
      </c>
      <c r="AI109" s="438">
        <f t="shared" ref="AI109:AI125" si="35">+X109-AH109</f>
        <v>213.83080789825695</v>
      </c>
      <c r="AJ109" s="438">
        <f t="shared" si="30"/>
        <v>-32.246594965862023</v>
      </c>
      <c r="AK109" s="438">
        <f t="shared" si="31"/>
        <v>-24.753405034137987</v>
      </c>
      <c r="AL109" s="165">
        <f t="shared" si="18"/>
        <v>-359.72790343539782</v>
      </c>
      <c r="AM109" s="166">
        <f t="shared" si="19"/>
        <v>-403.98482496483905</v>
      </c>
      <c r="AN109" s="167">
        <f t="shared" si="32"/>
        <v>359.72790343539782</v>
      </c>
      <c r="AO109" s="167">
        <f t="shared" si="32"/>
        <v>403.98482496483905</v>
      </c>
      <c r="AT109" s="184">
        <v>8</v>
      </c>
      <c r="AU109" s="376">
        <f t="shared" si="6"/>
        <v>196</v>
      </c>
      <c r="AV109" s="17">
        <f t="shared" si="7"/>
        <v>196</v>
      </c>
      <c r="AW109" s="187">
        <f t="shared" si="3"/>
        <v>56.321935388817451</v>
      </c>
      <c r="AX109" s="188">
        <f t="shared" si="4"/>
        <v>56.321935388817451</v>
      </c>
      <c r="AY109" s="188">
        <f t="shared" si="8"/>
        <v>0.32193538881745098</v>
      </c>
      <c r="AZ109" s="188" t="b">
        <f t="shared" si="5"/>
        <v>0</v>
      </c>
      <c r="BA109" s="190">
        <v>8</v>
      </c>
      <c r="BB109" s="120"/>
      <c r="BC109" s="120"/>
      <c r="BD109" s="120"/>
    </row>
    <row r="110" spans="2:87" ht="21" hidden="1" thickBot="1" x14ac:dyDescent="0.45">
      <c r="B110" s="169">
        <v>5</v>
      </c>
      <c r="C110" s="170"/>
      <c r="D110" s="8">
        <v>0</v>
      </c>
      <c r="E110" s="360"/>
      <c r="F110" s="363"/>
      <c r="G110" s="173">
        <f t="shared" si="20"/>
        <v>0</v>
      </c>
      <c r="H110" s="159">
        <v>312.57960000000003</v>
      </c>
      <c r="I110" s="160">
        <v>111.9081254</v>
      </c>
      <c r="J110" s="57">
        <f t="shared" si="21"/>
        <v>111.9081254</v>
      </c>
      <c r="K110" s="57">
        <f t="shared" si="9"/>
        <v>55.954062700000001</v>
      </c>
      <c r="L110" s="57">
        <f t="shared" si="10"/>
        <v>0.82858896924449466</v>
      </c>
      <c r="M110" s="57">
        <f t="shared" si="11"/>
        <v>259.00000857085644</v>
      </c>
      <c r="N110" s="57">
        <f t="shared" si="12"/>
        <v>518.00001714171287</v>
      </c>
      <c r="O110" s="57">
        <f>+C106+D107+D108+D109+(D110/2)</f>
        <v>0</v>
      </c>
      <c r="P110" s="57">
        <f t="shared" si="13"/>
        <v>0</v>
      </c>
      <c r="Q110" s="57">
        <f t="shared" si="14"/>
        <v>0</v>
      </c>
      <c r="R110" s="57">
        <f t="shared" si="22"/>
        <v>175</v>
      </c>
      <c r="S110" s="57">
        <f t="shared" si="33"/>
        <v>175</v>
      </c>
      <c r="T110" s="175">
        <f t="shared" si="15"/>
        <v>175</v>
      </c>
      <c r="U110" s="105"/>
      <c r="V110" s="176">
        <f t="shared" si="16"/>
        <v>0</v>
      </c>
      <c r="W110" s="158"/>
      <c r="X110" s="176">
        <f t="shared" si="23"/>
        <v>0</v>
      </c>
      <c r="Y110" s="177">
        <f>SUM(D107:D110)+$C$106</f>
        <v>0</v>
      </c>
      <c r="Z110" s="438">
        <f t="shared" si="24"/>
        <v>66.255548399999995</v>
      </c>
      <c r="AA110" s="444">
        <f t="shared" si="17"/>
        <v>0.91535047595051022</v>
      </c>
      <c r="AB110" s="438">
        <f t="shared" si="25"/>
        <v>278.56028065668761</v>
      </c>
      <c r="AC110" s="438">
        <f t="shared" si="26"/>
        <v>50.018549700000001</v>
      </c>
      <c r="AD110" s="444">
        <f t="shared" si="27"/>
        <v>0.76625250760411079</v>
      </c>
      <c r="AE110" s="438">
        <f t="shared" si="28"/>
        <v>213.83080789825695</v>
      </c>
      <c r="AF110" s="354">
        <f t="shared" si="34"/>
        <v>-85.5</v>
      </c>
      <c r="AG110" s="438">
        <f t="shared" si="29"/>
        <v>492.39108855494453</v>
      </c>
      <c r="AH110" s="438">
        <f t="shared" ref="AH110:AH125" si="36">+V110-AE110</f>
        <v>-213.83080789825695</v>
      </c>
      <c r="AI110" s="438">
        <f t="shared" si="35"/>
        <v>213.83080789825695</v>
      </c>
      <c r="AJ110" s="438">
        <f t="shared" si="30"/>
        <v>-48.369892448793031</v>
      </c>
      <c r="AK110" s="438">
        <f t="shared" si="31"/>
        <v>-37.130107551206976</v>
      </c>
      <c r="AL110" s="165">
        <f t="shared" si="18"/>
        <v>-239.81860229026523</v>
      </c>
      <c r="AM110" s="166">
        <f t="shared" si="19"/>
        <v>-269.32321664322603</v>
      </c>
      <c r="AN110" s="167">
        <f t="shared" si="32"/>
        <v>239.81860229026523</v>
      </c>
      <c r="AO110" s="167">
        <f t="shared" si="32"/>
        <v>269.32321664322603</v>
      </c>
      <c r="AR110" s="181"/>
      <c r="AT110" s="184">
        <v>9</v>
      </c>
      <c r="AU110" s="376">
        <f t="shared" si="6"/>
        <v>224</v>
      </c>
      <c r="AV110" s="17">
        <f t="shared" si="7"/>
        <v>224</v>
      </c>
      <c r="AW110" s="187">
        <f t="shared" si="3"/>
        <v>84.321935388817451</v>
      </c>
      <c r="AX110" s="188">
        <f t="shared" si="4"/>
        <v>84.321935388817451</v>
      </c>
      <c r="AY110" s="188">
        <f t="shared" si="8"/>
        <v>0.32193538881745098</v>
      </c>
      <c r="AZ110" s="188" t="b">
        <f t="shared" si="5"/>
        <v>0</v>
      </c>
      <c r="BA110" s="190">
        <v>9</v>
      </c>
      <c r="BB110" s="120"/>
      <c r="BC110" s="120"/>
      <c r="BD110" s="120"/>
    </row>
    <row r="111" spans="2:87" ht="21" hidden="1" thickBot="1" x14ac:dyDescent="0.45">
      <c r="B111" s="169">
        <v>6</v>
      </c>
      <c r="C111" s="170"/>
      <c r="D111" s="8">
        <v>0</v>
      </c>
      <c r="E111" s="360"/>
      <c r="F111" s="363"/>
      <c r="G111" s="173">
        <f t="shared" si="20"/>
        <v>0</v>
      </c>
      <c r="H111" s="159">
        <v>312.57960000000003</v>
      </c>
      <c r="I111" s="160">
        <v>111.9081254</v>
      </c>
      <c r="J111" s="57">
        <f t="shared" si="21"/>
        <v>111.9081254</v>
      </c>
      <c r="K111" s="57">
        <f t="shared" si="9"/>
        <v>55.954062700000001</v>
      </c>
      <c r="L111" s="57">
        <f t="shared" si="10"/>
        <v>0.82858896924449466</v>
      </c>
      <c r="M111" s="57">
        <f t="shared" si="11"/>
        <v>259.00000857085644</v>
      </c>
      <c r="N111" s="57">
        <f t="shared" si="12"/>
        <v>518.00001714171287</v>
      </c>
      <c r="O111" s="57">
        <f>+C106+D107+D108+D109+D110+(D111/2)</f>
        <v>0</v>
      </c>
      <c r="P111" s="57">
        <f t="shared" si="13"/>
        <v>0</v>
      </c>
      <c r="Q111" s="57">
        <f t="shared" si="14"/>
        <v>0</v>
      </c>
      <c r="R111" s="57">
        <f t="shared" si="22"/>
        <v>175</v>
      </c>
      <c r="S111" s="57">
        <f t="shared" si="33"/>
        <v>175</v>
      </c>
      <c r="T111" s="175">
        <f t="shared" si="15"/>
        <v>175</v>
      </c>
      <c r="U111" s="105"/>
      <c r="V111" s="176">
        <f t="shared" si="16"/>
        <v>0</v>
      </c>
      <c r="W111" s="158"/>
      <c r="X111" s="176">
        <f t="shared" si="23"/>
        <v>0</v>
      </c>
      <c r="Y111" s="177">
        <f>SUM(D107:D111)+$C$106</f>
        <v>0</v>
      </c>
      <c r="Z111" s="438">
        <f t="shared" si="24"/>
        <v>66.255548399999995</v>
      </c>
      <c r="AA111" s="444">
        <f t="shared" si="17"/>
        <v>0.91535047595051022</v>
      </c>
      <c r="AB111" s="438">
        <f t="shared" si="25"/>
        <v>278.56028065668761</v>
      </c>
      <c r="AC111" s="438">
        <f t="shared" si="26"/>
        <v>50.018549700000001</v>
      </c>
      <c r="AD111" s="444">
        <f t="shared" si="27"/>
        <v>0.76625250760411079</v>
      </c>
      <c r="AE111" s="438">
        <f t="shared" si="28"/>
        <v>213.83080789825695</v>
      </c>
      <c r="AF111" s="354">
        <f t="shared" si="34"/>
        <v>-114</v>
      </c>
      <c r="AG111" s="438">
        <f t="shared" si="29"/>
        <v>492.39108855494453</v>
      </c>
      <c r="AH111" s="438">
        <f t="shared" si="36"/>
        <v>-213.83080789825695</v>
      </c>
      <c r="AI111" s="438">
        <f t="shared" si="35"/>
        <v>213.83080789825695</v>
      </c>
      <c r="AJ111" s="438">
        <f t="shared" si="30"/>
        <v>-64.493189931724046</v>
      </c>
      <c r="AK111" s="438">
        <f t="shared" si="31"/>
        <v>-49.506810068275975</v>
      </c>
      <c r="AL111" s="165">
        <f t="shared" si="18"/>
        <v>-179.86395171769891</v>
      </c>
      <c r="AM111" s="166">
        <f t="shared" si="19"/>
        <v>-201.99241248241952</v>
      </c>
      <c r="AN111" s="167">
        <f t="shared" si="32"/>
        <v>179.86395171769891</v>
      </c>
      <c r="AO111" s="167">
        <f t="shared" si="32"/>
        <v>201.99241248241952</v>
      </c>
      <c r="AT111" s="184">
        <v>10</v>
      </c>
      <c r="AU111" s="376">
        <f t="shared" si="6"/>
        <v>252</v>
      </c>
      <c r="AV111" s="17">
        <f t="shared" si="7"/>
        <v>252</v>
      </c>
      <c r="AW111" s="187">
        <f t="shared" si="3"/>
        <v>112.32193538881745</v>
      </c>
      <c r="AX111" s="188">
        <f t="shared" si="4"/>
        <v>112.32193538881745</v>
      </c>
      <c r="AY111" s="188">
        <f t="shared" si="8"/>
        <v>0.32193538881745098</v>
      </c>
      <c r="AZ111" s="188" t="b">
        <f t="shared" si="5"/>
        <v>0</v>
      </c>
      <c r="BA111" s="190">
        <v>10</v>
      </c>
      <c r="BB111" s="120"/>
      <c r="BC111" s="120"/>
      <c r="BD111" s="120"/>
    </row>
    <row r="112" spans="2:87" ht="21" hidden="1" thickBot="1" x14ac:dyDescent="0.45">
      <c r="B112" s="169">
        <v>7</v>
      </c>
      <c r="C112" s="170"/>
      <c r="D112" s="8">
        <v>0</v>
      </c>
      <c r="E112" s="360"/>
      <c r="F112" s="363"/>
      <c r="G112" s="173">
        <f t="shared" si="20"/>
        <v>0</v>
      </c>
      <c r="H112" s="159">
        <v>312.57960000000003</v>
      </c>
      <c r="I112" s="160">
        <v>111.9081254</v>
      </c>
      <c r="J112" s="57">
        <f t="shared" si="21"/>
        <v>111.9081254</v>
      </c>
      <c r="K112" s="57">
        <f t="shared" si="9"/>
        <v>55.954062700000001</v>
      </c>
      <c r="L112" s="57">
        <f t="shared" si="10"/>
        <v>0.82858896924449466</v>
      </c>
      <c r="M112" s="57">
        <f t="shared" si="11"/>
        <v>259.00000857085644</v>
      </c>
      <c r="N112" s="57">
        <f t="shared" si="12"/>
        <v>518.00001714171287</v>
      </c>
      <c r="O112" s="57">
        <f>+C106+D107+D108+D109+D110+D111+(D112/2)</f>
        <v>0</v>
      </c>
      <c r="P112" s="57">
        <f t="shared" si="13"/>
        <v>0</v>
      </c>
      <c r="Q112" s="57">
        <f t="shared" si="14"/>
        <v>0</v>
      </c>
      <c r="R112" s="57">
        <f t="shared" si="22"/>
        <v>175</v>
      </c>
      <c r="S112" s="57">
        <f t="shared" si="33"/>
        <v>175</v>
      </c>
      <c r="T112" s="175">
        <f t="shared" si="15"/>
        <v>175</v>
      </c>
      <c r="U112" s="105"/>
      <c r="V112" s="176">
        <f t="shared" si="16"/>
        <v>0</v>
      </c>
      <c r="W112" s="158"/>
      <c r="X112" s="176">
        <f t="shared" si="23"/>
        <v>0</v>
      </c>
      <c r="Y112" s="177">
        <f>SUM(D107:D112)+$C$106</f>
        <v>0</v>
      </c>
      <c r="Z112" s="438">
        <f t="shared" si="24"/>
        <v>66.255548399999995</v>
      </c>
      <c r="AA112" s="444">
        <f t="shared" si="17"/>
        <v>0.91535047595051022</v>
      </c>
      <c r="AB112" s="438">
        <f t="shared" si="25"/>
        <v>278.56028065668761</v>
      </c>
      <c r="AC112" s="438">
        <f t="shared" si="26"/>
        <v>50.018549700000001</v>
      </c>
      <c r="AD112" s="444">
        <f t="shared" si="27"/>
        <v>0.76625250760411079</v>
      </c>
      <c r="AE112" s="438">
        <f t="shared" si="28"/>
        <v>213.83080789825695</v>
      </c>
      <c r="AF112" s="354">
        <f t="shared" si="34"/>
        <v>-142.5</v>
      </c>
      <c r="AG112" s="438">
        <f t="shared" si="29"/>
        <v>492.39108855494453</v>
      </c>
      <c r="AH112" s="438">
        <f t="shared" si="36"/>
        <v>-213.83080789825695</v>
      </c>
      <c r="AI112" s="438">
        <f t="shared" si="35"/>
        <v>213.83080789825695</v>
      </c>
      <c r="AJ112" s="438">
        <f t="shared" si="30"/>
        <v>-80.616487414655055</v>
      </c>
      <c r="AK112" s="438">
        <f t="shared" si="31"/>
        <v>-61.883512585344967</v>
      </c>
      <c r="AL112" s="165">
        <f t="shared" si="18"/>
        <v>-143.89116137415914</v>
      </c>
      <c r="AM112" s="166">
        <f t="shared" si="19"/>
        <v>-161.5939299859356</v>
      </c>
      <c r="AN112" s="167">
        <f t="shared" si="32"/>
        <v>143.89116137415914</v>
      </c>
      <c r="AO112" s="167">
        <f t="shared" si="32"/>
        <v>161.5939299859356</v>
      </c>
      <c r="AT112" s="184">
        <v>11</v>
      </c>
      <c r="AU112" s="376">
        <f t="shared" si="6"/>
        <v>280</v>
      </c>
      <c r="AV112" s="17">
        <f t="shared" si="7"/>
        <v>280</v>
      </c>
      <c r="AW112" s="187">
        <f t="shared" si="3"/>
        <v>140.32193538881745</v>
      </c>
      <c r="AX112" s="188">
        <f t="shared" si="4"/>
        <v>140.32193538881745</v>
      </c>
      <c r="AY112" s="188">
        <f t="shared" si="8"/>
        <v>0.32193538881745098</v>
      </c>
      <c r="AZ112" s="188" t="b">
        <f t="shared" si="5"/>
        <v>0</v>
      </c>
      <c r="BA112" s="190">
        <v>11</v>
      </c>
      <c r="BB112" s="120"/>
      <c r="BC112" s="120"/>
      <c r="BD112" s="120"/>
    </row>
    <row r="113" spans="1:56" ht="21" hidden="1" thickBot="1" x14ac:dyDescent="0.45">
      <c r="B113" s="169">
        <v>8</v>
      </c>
      <c r="C113" s="170"/>
      <c r="D113" s="8">
        <v>0</v>
      </c>
      <c r="E113" s="360"/>
      <c r="F113" s="363"/>
      <c r="G113" s="173">
        <f t="shared" si="20"/>
        <v>0</v>
      </c>
      <c r="H113" s="159">
        <v>312.57960000000003</v>
      </c>
      <c r="I113" s="160">
        <v>111.9081254</v>
      </c>
      <c r="J113" s="57">
        <f t="shared" si="21"/>
        <v>111.9081254</v>
      </c>
      <c r="K113" s="57">
        <f t="shared" si="9"/>
        <v>55.954062700000001</v>
      </c>
      <c r="L113" s="57">
        <f t="shared" si="10"/>
        <v>0.82858896924449466</v>
      </c>
      <c r="M113" s="57">
        <f t="shared" si="11"/>
        <v>259.00000857085644</v>
      </c>
      <c r="N113" s="57">
        <f t="shared" si="12"/>
        <v>518.00001714171287</v>
      </c>
      <c r="O113" s="57">
        <f>+C106+D107+D108+D109+D110+D111+D112+(D113/2)</f>
        <v>0</v>
      </c>
      <c r="P113" s="57">
        <f t="shared" si="13"/>
        <v>0</v>
      </c>
      <c r="Q113" s="57">
        <f t="shared" si="14"/>
        <v>0</v>
      </c>
      <c r="R113" s="57">
        <f t="shared" si="22"/>
        <v>175</v>
      </c>
      <c r="S113" s="57">
        <f t="shared" si="33"/>
        <v>175</v>
      </c>
      <c r="T113" s="175">
        <f t="shared" si="15"/>
        <v>175</v>
      </c>
      <c r="U113" s="105"/>
      <c r="V113" s="176">
        <f t="shared" si="16"/>
        <v>0</v>
      </c>
      <c r="W113" s="158"/>
      <c r="X113" s="176">
        <f t="shared" si="23"/>
        <v>0</v>
      </c>
      <c r="Y113" s="177">
        <f>SUM(D107:D113)+$C$106</f>
        <v>0</v>
      </c>
      <c r="Z113" s="438">
        <f t="shared" si="24"/>
        <v>66.255548399999995</v>
      </c>
      <c r="AA113" s="444">
        <f t="shared" si="17"/>
        <v>0.91535047595051022</v>
      </c>
      <c r="AB113" s="438">
        <f t="shared" si="25"/>
        <v>278.56028065668761</v>
      </c>
      <c r="AC113" s="438">
        <f t="shared" si="26"/>
        <v>50.018549700000001</v>
      </c>
      <c r="AD113" s="444">
        <f t="shared" si="27"/>
        <v>0.76625250760411079</v>
      </c>
      <c r="AE113" s="438">
        <f t="shared" si="28"/>
        <v>213.83080789825695</v>
      </c>
      <c r="AF113" s="354">
        <f t="shared" si="34"/>
        <v>-171</v>
      </c>
      <c r="AG113" s="438">
        <f t="shared" si="29"/>
        <v>492.39108855494453</v>
      </c>
      <c r="AH113" s="438">
        <f t="shared" si="36"/>
        <v>-213.83080789825695</v>
      </c>
      <c r="AI113" s="438">
        <f t="shared" si="35"/>
        <v>213.83080789825695</v>
      </c>
      <c r="AJ113" s="438">
        <f t="shared" si="30"/>
        <v>-96.739784897586063</v>
      </c>
      <c r="AK113" s="438">
        <f t="shared" si="31"/>
        <v>-74.260215102413952</v>
      </c>
      <c r="AL113" s="165">
        <f t="shared" si="18"/>
        <v>-119.90930114513262</v>
      </c>
      <c r="AM113" s="166">
        <f t="shared" si="19"/>
        <v>-134.66160832161302</v>
      </c>
      <c r="AN113" s="167">
        <f t="shared" si="32"/>
        <v>119.90930114513262</v>
      </c>
      <c r="AO113" s="167">
        <f t="shared" si="32"/>
        <v>134.66160832161302</v>
      </c>
      <c r="AT113" s="184">
        <v>12</v>
      </c>
      <c r="AU113" s="376">
        <f t="shared" si="6"/>
        <v>308</v>
      </c>
      <c r="AV113" s="17">
        <f t="shared" si="7"/>
        <v>308</v>
      </c>
      <c r="AW113" s="187">
        <f t="shared" si="3"/>
        <v>168.32193538881745</v>
      </c>
      <c r="AX113" s="188">
        <f t="shared" si="4"/>
        <v>168.32193538881745</v>
      </c>
      <c r="AY113" s="188">
        <f t="shared" si="8"/>
        <v>0.32193538881745098</v>
      </c>
      <c r="AZ113" s="188" t="b">
        <f t="shared" si="5"/>
        <v>0</v>
      </c>
      <c r="BA113" s="190">
        <v>12</v>
      </c>
      <c r="BB113" s="120"/>
      <c r="BC113" s="120"/>
      <c r="BD113" s="120"/>
    </row>
    <row r="114" spans="1:56" ht="21" hidden="1" thickBot="1" x14ac:dyDescent="0.45">
      <c r="B114" s="169">
        <v>9</v>
      </c>
      <c r="C114" s="170"/>
      <c r="D114" s="8">
        <v>0</v>
      </c>
      <c r="E114" s="360"/>
      <c r="F114" s="363"/>
      <c r="G114" s="173">
        <f t="shared" si="20"/>
        <v>0</v>
      </c>
      <c r="H114" s="159">
        <v>312.57960000000003</v>
      </c>
      <c r="I114" s="160">
        <v>111.9081254</v>
      </c>
      <c r="J114" s="57">
        <f t="shared" si="21"/>
        <v>111.9081254</v>
      </c>
      <c r="K114" s="57">
        <f t="shared" si="9"/>
        <v>55.954062700000001</v>
      </c>
      <c r="L114" s="57">
        <f t="shared" si="10"/>
        <v>0.82858896924449466</v>
      </c>
      <c r="M114" s="57">
        <f t="shared" si="11"/>
        <v>259.00000857085644</v>
      </c>
      <c r="N114" s="57">
        <f t="shared" si="12"/>
        <v>518.00001714171287</v>
      </c>
      <c r="O114" s="57">
        <f>+C106+D107+D108+D109+D110+D111+D112+D113+(D114/2)</f>
        <v>0</v>
      </c>
      <c r="P114" s="57">
        <f t="shared" si="13"/>
        <v>0</v>
      </c>
      <c r="Q114" s="57">
        <f t="shared" si="14"/>
        <v>0</v>
      </c>
      <c r="R114" s="57">
        <f t="shared" si="22"/>
        <v>175</v>
      </c>
      <c r="S114" s="57">
        <f t="shared" si="33"/>
        <v>175</v>
      </c>
      <c r="T114" s="175">
        <f t="shared" si="15"/>
        <v>175</v>
      </c>
      <c r="U114" s="105"/>
      <c r="V114" s="176">
        <f t="shared" si="16"/>
        <v>0</v>
      </c>
      <c r="W114" s="158"/>
      <c r="X114" s="176">
        <f t="shared" si="23"/>
        <v>0</v>
      </c>
      <c r="Y114" s="177">
        <f>SUM(D107:D114)+$C$106</f>
        <v>0</v>
      </c>
      <c r="Z114" s="438">
        <f t="shared" si="24"/>
        <v>66.255548399999995</v>
      </c>
      <c r="AA114" s="444">
        <f t="shared" si="17"/>
        <v>0.91535047595051022</v>
      </c>
      <c r="AB114" s="438">
        <f t="shared" si="25"/>
        <v>278.56028065668761</v>
      </c>
      <c r="AC114" s="438">
        <f t="shared" si="26"/>
        <v>50.018549700000001</v>
      </c>
      <c r="AD114" s="444">
        <f t="shared" si="27"/>
        <v>0.76625250760411079</v>
      </c>
      <c r="AE114" s="438">
        <f t="shared" si="28"/>
        <v>213.83080789825695</v>
      </c>
      <c r="AF114" s="354">
        <f t="shared" si="34"/>
        <v>-199.5</v>
      </c>
      <c r="AG114" s="438">
        <f t="shared" si="29"/>
        <v>492.39108855494453</v>
      </c>
      <c r="AH114" s="438">
        <f t="shared" si="36"/>
        <v>-213.83080789825695</v>
      </c>
      <c r="AI114" s="438">
        <f t="shared" si="35"/>
        <v>213.83080789825695</v>
      </c>
      <c r="AJ114" s="438">
        <f t="shared" si="30"/>
        <v>-112.86308238051707</v>
      </c>
      <c r="AK114" s="438">
        <f t="shared" si="31"/>
        <v>-86.636917619482958</v>
      </c>
      <c r="AL114" s="165">
        <f t="shared" si="18"/>
        <v>-102.77940098154225</v>
      </c>
      <c r="AM114" s="166">
        <f t="shared" si="19"/>
        <v>-115.42423570423972</v>
      </c>
      <c r="AN114" s="167">
        <f t="shared" si="32"/>
        <v>102.77940098154225</v>
      </c>
      <c r="AO114" s="167">
        <f t="shared" si="32"/>
        <v>115.42423570423972</v>
      </c>
      <c r="AT114" s="184"/>
      <c r="AU114" s="376"/>
      <c r="AV114" s="17"/>
      <c r="AW114" s="187"/>
      <c r="AX114" s="188"/>
      <c r="AY114" s="188"/>
      <c r="AZ114" s="188"/>
      <c r="BA114" s="190"/>
      <c r="BB114" s="120"/>
      <c r="BC114" s="120"/>
      <c r="BD114" s="120"/>
    </row>
    <row r="115" spans="1:56" ht="21" hidden="1" thickBot="1" x14ac:dyDescent="0.45">
      <c r="B115" s="169">
        <v>10</v>
      </c>
      <c r="C115" s="170"/>
      <c r="D115" s="8">
        <v>0</v>
      </c>
      <c r="E115" s="360"/>
      <c r="F115" s="363"/>
      <c r="G115" s="173">
        <f t="shared" si="20"/>
        <v>0</v>
      </c>
      <c r="H115" s="159">
        <v>312.57960000000003</v>
      </c>
      <c r="I115" s="160">
        <v>111.9081254</v>
      </c>
      <c r="J115" s="57">
        <f t="shared" si="21"/>
        <v>111.9081254</v>
      </c>
      <c r="K115" s="57">
        <f t="shared" si="9"/>
        <v>55.954062700000001</v>
      </c>
      <c r="L115" s="57">
        <f t="shared" si="10"/>
        <v>0.82858896924449466</v>
      </c>
      <c r="M115" s="57">
        <f t="shared" si="11"/>
        <v>259.00000857085644</v>
      </c>
      <c r="N115" s="57">
        <f t="shared" si="12"/>
        <v>518.00001714171287</v>
      </c>
      <c r="O115" s="57">
        <f>+C106+D107+D108+D109+D110+D111+D112+D113+D114+(D115/2)</f>
        <v>0</v>
      </c>
      <c r="P115" s="57">
        <f t="shared" si="13"/>
        <v>0</v>
      </c>
      <c r="Q115" s="57">
        <f t="shared" si="14"/>
        <v>0</v>
      </c>
      <c r="R115" s="57">
        <f t="shared" si="22"/>
        <v>175</v>
      </c>
      <c r="S115" s="57">
        <f t="shared" si="33"/>
        <v>175</v>
      </c>
      <c r="T115" s="175">
        <f t="shared" si="15"/>
        <v>175</v>
      </c>
      <c r="U115" s="105"/>
      <c r="V115" s="176">
        <f t="shared" si="16"/>
        <v>0</v>
      </c>
      <c r="W115" s="158"/>
      <c r="X115" s="176">
        <f t="shared" si="23"/>
        <v>0</v>
      </c>
      <c r="Y115" s="177">
        <f>SUM(D107:D115)+$C$106</f>
        <v>0</v>
      </c>
      <c r="Z115" s="438">
        <f t="shared" si="24"/>
        <v>66.255548399999995</v>
      </c>
      <c r="AA115" s="444">
        <f t="shared" si="17"/>
        <v>0.91535047595051022</v>
      </c>
      <c r="AB115" s="438">
        <f t="shared" si="25"/>
        <v>278.56028065668761</v>
      </c>
      <c r="AC115" s="438">
        <f t="shared" si="26"/>
        <v>50.018549700000001</v>
      </c>
      <c r="AD115" s="444">
        <f t="shared" si="27"/>
        <v>0.76625250760411079</v>
      </c>
      <c r="AE115" s="438">
        <f t="shared" si="28"/>
        <v>213.83080789825695</v>
      </c>
      <c r="AF115" s="354">
        <f t="shared" si="34"/>
        <v>-228</v>
      </c>
      <c r="AG115" s="438">
        <f t="shared" si="29"/>
        <v>492.39108855494453</v>
      </c>
      <c r="AH115" s="438">
        <f t="shared" si="36"/>
        <v>-213.83080789825695</v>
      </c>
      <c r="AI115" s="438">
        <f t="shared" si="35"/>
        <v>213.83080789825695</v>
      </c>
      <c r="AJ115" s="438">
        <f t="shared" si="30"/>
        <v>-128.98637986344809</v>
      </c>
      <c r="AK115" s="438">
        <f t="shared" si="31"/>
        <v>-99.01362013655195</v>
      </c>
      <c r="AL115" s="165">
        <f t="shared" si="18"/>
        <v>-89.931975858849455</v>
      </c>
      <c r="AM115" s="166">
        <f t="shared" si="19"/>
        <v>-100.99620624120976</v>
      </c>
      <c r="AN115" s="167">
        <f t="shared" si="32"/>
        <v>89.931975858849455</v>
      </c>
      <c r="AO115" s="167">
        <f t="shared" si="32"/>
        <v>100.99620624120976</v>
      </c>
      <c r="AT115" s="184"/>
      <c r="AU115" s="376"/>
      <c r="AV115" s="17"/>
      <c r="AW115" s="187"/>
      <c r="AX115" s="188"/>
      <c r="AY115" s="188"/>
      <c r="AZ115" s="188"/>
      <c r="BA115" s="190"/>
      <c r="BB115" s="120"/>
      <c r="BC115" s="120"/>
      <c r="BD115" s="120"/>
    </row>
    <row r="116" spans="1:56" ht="21" hidden="1" thickBot="1" x14ac:dyDescent="0.45">
      <c r="A116" s="182"/>
      <c r="B116" s="169">
        <v>11</v>
      </c>
      <c r="C116" s="170"/>
      <c r="D116" s="8">
        <v>0</v>
      </c>
      <c r="E116" s="360"/>
      <c r="F116" s="363"/>
      <c r="G116" s="173">
        <f t="shared" si="20"/>
        <v>0</v>
      </c>
      <c r="H116" s="159">
        <v>312.57960000000003</v>
      </c>
      <c r="I116" s="160">
        <v>111.9081254</v>
      </c>
      <c r="J116" s="57">
        <f t="shared" si="21"/>
        <v>111.9081254</v>
      </c>
      <c r="K116" s="57">
        <f t="shared" si="9"/>
        <v>55.954062700000001</v>
      </c>
      <c r="L116" s="57">
        <f t="shared" si="10"/>
        <v>0.82858896924449466</v>
      </c>
      <c r="M116" s="57">
        <f t="shared" si="11"/>
        <v>259.00000857085644</v>
      </c>
      <c r="N116" s="57">
        <f t="shared" si="12"/>
        <v>518.00001714171287</v>
      </c>
      <c r="O116" s="57">
        <f>+C106+D107+D108+D109+D110+D111+D112+D113+D114+D115+(D116/2)</f>
        <v>0</v>
      </c>
      <c r="P116" s="57">
        <f t="shared" si="13"/>
        <v>0</v>
      </c>
      <c r="Q116" s="57">
        <f t="shared" si="14"/>
        <v>0</v>
      </c>
      <c r="R116" s="57">
        <f t="shared" si="22"/>
        <v>175</v>
      </c>
      <c r="S116" s="57">
        <f t="shared" si="33"/>
        <v>175</v>
      </c>
      <c r="T116" s="175">
        <f t="shared" si="15"/>
        <v>175</v>
      </c>
      <c r="U116" s="105"/>
      <c r="V116" s="176">
        <f t="shared" si="16"/>
        <v>0</v>
      </c>
      <c r="W116" s="158"/>
      <c r="X116" s="176">
        <f t="shared" si="23"/>
        <v>0</v>
      </c>
      <c r="Y116" s="177">
        <f>SUM(D107:D116)+$C$106</f>
        <v>0</v>
      </c>
      <c r="Z116" s="438">
        <f t="shared" si="24"/>
        <v>66.255548399999995</v>
      </c>
      <c r="AA116" s="444">
        <f t="shared" si="17"/>
        <v>0.91535047595051022</v>
      </c>
      <c r="AB116" s="438">
        <f t="shared" si="25"/>
        <v>278.56028065668761</v>
      </c>
      <c r="AC116" s="438">
        <f t="shared" si="26"/>
        <v>50.018549700000001</v>
      </c>
      <c r="AD116" s="444">
        <f t="shared" si="27"/>
        <v>0.76625250760411079</v>
      </c>
      <c r="AE116" s="438">
        <f t="shared" si="28"/>
        <v>213.83080789825695</v>
      </c>
      <c r="AF116" s="354">
        <f t="shared" si="34"/>
        <v>-256.5</v>
      </c>
      <c r="AG116" s="438">
        <f t="shared" si="29"/>
        <v>492.39108855494453</v>
      </c>
      <c r="AH116" s="438">
        <f t="shared" si="36"/>
        <v>-213.83080789825695</v>
      </c>
      <c r="AI116" s="438">
        <f t="shared" si="35"/>
        <v>213.83080789825695</v>
      </c>
      <c r="AJ116" s="438">
        <f t="shared" si="30"/>
        <v>-145.1096773463791</v>
      </c>
      <c r="AK116" s="438">
        <f t="shared" si="31"/>
        <v>-111.39032265362094</v>
      </c>
      <c r="AL116" s="165">
        <f t="shared" si="18"/>
        <v>-79.939534096755082</v>
      </c>
      <c r="AM116" s="166">
        <f t="shared" si="19"/>
        <v>-89.774405547742006</v>
      </c>
      <c r="AN116" s="167">
        <f t="shared" si="32"/>
        <v>79.939534096755082</v>
      </c>
      <c r="AO116" s="167">
        <f t="shared" si="32"/>
        <v>89.774405547742006</v>
      </c>
      <c r="AT116" s="184"/>
      <c r="AU116" s="376"/>
      <c r="AV116" s="17"/>
      <c r="AW116" s="187"/>
      <c r="AX116" s="188"/>
      <c r="AY116" s="188"/>
      <c r="AZ116" s="188"/>
      <c r="BA116" s="190"/>
      <c r="BB116" s="120"/>
      <c r="BC116" s="120"/>
      <c r="BD116" s="120"/>
    </row>
    <row r="117" spans="1:56" ht="21" hidden="1" thickBot="1" x14ac:dyDescent="0.45">
      <c r="A117" s="182"/>
      <c r="B117" s="169">
        <v>12</v>
      </c>
      <c r="C117" s="170"/>
      <c r="D117" s="8">
        <v>0</v>
      </c>
      <c r="E117" s="360"/>
      <c r="F117" s="363"/>
      <c r="G117" s="173">
        <f t="shared" si="20"/>
        <v>0</v>
      </c>
      <c r="H117" s="159">
        <v>312.57960000000003</v>
      </c>
      <c r="I117" s="160">
        <v>111.9081254</v>
      </c>
      <c r="J117" s="57">
        <f t="shared" si="21"/>
        <v>111.9081254</v>
      </c>
      <c r="K117" s="57">
        <f t="shared" si="9"/>
        <v>55.954062700000001</v>
      </c>
      <c r="L117" s="57">
        <f t="shared" si="10"/>
        <v>0.82858896924449466</v>
      </c>
      <c r="M117" s="57">
        <f t="shared" si="11"/>
        <v>259.00000857085644</v>
      </c>
      <c r="N117" s="57">
        <f t="shared" si="12"/>
        <v>518.00001714171287</v>
      </c>
      <c r="O117" s="57">
        <f>+C106+D107+D108+D109+D110+D111+D112+D113+D114+D115+D116+(D117/2)</f>
        <v>0</v>
      </c>
      <c r="P117" s="57">
        <f t="shared" si="13"/>
        <v>0</v>
      </c>
      <c r="Q117" s="57">
        <f t="shared" si="14"/>
        <v>0</v>
      </c>
      <c r="R117" s="57">
        <f t="shared" si="22"/>
        <v>175</v>
      </c>
      <c r="S117" s="57">
        <f t="shared" si="33"/>
        <v>175</v>
      </c>
      <c r="T117" s="175">
        <f t="shared" si="15"/>
        <v>175</v>
      </c>
      <c r="U117" s="105"/>
      <c r="V117" s="176">
        <f t="shared" si="16"/>
        <v>0</v>
      </c>
      <c r="W117" s="158"/>
      <c r="X117" s="176">
        <f t="shared" si="23"/>
        <v>0</v>
      </c>
      <c r="Y117" s="177">
        <f>SUM(D107:D117)+$C$106</f>
        <v>0</v>
      </c>
      <c r="Z117" s="438">
        <f t="shared" si="24"/>
        <v>66.255548399999995</v>
      </c>
      <c r="AA117" s="444">
        <f t="shared" si="17"/>
        <v>0.91535047595051022</v>
      </c>
      <c r="AB117" s="438">
        <f t="shared" si="25"/>
        <v>278.56028065668761</v>
      </c>
      <c r="AC117" s="438">
        <f t="shared" si="26"/>
        <v>50.018549700000001</v>
      </c>
      <c r="AD117" s="444">
        <f t="shared" si="27"/>
        <v>0.76625250760411079</v>
      </c>
      <c r="AE117" s="438">
        <f t="shared" si="28"/>
        <v>213.83080789825695</v>
      </c>
      <c r="AF117" s="354">
        <f t="shared" si="34"/>
        <v>-285</v>
      </c>
      <c r="AG117" s="438">
        <f t="shared" si="29"/>
        <v>492.39108855494453</v>
      </c>
      <c r="AH117" s="438">
        <f t="shared" si="36"/>
        <v>-213.83080789825695</v>
      </c>
      <c r="AI117" s="438">
        <f t="shared" si="35"/>
        <v>213.83080789825695</v>
      </c>
      <c r="AJ117" s="438">
        <f t="shared" si="30"/>
        <v>-161.23297482931011</v>
      </c>
      <c r="AK117" s="438">
        <f t="shared" si="31"/>
        <v>-123.76702517068993</v>
      </c>
      <c r="AL117" s="165">
        <f t="shared" si="18"/>
        <v>-71.94558068707957</v>
      </c>
      <c r="AM117" s="166">
        <f t="shared" si="19"/>
        <v>-80.796964992967801</v>
      </c>
      <c r="AN117" s="167">
        <f t="shared" si="32"/>
        <v>71.94558068707957</v>
      </c>
      <c r="AO117" s="167">
        <f t="shared" si="32"/>
        <v>80.796964992967801</v>
      </c>
      <c r="AT117" s="184"/>
      <c r="AU117" s="376"/>
      <c r="AV117" s="17"/>
      <c r="AW117" s="187"/>
      <c r="AX117" s="188"/>
      <c r="AY117" s="188"/>
      <c r="AZ117" s="188"/>
      <c r="BA117" s="190"/>
      <c r="BB117" s="120"/>
      <c r="BC117" s="120"/>
      <c r="BD117" s="120"/>
    </row>
    <row r="118" spans="1:56" ht="21" hidden="1" thickBot="1" x14ac:dyDescent="0.45">
      <c r="B118" s="169">
        <v>13</v>
      </c>
      <c r="C118" s="170"/>
      <c r="D118" s="8">
        <v>0</v>
      </c>
      <c r="E118" s="360"/>
      <c r="F118" s="363"/>
      <c r="G118" s="173">
        <f t="shared" si="20"/>
        <v>0</v>
      </c>
      <c r="H118" s="159">
        <v>312.57960000000003</v>
      </c>
      <c r="I118" s="160">
        <v>111.9081254</v>
      </c>
      <c r="J118" s="57">
        <f t="shared" si="21"/>
        <v>111.9081254</v>
      </c>
      <c r="K118" s="57">
        <f t="shared" si="9"/>
        <v>55.954062700000001</v>
      </c>
      <c r="L118" s="57">
        <f t="shared" si="10"/>
        <v>0.82858896924449466</v>
      </c>
      <c r="M118" s="57">
        <f t="shared" si="11"/>
        <v>259.00000857085644</v>
      </c>
      <c r="N118" s="57">
        <f t="shared" si="12"/>
        <v>518.00001714171287</v>
      </c>
      <c r="O118" s="57">
        <f>+C106+D107+D108+D109+D110+D111+D112+D113+D114+D115+D116+D117+(D118/2)</f>
        <v>0</v>
      </c>
      <c r="P118" s="57">
        <f t="shared" si="13"/>
        <v>0</v>
      </c>
      <c r="Q118" s="57">
        <f t="shared" si="14"/>
        <v>0</v>
      </c>
      <c r="R118" s="57">
        <f t="shared" si="22"/>
        <v>175</v>
      </c>
      <c r="S118" s="57">
        <f t="shared" si="33"/>
        <v>175</v>
      </c>
      <c r="T118" s="175">
        <f t="shared" si="15"/>
        <v>175</v>
      </c>
      <c r="U118" s="105"/>
      <c r="V118" s="176">
        <f t="shared" si="16"/>
        <v>0</v>
      </c>
      <c r="W118" s="158"/>
      <c r="X118" s="176">
        <f t="shared" si="23"/>
        <v>0</v>
      </c>
      <c r="Y118" s="177">
        <f>SUM(D107:D118)+$C$106</f>
        <v>0</v>
      </c>
      <c r="Z118" s="438">
        <f t="shared" si="24"/>
        <v>66.255548399999995</v>
      </c>
      <c r="AA118" s="444">
        <f t="shared" si="17"/>
        <v>0.91535047595051022</v>
      </c>
      <c r="AB118" s="438">
        <f t="shared" si="25"/>
        <v>278.56028065668761</v>
      </c>
      <c r="AC118" s="438">
        <f t="shared" si="26"/>
        <v>50.018549700000001</v>
      </c>
      <c r="AD118" s="444">
        <f t="shared" si="27"/>
        <v>0.76625250760411079</v>
      </c>
      <c r="AE118" s="438">
        <f t="shared" si="28"/>
        <v>213.83080789825695</v>
      </c>
      <c r="AF118" s="354">
        <f t="shared" si="34"/>
        <v>-313.5</v>
      </c>
      <c r="AG118" s="438">
        <f t="shared" si="29"/>
        <v>492.39108855494453</v>
      </c>
      <c r="AH118" s="438">
        <f t="shared" si="36"/>
        <v>-213.83080789825695</v>
      </c>
      <c r="AI118" s="438">
        <f t="shared" si="35"/>
        <v>213.83080789825695</v>
      </c>
      <c r="AJ118" s="438">
        <f t="shared" si="30"/>
        <v>-177.35627231224112</v>
      </c>
      <c r="AK118" s="438">
        <f t="shared" si="31"/>
        <v>-136.14372768775891</v>
      </c>
      <c r="AL118" s="165">
        <f t="shared" si="18"/>
        <v>-65.405073351890522</v>
      </c>
      <c r="AM118" s="166">
        <f t="shared" si="19"/>
        <v>-73.451786357243463</v>
      </c>
      <c r="AN118" s="167">
        <f t="shared" si="32"/>
        <v>65.405073351890522</v>
      </c>
      <c r="AO118" s="167">
        <f t="shared" si="32"/>
        <v>73.451786357243463</v>
      </c>
      <c r="AT118" s="184"/>
      <c r="AU118" s="376"/>
      <c r="AV118" s="17"/>
      <c r="AW118" s="187"/>
      <c r="AX118" s="188"/>
      <c r="AY118" s="188"/>
      <c r="AZ118" s="188"/>
      <c r="BA118" s="190"/>
      <c r="BB118" s="120"/>
      <c r="BC118" s="120"/>
      <c r="BD118" s="120"/>
    </row>
    <row r="119" spans="1:56" ht="21" hidden="1" thickBot="1" x14ac:dyDescent="0.45">
      <c r="B119" s="169">
        <v>14</v>
      </c>
      <c r="C119" s="170"/>
      <c r="D119" s="8">
        <v>0</v>
      </c>
      <c r="E119" s="360"/>
      <c r="F119" s="363"/>
      <c r="G119" s="173">
        <f t="shared" si="20"/>
        <v>0</v>
      </c>
      <c r="H119" s="159">
        <v>312.57960000000003</v>
      </c>
      <c r="I119" s="160">
        <v>111.9081254</v>
      </c>
      <c r="J119" s="57">
        <f t="shared" si="21"/>
        <v>111.9081254</v>
      </c>
      <c r="K119" s="57">
        <f t="shared" si="9"/>
        <v>55.954062700000001</v>
      </c>
      <c r="L119" s="57">
        <f t="shared" si="10"/>
        <v>0.82858896924449466</v>
      </c>
      <c r="M119" s="57">
        <f t="shared" si="11"/>
        <v>259.00000857085644</v>
      </c>
      <c r="N119" s="57">
        <f t="shared" si="12"/>
        <v>518.00001714171287</v>
      </c>
      <c r="O119" s="57">
        <f>+C106+D107+D108+D109+D110+D111+D112+D113+D114+D115+D116+D117+D118+(D119/2)</f>
        <v>0</v>
      </c>
      <c r="P119" s="57">
        <f t="shared" si="13"/>
        <v>0</v>
      </c>
      <c r="Q119" s="57">
        <f t="shared" si="14"/>
        <v>0</v>
      </c>
      <c r="R119" s="57">
        <f t="shared" si="22"/>
        <v>175</v>
      </c>
      <c r="S119" s="57">
        <f t="shared" si="33"/>
        <v>175</v>
      </c>
      <c r="T119" s="175">
        <f t="shared" si="15"/>
        <v>175</v>
      </c>
      <c r="U119" s="105"/>
      <c r="V119" s="176">
        <f t="shared" si="16"/>
        <v>0</v>
      </c>
      <c r="W119" s="158"/>
      <c r="X119" s="176">
        <f t="shared" si="23"/>
        <v>0</v>
      </c>
      <c r="Y119" s="177">
        <f>SUM(D107:D119)+$C$106</f>
        <v>0</v>
      </c>
      <c r="Z119" s="438">
        <f t="shared" si="24"/>
        <v>66.255548399999995</v>
      </c>
      <c r="AA119" s="444">
        <f t="shared" si="17"/>
        <v>0.91535047595051022</v>
      </c>
      <c r="AB119" s="438">
        <f t="shared" si="25"/>
        <v>278.56028065668761</v>
      </c>
      <c r="AC119" s="438">
        <f t="shared" si="26"/>
        <v>50.018549700000001</v>
      </c>
      <c r="AD119" s="444">
        <f t="shared" si="27"/>
        <v>0.76625250760411079</v>
      </c>
      <c r="AE119" s="438">
        <f t="shared" si="28"/>
        <v>213.83080789825695</v>
      </c>
      <c r="AF119" s="354">
        <f t="shared" si="34"/>
        <v>-342</v>
      </c>
      <c r="AG119" s="438">
        <f t="shared" si="29"/>
        <v>492.39108855494453</v>
      </c>
      <c r="AH119" s="438">
        <f t="shared" si="36"/>
        <v>-213.83080789825695</v>
      </c>
      <c r="AI119" s="438">
        <f t="shared" si="35"/>
        <v>213.83080789825695</v>
      </c>
      <c r="AJ119" s="438">
        <f t="shared" si="30"/>
        <v>-193.47956979517213</v>
      </c>
      <c r="AK119" s="438">
        <f t="shared" si="31"/>
        <v>-148.5204302048279</v>
      </c>
      <c r="AL119" s="165">
        <f t="shared" si="18"/>
        <v>-59.954650572566308</v>
      </c>
      <c r="AM119" s="166">
        <f t="shared" si="19"/>
        <v>-67.330804160806508</v>
      </c>
      <c r="AN119" s="167">
        <f t="shared" si="32"/>
        <v>59.954650572566308</v>
      </c>
      <c r="AO119" s="167">
        <f t="shared" si="32"/>
        <v>67.330804160806508</v>
      </c>
      <c r="AT119" s="184"/>
      <c r="AU119" s="376"/>
      <c r="AV119" s="17"/>
      <c r="AW119" s="187"/>
      <c r="AX119" s="188"/>
      <c r="AY119" s="188"/>
      <c r="AZ119" s="188"/>
      <c r="BA119" s="190"/>
      <c r="BB119" s="120"/>
      <c r="BC119" s="120"/>
      <c r="BD119" s="120"/>
    </row>
    <row r="120" spans="1:56" ht="21" hidden="1" thickBot="1" x14ac:dyDescent="0.45">
      <c r="B120" s="169">
        <v>15</v>
      </c>
      <c r="C120" s="170"/>
      <c r="D120" s="8">
        <v>0</v>
      </c>
      <c r="E120" s="360"/>
      <c r="F120" s="363"/>
      <c r="G120" s="173">
        <f t="shared" si="20"/>
        <v>0</v>
      </c>
      <c r="H120" s="159">
        <v>312.57960000000003</v>
      </c>
      <c r="I120" s="160">
        <v>111.9081254</v>
      </c>
      <c r="J120" s="57">
        <f t="shared" si="21"/>
        <v>111.9081254</v>
      </c>
      <c r="K120" s="57">
        <f t="shared" si="9"/>
        <v>55.954062700000001</v>
      </c>
      <c r="L120" s="57">
        <f t="shared" si="10"/>
        <v>0.82858896924449466</v>
      </c>
      <c r="M120" s="57">
        <f t="shared" si="11"/>
        <v>259.00000857085644</v>
      </c>
      <c r="N120" s="57">
        <f t="shared" si="12"/>
        <v>518.00001714171287</v>
      </c>
      <c r="O120" s="57">
        <f>+C106+D107+D108+D109+D110+D111+D112+D113+D114+D115+D116+D117+D118+D119+(D120/2)</f>
        <v>0</v>
      </c>
      <c r="P120" s="57">
        <f t="shared" si="13"/>
        <v>0</v>
      </c>
      <c r="Q120" s="57">
        <f t="shared" si="14"/>
        <v>0</v>
      </c>
      <c r="R120" s="57">
        <f t="shared" si="22"/>
        <v>175</v>
      </c>
      <c r="S120" s="57">
        <f t="shared" si="33"/>
        <v>175</v>
      </c>
      <c r="T120" s="175">
        <f t="shared" si="15"/>
        <v>175</v>
      </c>
      <c r="U120" s="105"/>
      <c r="V120" s="176">
        <f t="shared" si="16"/>
        <v>0</v>
      </c>
      <c r="W120" s="158"/>
      <c r="X120" s="176">
        <f t="shared" si="23"/>
        <v>0</v>
      </c>
      <c r="Y120" s="177">
        <f>SUM(D107:D120)+$C$106</f>
        <v>0</v>
      </c>
      <c r="Z120" s="438">
        <f t="shared" si="24"/>
        <v>66.255548399999995</v>
      </c>
      <c r="AA120" s="444">
        <f t="shared" si="17"/>
        <v>0.91535047595051022</v>
      </c>
      <c r="AB120" s="438">
        <f t="shared" si="25"/>
        <v>278.56028065668761</v>
      </c>
      <c r="AC120" s="438">
        <f t="shared" si="26"/>
        <v>50.018549700000001</v>
      </c>
      <c r="AD120" s="444">
        <f t="shared" si="27"/>
        <v>0.76625250760411079</v>
      </c>
      <c r="AE120" s="438">
        <f t="shared" si="28"/>
        <v>213.83080789825695</v>
      </c>
      <c r="AF120" s="354">
        <f t="shared" si="34"/>
        <v>-370.5</v>
      </c>
      <c r="AG120" s="438">
        <f t="shared" si="29"/>
        <v>492.39108855494453</v>
      </c>
      <c r="AH120" s="438">
        <f t="shared" si="36"/>
        <v>-213.83080789825695</v>
      </c>
      <c r="AI120" s="438">
        <f t="shared" si="35"/>
        <v>213.83080789825695</v>
      </c>
      <c r="AJ120" s="438">
        <f t="shared" si="30"/>
        <v>-209.60286727810313</v>
      </c>
      <c r="AK120" s="438">
        <f t="shared" si="31"/>
        <v>-160.89713272189692</v>
      </c>
      <c r="AL120" s="165">
        <f t="shared" si="18"/>
        <v>-55.342754374676595</v>
      </c>
      <c r="AM120" s="166">
        <f t="shared" si="19"/>
        <v>-62.151511533052158</v>
      </c>
      <c r="AN120" s="167">
        <f t="shared" si="32"/>
        <v>55.342754374676595</v>
      </c>
      <c r="AO120" s="167">
        <f t="shared" si="32"/>
        <v>62.151511533052158</v>
      </c>
      <c r="AT120" s="184"/>
      <c r="AU120" s="376"/>
      <c r="AV120" s="17"/>
      <c r="AW120" s="187"/>
      <c r="AX120" s="188"/>
      <c r="AY120" s="188"/>
      <c r="AZ120" s="188"/>
      <c r="BA120" s="190"/>
      <c r="BB120" s="120"/>
      <c r="BC120" s="120"/>
      <c r="BD120" s="120"/>
    </row>
    <row r="121" spans="1:56" ht="21" hidden="1" thickBot="1" x14ac:dyDescent="0.45">
      <c r="B121" s="169">
        <v>16</v>
      </c>
      <c r="C121" s="170"/>
      <c r="D121" s="8">
        <v>0</v>
      </c>
      <c r="E121" s="360"/>
      <c r="F121" s="363"/>
      <c r="G121" s="173">
        <f t="shared" si="20"/>
        <v>0</v>
      </c>
      <c r="H121" s="159">
        <v>312.57960000000003</v>
      </c>
      <c r="I121" s="160">
        <v>111.9081254</v>
      </c>
      <c r="J121" s="57">
        <f t="shared" si="21"/>
        <v>111.9081254</v>
      </c>
      <c r="K121" s="57">
        <f t="shared" si="9"/>
        <v>55.954062700000001</v>
      </c>
      <c r="L121" s="57">
        <f t="shared" si="10"/>
        <v>0.82858896924449466</v>
      </c>
      <c r="M121" s="57">
        <f t="shared" si="11"/>
        <v>259.00000857085644</v>
      </c>
      <c r="N121" s="57">
        <f t="shared" si="12"/>
        <v>518.00001714171287</v>
      </c>
      <c r="O121" s="57">
        <f>+C106+D107+D108+D109+D110+D111+D112+D113+D114+D115+D116+D117+D118+D119+D120+(D121/2)</f>
        <v>0</v>
      </c>
      <c r="P121" s="57">
        <f t="shared" si="13"/>
        <v>0</v>
      </c>
      <c r="Q121" s="57">
        <f t="shared" si="14"/>
        <v>0</v>
      </c>
      <c r="R121" s="57">
        <f t="shared" si="22"/>
        <v>175</v>
      </c>
      <c r="S121" s="57">
        <f t="shared" si="33"/>
        <v>175</v>
      </c>
      <c r="T121" s="175">
        <f t="shared" si="15"/>
        <v>175</v>
      </c>
      <c r="U121" s="105"/>
      <c r="V121" s="176">
        <f t="shared" si="16"/>
        <v>0</v>
      </c>
      <c r="W121" s="158"/>
      <c r="X121" s="176">
        <f t="shared" si="23"/>
        <v>0</v>
      </c>
      <c r="Y121" s="177">
        <f>SUM(D107:D121)+$C$106</f>
        <v>0</v>
      </c>
      <c r="Z121" s="438">
        <f t="shared" si="24"/>
        <v>66.255548399999995</v>
      </c>
      <c r="AA121" s="444">
        <f t="shared" si="17"/>
        <v>0.91535047595051022</v>
      </c>
      <c r="AB121" s="438">
        <f t="shared" si="25"/>
        <v>278.56028065668761</v>
      </c>
      <c r="AC121" s="438">
        <f t="shared" si="26"/>
        <v>50.018549700000001</v>
      </c>
      <c r="AD121" s="444">
        <f t="shared" si="27"/>
        <v>0.76625250760411079</v>
      </c>
      <c r="AE121" s="438">
        <f t="shared" si="28"/>
        <v>213.83080789825695</v>
      </c>
      <c r="AF121" s="354">
        <f t="shared" si="34"/>
        <v>-399</v>
      </c>
      <c r="AG121" s="438">
        <f t="shared" si="29"/>
        <v>492.39108855494453</v>
      </c>
      <c r="AH121" s="438">
        <f t="shared" si="36"/>
        <v>-213.83080789825695</v>
      </c>
      <c r="AI121" s="438">
        <f t="shared" si="35"/>
        <v>213.83080789825695</v>
      </c>
      <c r="AJ121" s="438">
        <f t="shared" si="30"/>
        <v>-225.72616476103414</v>
      </c>
      <c r="AK121" s="438">
        <f t="shared" si="31"/>
        <v>-173.27383523896592</v>
      </c>
      <c r="AL121" s="165">
        <f t="shared" si="18"/>
        <v>-51.389700490771126</v>
      </c>
      <c r="AM121" s="166">
        <f t="shared" si="19"/>
        <v>-57.71211785211986</v>
      </c>
      <c r="AN121" s="167">
        <f t="shared" si="32"/>
        <v>51.389700490771126</v>
      </c>
      <c r="AO121" s="167">
        <f t="shared" si="32"/>
        <v>57.71211785211986</v>
      </c>
      <c r="AT121" s="184"/>
      <c r="AU121" s="376"/>
      <c r="AV121" s="17"/>
      <c r="AW121" s="187"/>
      <c r="AX121" s="188"/>
      <c r="AY121" s="188"/>
      <c r="AZ121" s="188"/>
      <c r="BA121" s="190"/>
      <c r="BB121" s="120"/>
      <c r="BC121" s="120"/>
      <c r="BD121" s="120"/>
    </row>
    <row r="122" spans="1:56" ht="21" hidden="1" thickBot="1" x14ac:dyDescent="0.45">
      <c r="B122" s="169">
        <v>17</v>
      </c>
      <c r="C122" s="170"/>
      <c r="D122" s="8">
        <v>0</v>
      </c>
      <c r="E122" s="360"/>
      <c r="F122" s="363"/>
      <c r="G122" s="173">
        <f t="shared" si="20"/>
        <v>0</v>
      </c>
      <c r="H122" s="159">
        <v>312.57960000000003</v>
      </c>
      <c r="I122" s="160">
        <v>111.9081254</v>
      </c>
      <c r="J122" s="57">
        <f t="shared" si="21"/>
        <v>111.9081254</v>
      </c>
      <c r="K122" s="57">
        <f t="shared" si="9"/>
        <v>55.954062700000001</v>
      </c>
      <c r="L122" s="57">
        <f t="shared" si="10"/>
        <v>0.82858896924449466</v>
      </c>
      <c r="M122" s="57">
        <f t="shared" si="11"/>
        <v>259.00000857085644</v>
      </c>
      <c r="N122" s="57">
        <f t="shared" si="12"/>
        <v>518.00001714171287</v>
      </c>
      <c r="O122" s="57">
        <f>+C106+D107+D108+D109+D110+D111+D112+D113+D114+D115+D116+D117+D118+D119+D120+D121+(D122/2)</f>
        <v>0</v>
      </c>
      <c r="P122" s="57">
        <f t="shared" si="13"/>
        <v>0</v>
      </c>
      <c r="Q122" s="57">
        <f t="shared" si="14"/>
        <v>0</v>
      </c>
      <c r="R122" s="57">
        <f t="shared" si="22"/>
        <v>175</v>
      </c>
      <c r="S122" s="57">
        <f t="shared" si="33"/>
        <v>175</v>
      </c>
      <c r="T122" s="175">
        <f t="shared" si="15"/>
        <v>175</v>
      </c>
      <c r="U122" s="105"/>
      <c r="V122" s="176">
        <f t="shared" si="16"/>
        <v>0</v>
      </c>
      <c r="W122" s="158"/>
      <c r="X122" s="176">
        <f t="shared" si="23"/>
        <v>0</v>
      </c>
      <c r="Y122" s="177">
        <f>SUM(D107:D122)+$C$106</f>
        <v>0</v>
      </c>
      <c r="Z122" s="438">
        <f t="shared" si="24"/>
        <v>66.255548399999995</v>
      </c>
      <c r="AA122" s="444">
        <f t="shared" si="17"/>
        <v>0.91535047595051022</v>
      </c>
      <c r="AB122" s="438">
        <f t="shared" si="25"/>
        <v>278.56028065668761</v>
      </c>
      <c r="AC122" s="438">
        <f t="shared" si="26"/>
        <v>50.018549700000001</v>
      </c>
      <c r="AD122" s="444">
        <f t="shared" si="27"/>
        <v>0.76625250760411079</v>
      </c>
      <c r="AE122" s="438">
        <f t="shared" si="28"/>
        <v>213.83080789825695</v>
      </c>
      <c r="AF122" s="354">
        <f t="shared" si="34"/>
        <v>-427.5</v>
      </c>
      <c r="AG122" s="438">
        <f t="shared" si="29"/>
        <v>492.39108855494453</v>
      </c>
      <c r="AH122" s="438">
        <f t="shared" si="36"/>
        <v>-213.83080789825695</v>
      </c>
      <c r="AI122" s="438">
        <f t="shared" si="35"/>
        <v>213.83080789825695</v>
      </c>
      <c r="AJ122" s="438">
        <f t="shared" si="30"/>
        <v>-241.84946224396515</v>
      </c>
      <c r="AK122" s="438">
        <f t="shared" si="31"/>
        <v>-185.65053775603491</v>
      </c>
      <c r="AL122" s="165">
        <f t="shared" si="18"/>
        <v>-47.963720458053054</v>
      </c>
      <c r="AM122" s="166">
        <f t="shared" si="19"/>
        <v>-53.864643328645201</v>
      </c>
      <c r="AN122" s="167">
        <f t="shared" si="32"/>
        <v>47.963720458053054</v>
      </c>
      <c r="AO122" s="167">
        <f t="shared" si="32"/>
        <v>53.864643328645201</v>
      </c>
      <c r="AT122" s="184"/>
      <c r="AU122" s="376"/>
      <c r="AV122" s="17"/>
      <c r="AW122" s="187"/>
      <c r="AX122" s="188"/>
      <c r="AY122" s="188"/>
      <c r="AZ122" s="188"/>
      <c r="BA122" s="190"/>
      <c r="BB122" s="120"/>
      <c r="BC122" s="120"/>
      <c r="BD122" s="120"/>
    </row>
    <row r="123" spans="1:56" ht="21" hidden="1" thickBot="1" x14ac:dyDescent="0.45">
      <c r="B123" s="169">
        <v>18</v>
      </c>
      <c r="C123" s="170"/>
      <c r="D123" s="8">
        <v>0</v>
      </c>
      <c r="E123" s="360"/>
      <c r="F123" s="363"/>
      <c r="G123" s="173">
        <f t="shared" si="20"/>
        <v>0</v>
      </c>
      <c r="H123" s="159">
        <v>312.57960000000003</v>
      </c>
      <c r="I123" s="160">
        <v>111.9081254</v>
      </c>
      <c r="J123" s="57">
        <f t="shared" si="21"/>
        <v>111.9081254</v>
      </c>
      <c r="K123" s="57">
        <f t="shared" si="9"/>
        <v>55.954062700000001</v>
      </c>
      <c r="L123" s="57">
        <f t="shared" si="10"/>
        <v>0.82858896924449466</v>
      </c>
      <c r="M123" s="57">
        <f t="shared" si="11"/>
        <v>259.00000857085644</v>
      </c>
      <c r="N123" s="57">
        <f t="shared" si="12"/>
        <v>518.00001714171287</v>
      </c>
      <c r="O123" s="57">
        <f>+C106+D107+D108+D109+D110+D111+D112+D113+D114+D115+D116+D117+D118+D119+D120+D121+D122+(D123/2)</f>
        <v>0</v>
      </c>
      <c r="P123" s="57">
        <f t="shared" si="13"/>
        <v>0</v>
      </c>
      <c r="Q123" s="57">
        <f t="shared" si="14"/>
        <v>0</v>
      </c>
      <c r="R123" s="57">
        <f t="shared" si="22"/>
        <v>175</v>
      </c>
      <c r="S123" s="57">
        <f t="shared" si="33"/>
        <v>175</v>
      </c>
      <c r="T123" s="175">
        <f t="shared" si="15"/>
        <v>175</v>
      </c>
      <c r="U123" s="105"/>
      <c r="V123" s="176">
        <f t="shared" si="16"/>
        <v>0</v>
      </c>
      <c r="W123" s="158"/>
      <c r="X123" s="176">
        <f t="shared" si="23"/>
        <v>0</v>
      </c>
      <c r="Y123" s="177">
        <f>SUM(D107:D123)+$C$106</f>
        <v>0</v>
      </c>
      <c r="Z123" s="438">
        <f t="shared" si="24"/>
        <v>66.255548399999995</v>
      </c>
      <c r="AA123" s="444">
        <f t="shared" si="17"/>
        <v>0.91535047595051022</v>
      </c>
      <c r="AB123" s="438">
        <f t="shared" si="25"/>
        <v>278.56028065668761</v>
      </c>
      <c r="AC123" s="438">
        <f t="shared" si="26"/>
        <v>50.018549700000001</v>
      </c>
      <c r="AD123" s="444">
        <f t="shared" si="27"/>
        <v>0.76625250760411079</v>
      </c>
      <c r="AE123" s="438">
        <f t="shared" si="28"/>
        <v>213.83080789825695</v>
      </c>
      <c r="AF123" s="354">
        <f t="shared" si="34"/>
        <v>-456</v>
      </c>
      <c r="AG123" s="438">
        <f t="shared" si="29"/>
        <v>492.39108855494453</v>
      </c>
      <c r="AH123" s="438">
        <f t="shared" si="36"/>
        <v>-213.83080789825695</v>
      </c>
      <c r="AI123" s="438">
        <f t="shared" si="35"/>
        <v>213.83080789825695</v>
      </c>
      <c r="AJ123" s="438">
        <f t="shared" si="30"/>
        <v>-257.97275972689619</v>
      </c>
      <c r="AK123" s="438">
        <f t="shared" si="31"/>
        <v>-198.0272402731039</v>
      </c>
      <c r="AL123" s="165">
        <f t="shared" si="18"/>
        <v>-44.965987929424728</v>
      </c>
      <c r="AM123" s="166">
        <f t="shared" si="19"/>
        <v>-50.498103120604881</v>
      </c>
      <c r="AN123" s="167">
        <f t="shared" si="32"/>
        <v>44.965987929424728</v>
      </c>
      <c r="AO123" s="167">
        <f t="shared" si="32"/>
        <v>50.498103120604881</v>
      </c>
      <c r="AT123" s="184"/>
      <c r="AU123" s="376"/>
      <c r="AV123" s="17"/>
      <c r="AW123" s="187"/>
      <c r="AX123" s="188"/>
      <c r="AY123" s="188"/>
      <c r="AZ123" s="188"/>
      <c r="BA123" s="190"/>
      <c r="BB123" s="120"/>
      <c r="BC123" s="120"/>
      <c r="BD123" s="120"/>
    </row>
    <row r="124" spans="1:56" ht="21" hidden="1" thickBot="1" x14ac:dyDescent="0.45">
      <c r="B124" s="169">
        <v>19</v>
      </c>
      <c r="C124" s="170"/>
      <c r="D124" s="8">
        <v>0</v>
      </c>
      <c r="E124" s="360"/>
      <c r="F124" s="363"/>
      <c r="G124" s="173">
        <f t="shared" si="20"/>
        <v>0</v>
      </c>
      <c r="H124" s="159">
        <v>312.57960000000003</v>
      </c>
      <c r="I124" s="160">
        <v>111.9081254</v>
      </c>
      <c r="J124" s="57">
        <f t="shared" si="21"/>
        <v>111.9081254</v>
      </c>
      <c r="K124" s="57">
        <f t="shared" si="9"/>
        <v>55.954062700000001</v>
      </c>
      <c r="L124" s="57">
        <f t="shared" si="10"/>
        <v>0.82858896924449466</v>
      </c>
      <c r="M124" s="57">
        <f t="shared" si="11"/>
        <v>259.00000857085644</v>
      </c>
      <c r="N124" s="57">
        <f t="shared" si="12"/>
        <v>518.00001714171287</v>
      </c>
      <c r="O124" s="57">
        <f>+C106+D107+D108+D109+D110+D111+D112+D113+D114+D115+D116+D117+D118+D119+D120+D121+D122+D123+(D124/2)</f>
        <v>0</v>
      </c>
      <c r="P124" s="57">
        <f t="shared" si="13"/>
        <v>0</v>
      </c>
      <c r="Q124" s="57">
        <f t="shared" si="14"/>
        <v>0</v>
      </c>
      <c r="R124" s="57">
        <f t="shared" si="22"/>
        <v>175</v>
      </c>
      <c r="S124" s="57">
        <f t="shared" si="33"/>
        <v>175</v>
      </c>
      <c r="T124" s="175">
        <f t="shared" si="15"/>
        <v>175</v>
      </c>
      <c r="U124" s="105"/>
      <c r="V124" s="176">
        <f t="shared" si="16"/>
        <v>0</v>
      </c>
      <c r="W124" s="158"/>
      <c r="X124" s="176">
        <f t="shared" si="23"/>
        <v>0</v>
      </c>
      <c r="Y124" s="177">
        <f>SUM(D107:D124)+$C$106</f>
        <v>0</v>
      </c>
      <c r="Z124" s="438">
        <f t="shared" si="24"/>
        <v>66.255548399999995</v>
      </c>
      <c r="AA124" s="444">
        <f t="shared" si="17"/>
        <v>0.91535047595051022</v>
      </c>
      <c r="AB124" s="438">
        <f t="shared" si="25"/>
        <v>278.56028065668761</v>
      </c>
      <c r="AC124" s="438">
        <f t="shared" si="26"/>
        <v>50.018549700000001</v>
      </c>
      <c r="AD124" s="444">
        <f t="shared" si="27"/>
        <v>0.76625250760411079</v>
      </c>
      <c r="AE124" s="438">
        <f t="shared" si="28"/>
        <v>213.83080789825695</v>
      </c>
      <c r="AF124" s="354">
        <f t="shared" si="34"/>
        <v>-484.5</v>
      </c>
      <c r="AG124" s="438">
        <f t="shared" si="29"/>
        <v>492.39108855494453</v>
      </c>
      <c r="AH124" s="438">
        <f t="shared" si="36"/>
        <v>-213.83080789825695</v>
      </c>
      <c r="AI124" s="438">
        <f t="shared" si="35"/>
        <v>213.83080789825695</v>
      </c>
      <c r="AJ124" s="438">
        <f t="shared" si="30"/>
        <v>-274.09605720982717</v>
      </c>
      <c r="AK124" s="438">
        <f t="shared" si="31"/>
        <v>-210.40394279017289</v>
      </c>
      <c r="AL124" s="165">
        <f t="shared" si="18"/>
        <v>-42.320929815929162</v>
      </c>
      <c r="AM124" s="166">
        <f t="shared" si="19"/>
        <v>-47.52762646645165</v>
      </c>
      <c r="AN124" s="167">
        <f t="shared" si="32"/>
        <v>42.320929815929162</v>
      </c>
      <c r="AO124" s="167">
        <f t="shared" si="32"/>
        <v>47.52762646645165</v>
      </c>
      <c r="AT124" s="184"/>
      <c r="AU124" s="376"/>
      <c r="AV124" s="17"/>
      <c r="AW124" s="187"/>
      <c r="AX124" s="188"/>
      <c r="AY124" s="188"/>
      <c r="AZ124" s="188"/>
      <c r="BA124" s="190"/>
      <c r="BB124" s="120"/>
      <c r="BC124" s="120"/>
      <c r="BD124" s="120"/>
    </row>
    <row r="125" spans="1:56" ht="21" hidden="1" thickBot="1" x14ac:dyDescent="0.45">
      <c r="B125" s="169">
        <v>20</v>
      </c>
      <c r="C125" s="170"/>
      <c r="D125" s="8">
        <v>0</v>
      </c>
      <c r="E125" s="360"/>
      <c r="F125" s="363"/>
      <c r="G125" s="173">
        <f t="shared" si="20"/>
        <v>0</v>
      </c>
      <c r="H125" s="159">
        <v>312.57960000000003</v>
      </c>
      <c r="I125" s="160">
        <v>111.9081254</v>
      </c>
      <c r="J125" s="57">
        <f t="shared" si="21"/>
        <v>111.9081254</v>
      </c>
      <c r="K125" s="57">
        <f t="shared" si="9"/>
        <v>55.954062700000001</v>
      </c>
      <c r="L125" s="57">
        <f t="shared" si="10"/>
        <v>0.82858896924449466</v>
      </c>
      <c r="M125" s="57">
        <f t="shared" si="11"/>
        <v>259.00000857085644</v>
      </c>
      <c r="N125" s="57">
        <f t="shared" si="12"/>
        <v>518.00001714171287</v>
      </c>
      <c r="O125" s="57">
        <f>+C106+D107+D108+D109+D110+D111+D112+D113+D114+D115+D116+D117+D118+D119+D120+D121+D122+D123+D124+(D125/2)</f>
        <v>0</v>
      </c>
      <c r="P125" s="57">
        <f t="shared" si="13"/>
        <v>0</v>
      </c>
      <c r="Q125" s="57">
        <f t="shared" si="14"/>
        <v>0</v>
      </c>
      <c r="R125" s="57">
        <f t="shared" si="22"/>
        <v>175</v>
      </c>
      <c r="S125" s="57">
        <f t="shared" si="33"/>
        <v>175</v>
      </c>
      <c r="T125" s="175">
        <f t="shared" si="15"/>
        <v>175</v>
      </c>
      <c r="U125" s="105"/>
      <c r="V125" s="176">
        <f t="shared" si="16"/>
        <v>0</v>
      </c>
      <c r="W125" s="158"/>
      <c r="X125" s="176">
        <f t="shared" si="23"/>
        <v>0</v>
      </c>
      <c r="Y125" s="177">
        <f>SUM(D107:D125)+$C$106</f>
        <v>0</v>
      </c>
      <c r="Z125" s="438">
        <f t="shared" si="24"/>
        <v>66.255548399999995</v>
      </c>
      <c r="AA125" s="444">
        <f t="shared" si="17"/>
        <v>0.91535047595051022</v>
      </c>
      <c r="AB125" s="438">
        <f t="shared" si="25"/>
        <v>278.56028065668761</v>
      </c>
      <c r="AC125" s="438">
        <f t="shared" si="26"/>
        <v>50.018549700000001</v>
      </c>
      <c r="AD125" s="444">
        <f t="shared" si="27"/>
        <v>0.76625250760411079</v>
      </c>
      <c r="AE125" s="438">
        <f t="shared" si="28"/>
        <v>213.83080789825695</v>
      </c>
      <c r="AF125" s="354">
        <f t="shared" si="34"/>
        <v>-513</v>
      </c>
      <c r="AG125" s="438">
        <f t="shared" si="29"/>
        <v>492.39108855494453</v>
      </c>
      <c r="AH125" s="438">
        <f t="shared" si="36"/>
        <v>-213.83080789825695</v>
      </c>
      <c r="AI125" s="438">
        <f t="shared" si="35"/>
        <v>213.83080789825695</v>
      </c>
      <c r="AJ125" s="438">
        <f t="shared" si="30"/>
        <v>-290.2193546927582</v>
      </c>
      <c r="AK125" s="438">
        <f t="shared" si="31"/>
        <v>-222.78064530724188</v>
      </c>
      <c r="AL125" s="165">
        <f t="shared" si="18"/>
        <v>-39.969767048377541</v>
      </c>
      <c r="AM125" s="166">
        <f t="shared" si="19"/>
        <v>-44.887202773871003</v>
      </c>
      <c r="AN125" s="167">
        <f t="shared" si="32"/>
        <v>39.969767048377541</v>
      </c>
      <c r="AO125" s="167">
        <f t="shared" si="32"/>
        <v>44.887202773871003</v>
      </c>
      <c r="AT125" s="184"/>
      <c r="AU125" s="185"/>
      <c r="AV125" s="17"/>
      <c r="AW125" s="187"/>
      <c r="AX125" s="188"/>
      <c r="AY125" s="188"/>
      <c r="AZ125" s="188"/>
      <c r="BA125" s="190"/>
      <c r="BB125" s="120"/>
      <c r="BC125" s="120"/>
      <c r="BD125" s="120"/>
    </row>
    <row r="126" spans="1:56" ht="19.5" hidden="1" x14ac:dyDescent="0.4">
      <c r="BB126" s="120"/>
      <c r="BC126" s="120"/>
      <c r="BD126" s="120"/>
    </row>
    <row r="127" spans="1:56" ht="19.5" hidden="1" x14ac:dyDescent="0.4">
      <c r="BB127" s="120"/>
      <c r="BC127" s="120"/>
      <c r="BD127" s="120"/>
    </row>
    <row r="128" spans="1:56" ht="19.5" hidden="1" x14ac:dyDescent="0.4">
      <c r="BB128" s="120"/>
      <c r="BC128" s="120"/>
      <c r="BD128" s="120"/>
    </row>
    <row r="129" spans="42:56" ht="19.5" hidden="1" x14ac:dyDescent="0.4">
      <c r="BB129" s="120"/>
      <c r="BC129" s="120"/>
      <c r="BD129" s="120"/>
    </row>
    <row r="130" spans="42:56" ht="19.5" hidden="1" x14ac:dyDescent="0.4">
      <c r="BB130" s="120"/>
      <c r="BC130" s="120"/>
      <c r="BD130" s="120"/>
    </row>
    <row r="131" spans="42:56" ht="19.5" hidden="1" x14ac:dyDescent="0.4">
      <c r="BB131" s="120"/>
      <c r="BC131" s="120"/>
      <c r="BD131" s="120"/>
    </row>
    <row r="132" spans="42:56" ht="19.5" hidden="1" x14ac:dyDescent="0.4">
      <c r="BB132" s="120"/>
      <c r="BC132" s="120"/>
      <c r="BD132" s="120"/>
    </row>
    <row r="133" spans="42:56" ht="19.5" hidden="1" x14ac:dyDescent="0.4">
      <c r="BB133" s="120"/>
      <c r="BC133" s="120"/>
      <c r="BD133" s="120"/>
    </row>
    <row r="134" spans="42:56" hidden="1" x14ac:dyDescent="0.25">
      <c r="AP134" s="105"/>
      <c r="AQ134" s="105"/>
      <c r="AR134" s="105"/>
      <c r="AS134" s="105"/>
    </row>
    <row r="135" spans="42:56" hidden="1" x14ac:dyDescent="0.25">
      <c r="AP135" s="105"/>
      <c r="AQ135" s="105"/>
      <c r="AR135" s="105"/>
      <c r="AS135" s="105"/>
    </row>
    <row r="136" spans="42:56" hidden="1" x14ac:dyDescent="0.25">
      <c r="AP136" s="105"/>
      <c r="AQ136" s="105"/>
      <c r="AR136" s="105"/>
      <c r="AS136" s="105"/>
    </row>
    <row r="137" spans="42:56" hidden="1" x14ac:dyDescent="0.25">
      <c r="AP137" s="105"/>
      <c r="AQ137" s="105"/>
      <c r="AR137" s="105"/>
      <c r="AS137" s="105"/>
    </row>
    <row r="138" spans="42:56" hidden="1" x14ac:dyDescent="0.25">
      <c r="AP138" s="105"/>
      <c r="AQ138" s="105"/>
      <c r="AR138" s="105"/>
      <c r="AS138" s="105"/>
    </row>
    <row r="139" spans="42:56" hidden="1" x14ac:dyDescent="0.25">
      <c r="AP139" s="105"/>
      <c r="AQ139" s="105"/>
      <c r="AR139" s="105"/>
      <c r="AS139" s="105"/>
    </row>
    <row r="140" spans="42:56" hidden="1" x14ac:dyDescent="0.25">
      <c r="AP140" s="105"/>
      <c r="AQ140" s="105"/>
      <c r="AR140" s="105"/>
      <c r="AS140" s="105"/>
    </row>
    <row r="141" spans="42:56" hidden="1" x14ac:dyDescent="0.25">
      <c r="AP141" s="105"/>
      <c r="AQ141" s="105"/>
      <c r="AR141" s="105"/>
      <c r="AS141" s="105"/>
    </row>
    <row r="142" spans="42:56" hidden="1" x14ac:dyDescent="0.25">
      <c r="AP142" s="105"/>
      <c r="AQ142" s="105"/>
      <c r="AR142" s="105"/>
      <c r="AS142" s="105"/>
    </row>
    <row r="143" spans="42:56" hidden="1" x14ac:dyDescent="0.25"/>
    <row r="144" spans="42:56" hidden="1" x14ac:dyDescent="0.25"/>
    <row r="145" spans="57:72" hidden="1" x14ac:dyDescent="0.25"/>
    <row r="146" spans="57:72" hidden="1" x14ac:dyDescent="0.25">
      <c r="BE146" s="191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  <c r="BT146" s="105"/>
    </row>
    <row r="147" spans="57:72" hidden="1" x14ac:dyDescent="0.25"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92"/>
      <c r="BO147" s="105"/>
      <c r="BP147" s="105"/>
      <c r="BQ147" s="105"/>
      <c r="BR147" s="105"/>
      <c r="BS147" s="105"/>
      <c r="BT147" s="105"/>
    </row>
    <row r="148" spans="57:72" hidden="1" x14ac:dyDescent="0.25">
      <c r="BE148" s="193"/>
      <c r="BF148" s="105"/>
      <c r="BG148" s="105"/>
      <c r="BH148" s="105"/>
      <c r="BI148" s="105"/>
      <c r="BJ148" s="105"/>
      <c r="BK148" s="105"/>
      <c r="BL148" s="105"/>
      <c r="BM148" s="701"/>
      <c r="BN148" s="701"/>
      <c r="BO148" s="105"/>
      <c r="BP148" s="105"/>
      <c r="BQ148" s="105"/>
      <c r="BR148" s="105"/>
      <c r="BS148" s="105"/>
      <c r="BT148" s="105"/>
    </row>
    <row r="149" spans="57:72" hidden="1" x14ac:dyDescent="0.25"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  <c r="BT149" s="105"/>
    </row>
    <row r="150" spans="57:72" hidden="1" x14ac:dyDescent="0.25"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  <c r="BT150" s="105"/>
    </row>
    <row r="151" spans="57:72" hidden="1" x14ac:dyDescent="0.25"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  <c r="BT151" s="105"/>
    </row>
    <row r="152" spans="57:72" hidden="1" x14ac:dyDescent="0.25"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  <c r="BT152" s="105"/>
    </row>
    <row r="153" spans="57:72" hidden="1" x14ac:dyDescent="0.25"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</row>
    <row r="154" spans="57:72" hidden="1" x14ac:dyDescent="0.25"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  <c r="BT154" s="105"/>
    </row>
    <row r="155" spans="57:72" hidden="1" x14ac:dyDescent="0.25"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  <c r="BT155" s="105"/>
    </row>
    <row r="156" spans="57:72" hidden="1" x14ac:dyDescent="0.25"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  <c r="BT156" s="105"/>
    </row>
    <row r="157" spans="57:72" hidden="1" x14ac:dyDescent="0.25"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  <c r="BT157" s="105"/>
    </row>
    <row r="158" spans="57:72" hidden="1" x14ac:dyDescent="0.25"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  <c r="BT158" s="105"/>
    </row>
    <row r="159" spans="57:72" hidden="1" x14ac:dyDescent="0.25"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  <c r="BT159" s="105"/>
    </row>
    <row r="160" spans="57:72" hidden="1" x14ac:dyDescent="0.25"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  <c r="BT160" s="105"/>
    </row>
    <row r="161" spans="57:72" hidden="1" x14ac:dyDescent="0.25">
      <c r="BE161" s="105"/>
      <c r="BF161" s="53"/>
      <c r="BG161" s="53"/>
      <c r="BH161" s="53"/>
      <c r="BI161" s="53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  <c r="BT161" s="105"/>
    </row>
    <row r="162" spans="57:72" hidden="1" x14ac:dyDescent="0.25">
      <c r="BE162" s="105"/>
      <c r="BF162" s="53"/>
      <c r="BG162" s="53"/>
      <c r="BH162" s="53"/>
      <c r="BI162" s="53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  <c r="BT162" s="105"/>
    </row>
    <row r="163" spans="57:72" x14ac:dyDescent="0.25">
      <c r="BE163" s="105"/>
      <c r="BF163" s="53"/>
      <c r="BG163" s="53"/>
      <c r="BH163" s="53"/>
      <c r="BI163" s="53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</row>
    <row r="164" spans="57:72" x14ac:dyDescent="0.25">
      <c r="BE164" s="105"/>
      <c r="BF164" s="53"/>
      <c r="BG164" s="53"/>
      <c r="BH164" s="53"/>
      <c r="BI164" s="53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  <c r="BT164" s="105"/>
    </row>
    <row r="165" spans="57:72" x14ac:dyDescent="0.25">
      <c r="BE165" s="106"/>
      <c r="BF165" s="53"/>
      <c r="BG165" s="53"/>
      <c r="BH165" s="53"/>
      <c r="BI165" s="53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  <c r="BT165" s="105"/>
    </row>
    <row r="166" spans="57:72" x14ac:dyDescent="0.25">
      <c r="BE166" s="106"/>
      <c r="BF166" s="53"/>
      <c r="BG166" s="53"/>
      <c r="BH166" s="53"/>
      <c r="BI166" s="53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  <c r="BT166" s="105"/>
    </row>
    <row r="167" spans="57:72" x14ac:dyDescent="0.25">
      <c r="BE167" s="106"/>
      <c r="BF167" s="194"/>
      <c r="BG167" s="194"/>
      <c r="BH167" s="194"/>
      <c r="BI167" s="194"/>
      <c r="BJ167" s="194"/>
      <c r="BK167" s="194"/>
      <c r="BL167" s="194"/>
      <c r="BM167" s="194"/>
      <c r="BN167" s="194"/>
      <c r="BO167" s="194"/>
      <c r="BP167" s="194"/>
      <c r="BQ167" s="194"/>
      <c r="BR167" s="194"/>
      <c r="BS167" s="194"/>
      <c r="BT167" s="105"/>
    </row>
    <row r="168" spans="57:72" x14ac:dyDescent="0.25">
      <c r="BE168" s="106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  <c r="BT168" s="105"/>
    </row>
    <row r="169" spans="57:72" x14ac:dyDescent="0.25">
      <c r="BE169" s="195"/>
      <c r="BF169" s="196"/>
      <c r="BG169" s="196"/>
      <c r="BH169" s="196"/>
      <c r="BI169" s="196"/>
      <c r="BJ169" s="196"/>
      <c r="BK169" s="196"/>
      <c r="BL169" s="196"/>
      <c r="BM169" s="196"/>
      <c r="BN169" s="196"/>
      <c r="BO169" s="196"/>
      <c r="BP169" s="196"/>
      <c r="BQ169" s="196"/>
      <c r="BR169" s="196"/>
      <c r="BS169" s="196"/>
      <c r="BT169" s="105"/>
    </row>
    <row r="170" spans="57:72" x14ac:dyDescent="0.25">
      <c r="BE170" s="106"/>
      <c r="BF170" s="107"/>
      <c r="BG170" s="107"/>
      <c r="BH170" s="107"/>
      <c r="BI170" s="107"/>
      <c r="BJ170" s="107"/>
      <c r="BK170" s="107"/>
      <c r="BL170" s="107"/>
      <c r="BM170" s="107"/>
      <c r="BN170" s="107"/>
      <c r="BO170" s="107"/>
      <c r="BP170" s="107"/>
      <c r="BQ170" s="107"/>
      <c r="BR170" s="107"/>
      <c r="BS170" s="107"/>
      <c r="BT170" s="105"/>
    </row>
    <row r="171" spans="57:72" x14ac:dyDescent="0.25"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  <c r="BT171" s="105"/>
    </row>
    <row r="172" spans="57:72" x14ac:dyDescent="0.25">
      <c r="BE172" s="105"/>
      <c r="BF172" s="106"/>
      <c r="BG172" s="197"/>
      <c r="BH172" s="197"/>
      <c r="BI172" s="197"/>
      <c r="BJ172" s="106"/>
      <c r="BK172" s="106"/>
      <c r="BL172" s="106"/>
      <c r="BM172" s="106"/>
      <c r="BN172" s="106"/>
      <c r="BO172" s="106"/>
      <c r="BP172" s="106"/>
      <c r="BQ172" s="106"/>
      <c r="BR172" s="106"/>
      <c r="BS172" s="106"/>
      <c r="BT172" s="105"/>
    </row>
    <row r="173" spans="57:72" x14ac:dyDescent="0.25">
      <c r="BE173" s="105"/>
      <c r="BF173" s="197"/>
      <c r="BG173" s="197"/>
      <c r="BH173" s="197"/>
      <c r="BI173" s="197"/>
      <c r="BJ173" s="105"/>
      <c r="BK173" s="105"/>
      <c r="BL173" s="105"/>
      <c r="BM173" s="105"/>
      <c r="BN173" s="197"/>
      <c r="BO173" s="197"/>
      <c r="BP173" s="197"/>
      <c r="BQ173" s="197"/>
      <c r="BR173" s="197"/>
      <c r="BS173" s="197"/>
      <c r="BT173" s="105"/>
    </row>
    <row r="174" spans="57:72" x14ac:dyDescent="0.25"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  <c r="BT174" s="105"/>
    </row>
    <row r="175" spans="57:72" x14ac:dyDescent="0.25"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  <c r="BT175" s="105"/>
    </row>
  </sheetData>
  <sheetProtection algorithmName="SHA-512" hashValue="6CsPD098XQhSloHKp1WbU5+VOL2LPIJDv3knAdQtNwOGZ3NiaZJeWLaW5PYWoJF4wkZyZjZ2LSlTE9VmF2ymfg==" saltValue="Lyp4DIHqlpv3UtI2qmXWoQ==" spinCount="100000" sheet="1" objects="1" scenarios="1"/>
  <protectedRanges>
    <protectedRange sqref="B100" name="Range1"/>
  </protectedRanges>
  <mergeCells count="10">
    <mergeCell ref="BQ57:BR57"/>
    <mergeCell ref="D99:D100"/>
    <mergeCell ref="D101:D102"/>
    <mergeCell ref="B101:B102"/>
    <mergeCell ref="AN103:AO103"/>
    <mergeCell ref="BM148:BN148"/>
    <mergeCell ref="B33:E33"/>
    <mergeCell ref="AR51:AS51"/>
    <mergeCell ref="BF56:BF57"/>
    <mergeCell ref="BG57:BH57"/>
  </mergeCells>
  <conditionalFormatting sqref="D99 D101">
    <cfRule type="cellIs" dxfId="31" priority="38" stopIfTrue="1" operator="equal">
      <formula>"change the angle of frame"</formula>
    </cfRule>
  </conditionalFormatting>
  <conditionalFormatting sqref="B107:G107 J107:AO107">
    <cfRule type="expression" dxfId="30" priority="33">
      <formula>$B$103&lt;2</formula>
    </cfRule>
  </conditionalFormatting>
  <conditionalFormatting sqref="B108:F108 J108:AE108 AG108:AO108">
    <cfRule type="expression" dxfId="29" priority="32">
      <formula>$B$103&lt;3</formula>
    </cfRule>
  </conditionalFormatting>
  <conditionalFormatting sqref="B109:F109 J109:AE109 AG109:AO109">
    <cfRule type="expression" dxfId="28" priority="31">
      <formula>$B$103&lt;4</formula>
    </cfRule>
  </conditionalFormatting>
  <conditionalFormatting sqref="B110:F110 J110:AE110 AG110:AO110">
    <cfRule type="expression" dxfId="27" priority="30">
      <formula>$B$103&lt;5</formula>
    </cfRule>
  </conditionalFormatting>
  <conditionalFormatting sqref="B111:F111 J111:AE111 AG111:AO111">
    <cfRule type="expression" dxfId="26" priority="29">
      <formula>$B$103&lt;6</formula>
    </cfRule>
  </conditionalFormatting>
  <conditionalFormatting sqref="B112:F112 J112:AE112 AG112:AO112">
    <cfRule type="expression" dxfId="25" priority="28">
      <formula>$B$103&lt;7</formula>
    </cfRule>
  </conditionalFormatting>
  <conditionalFormatting sqref="B113:F113 J113:AE113 AG113:AO113">
    <cfRule type="expression" dxfId="24" priority="27">
      <formula>$B$103&lt;8</formula>
    </cfRule>
  </conditionalFormatting>
  <conditionalFormatting sqref="B114:F114 J114:AE114 AG114:AO114">
    <cfRule type="expression" dxfId="23" priority="26">
      <formula>$B$103&lt;9</formula>
    </cfRule>
  </conditionalFormatting>
  <conditionalFormatting sqref="B115:F115 J115:AE115 AG115:AO115">
    <cfRule type="expression" dxfId="22" priority="25">
      <formula>$B$103&lt;10</formula>
    </cfRule>
  </conditionalFormatting>
  <conditionalFormatting sqref="B116:F116 J116:AE116 AG116:AO116">
    <cfRule type="expression" dxfId="21" priority="24">
      <formula>$B$103&lt;11</formula>
    </cfRule>
  </conditionalFormatting>
  <conditionalFormatting sqref="B117:F117 J117:AE117 AG117:AO117">
    <cfRule type="expression" dxfId="20" priority="23">
      <formula>$B$103&lt;12</formula>
    </cfRule>
  </conditionalFormatting>
  <conditionalFormatting sqref="B118:F118 J118:AE118 AG118:AO118">
    <cfRule type="expression" dxfId="19" priority="22">
      <formula>$B$103&lt;13</formula>
    </cfRule>
  </conditionalFormatting>
  <conditionalFormatting sqref="B119:F119 J119:AE119 AG119:AO119">
    <cfRule type="expression" dxfId="18" priority="21">
      <formula>$B$103&lt;14</formula>
    </cfRule>
  </conditionalFormatting>
  <conditionalFormatting sqref="B120:F120 J120:AE120 AG120:AO120">
    <cfRule type="expression" dxfId="17" priority="20">
      <formula>$B$103&lt;15</formula>
    </cfRule>
  </conditionalFormatting>
  <conditionalFormatting sqref="B121:F121 J121:AE121 AG121:AO121">
    <cfRule type="expression" dxfId="16" priority="19">
      <formula>$B$103&lt;16</formula>
    </cfRule>
  </conditionalFormatting>
  <conditionalFormatting sqref="B122:F122 J122:AE122 AG122:AO122">
    <cfRule type="expression" dxfId="15" priority="18">
      <formula>$B$103&lt;17</formula>
    </cfRule>
  </conditionalFormatting>
  <conditionalFormatting sqref="B123:F123 J123:AE123 AG123:AO123">
    <cfRule type="expression" dxfId="14" priority="17">
      <formula>$B$103&lt;18</formula>
    </cfRule>
  </conditionalFormatting>
  <conditionalFormatting sqref="B124:F124 J124:AE124 AG124:AO124">
    <cfRule type="expression" dxfId="13" priority="16">
      <formula>$B$103&lt;19</formula>
    </cfRule>
  </conditionalFormatting>
  <conditionalFormatting sqref="B125:F125 J125:AE125 AG125:AO125">
    <cfRule type="expression" dxfId="12" priority="15">
      <formula>$B$103&lt;20</formula>
    </cfRule>
  </conditionalFormatting>
  <conditionalFormatting sqref="D106:D125">
    <cfRule type="cellIs" dxfId="11" priority="35" operator="notEqual">
      <formula>0</formula>
    </cfRule>
  </conditionalFormatting>
  <conditionalFormatting sqref="AN106:AO125">
    <cfRule type="cellIs" dxfId="10" priority="34" operator="lessThan">
      <formula>10</formula>
    </cfRule>
  </conditionalFormatting>
  <conditionalFormatting sqref="D108">
    <cfRule type="expression" dxfId="9" priority="11">
      <formula>$B$103&lt;2</formula>
    </cfRule>
  </conditionalFormatting>
  <conditionalFormatting sqref="D109:D125">
    <cfRule type="expression" dxfId="8" priority="8">
      <formula>$B$103&lt;2</formula>
    </cfRule>
  </conditionalFormatting>
  <conditionalFormatting sqref="D109:D125">
    <cfRule type="expression" dxfId="7" priority="9">
      <formula>$B$103&lt;3</formula>
    </cfRule>
  </conditionalFormatting>
  <conditionalFormatting sqref="CC82">
    <cfRule type="cellIs" dxfId="6" priority="6" operator="equal">
      <formula>0</formula>
    </cfRule>
    <cfRule type="expression" dxfId="5" priority="7">
      <formula>$B$100=0</formula>
    </cfRule>
  </conditionalFormatting>
  <conditionalFormatting sqref="G108">
    <cfRule type="expression" dxfId="4" priority="5">
      <formula>$B$103&lt;2</formula>
    </cfRule>
  </conditionalFormatting>
  <conditionalFormatting sqref="G109:G125">
    <cfRule type="expression" dxfId="3" priority="4">
      <formula>$B$103&lt;2</formula>
    </cfRule>
  </conditionalFormatting>
  <conditionalFormatting sqref="BG82:CB82">
    <cfRule type="cellIs" dxfId="2" priority="2" operator="equal">
      <formula>0</formula>
    </cfRule>
    <cfRule type="expression" dxfId="1" priority="3">
      <formula>$B$100=0</formula>
    </cfRule>
  </conditionalFormatting>
  <conditionalFormatting sqref="AF108:AF125">
    <cfRule type="expression" dxfId="0" priority="1">
      <formula>$B$103&lt;2</formula>
    </cfRule>
  </conditionalFormatting>
  <dataValidations count="4">
    <dataValidation type="decimal" allowBlank="1" showInputMessage="1" showErrorMessage="1" sqref="B100" xr:uid="{00000000-0002-0000-0400-000000000000}">
      <formula1>-89.9</formula1>
      <formula2>89.9</formula2>
    </dataValidation>
    <dataValidation type="decimal" allowBlank="1" showInputMessage="1" showErrorMessage="1" sqref="G107:G125" xr:uid="{00000000-0002-0000-0400-000001000000}">
      <formula1>0</formula1>
      <formula2>8</formula2>
    </dataValidation>
    <dataValidation type="decimal" allowBlank="1" showInputMessage="1" showErrorMessage="1" sqref="G106" xr:uid="{00000000-0002-0000-0400-000002000000}">
      <formula1>0</formula1>
      <formula2>4</formula2>
    </dataValidation>
    <dataValidation type="whole" allowBlank="1" showInputMessage="1" showErrorMessage="1" errorTitle="Coda Audio" error="YOU HAVE ENTERED A WRONG NUMBER OF CABINETS" promptTitle="Coda Audio" prompt="ENTER THE NUMBER OF CABINETS FROM 1 UP TO 20" sqref="B103" xr:uid="{00000000-0002-0000-0400-000003000000}">
      <formula1>1</formula1>
      <formula2>20</formula2>
    </dataValidation>
  </dataValidations>
  <pageMargins left="0.75" right="0.75" top="1" bottom="1" header="0.5" footer="0.5"/>
  <pageSetup paperSize="9" orientation="portrait" horizontalDpi="4294967293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N-APS with FRV-N-APS</vt:lpstr>
      <vt:lpstr>N-SUB with FRV-N-APS</vt:lpstr>
      <vt:lpstr>N-SUB+N-APS with FRV-N-APS</vt:lpstr>
      <vt:lpstr>N-APS+N-SUB+N-APS with FRV-NAPS</vt:lpstr>
      <vt:lpstr>N-APS with FRH-N-APS </vt:lpstr>
    </vt:vector>
  </TitlesOfParts>
  <Company>CODA AUDIO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</dc:creator>
  <cp:lastModifiedBy>Edgar Krueger</cp:lastModifiedBy>
  <dcterms:created xsi:type="dcterms:W3CDTF">2009-10-07T12:24:30Z</dcterms:created>
  <dcterms:modified xsi:type="dcterms:W3CDTF">2020-02-06T10:10:20Z</dcterms:modified>
</cp:coreProperties>
</file>