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1570" windowHeight="9345" tabRatio="831" activeTab="3"/>
  </bookViews>
  <sheets>
    <sheet name="APS with FRV APS" sheetId="1" r:id="rId1"/>
    <sheet name="APS SUB with FRV APS" sheetId="2" r:id="rId2"/>
    <sheet name="APS SUB+APS with FRV APS" sheetId="26" r:id="rId3"/>
    <sheet name="APS with FRH APS " sheetId="35" r:id="rId4"/>
  </sheets>
  <definedNames>
    <definedName name="_xlnm._FilterDatabase" localSheetId="1" hidden="1">'APS SUB with FRV APS'!#REF!</definedName>
    <definedName name="_xlnm._FilterDatabase" localSheetId="3" hidden="1">'APS with FRH APS '!$AR$110:$AR$111</definedName>
    <definedName name="_xlnm._FilterDatabase" localSheetId="0" hidden="1">'APS with FRV APS'!$AR$113:$AR$114</definedName>
  </definedNames>
  <calcPr calcId="145621"/>
</workbook>
</file>

<file path=xl/calcChain.xml><?xml version="1.0" encoding="utf-8"?>
<calcChain xmlns="http://schemas.openxmlformats.org/spreadsheetml/2006/main">
  <c r="C12" i="35" l="1"/>
  <c r="AF125" i="35"/>
  <c r="AF124" i="35"/>
  <c r="AF123" i="35"/>
  <c r="AF122" i="35"/>
  <c r="AF121" i="35"/>
  <c r="AF120" i="35"/>
  <c r="AF119" i="35"/>
  <c r="AF118" i="35"/>
  <c r="AF117" i="35"/>
  <c r="AF116" i="35"/>
  <c r="AF115" i="35"/>
  <c r="AF114" i="35"/>
  <c r="AF113" i="35"/>
  <c r="AF112" i="35"/>
  <c r="AF111" i="35"/>
  <c r="AF110" i="35"/>
  <c r="AF109" i="35"/>
  <c r="AF108" i="35"/>
  <c r="AF107" i="35"/>
  <c r="AF106" i="35"/>
  <c r="AP112" i="26"/>
  <c r="AP111" i="26"/>
  <c r="AP110" i="26"/>
  <c r="AP109" i="26"/>
  <c r="AP108" i="26"/>
  <c r="AP107" i="26"/>
  <c r="AP106" i="26"/>
  <c r="AP105" i="26"/>
  <c r="AP95" i="26"/>
  <c r="AP94" i="26"/>
  <c r="AP93" i="26"/>
  <c r="AP92" i="26"/>
  <c r="AP91" i="26"/>
  <c r="AP90" i="26"/>
  <c r="AP89" i="26"/>
  <c r="AP88" i="26"/>
  <c r="AP87" i="26"/>
  <c r="AP86" i="26"/>
  <c r="AP85" i="26"/>
  <c r="AP84" i="26"/>
  <c r="C14" i="26"/>
  <c r="C11" i="26"/>
  <c r="F2" i="26"/>
  <c r="AF76" i="2"/>
  <c r="AF75" i="2"/>
  <c r="AF74" i="2"/>
  <c r="AF73" i="2"/>
  <c r="AF72" i="2"/>
  <c r="AF71" i="2"/>
  <c r="AF70" i="2"/>
  <c r="AF69" i="2"/>
  <c r="AF68" i="2"/>
  <c r="AF67" i="2"/>
  <c r="AF66" i="2"/>
  <c r="AF65" i="2"/>
  <c r="C7" i="2"/>
  <c r="F2" i="2"/>
  <c r="C12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BU43" i="2" l="1"/>
  <c r="BS43" i="2"/>
  <c r="BP43" i="2"/>
  <c r="BO43" i="2"/>
  <c r="BN43" i="2"/>
  <c r="BK43" i="2"/>
  <c r="BI43" i="2"/>
  <c r="BV54" i="26"/>
  <c r="BT54" i="26"/>
  <c r="BQ54" i="26"/>
  <c r="BP54" i="26"/>
  <c r="BO54" i="26"/>
  <c r="BL54" i="26"/>
  <c r="BJ54" i="26"/>
  <c r="BX82" i="1"/>
  <c r="BV82" i="1"/>
  <c r="BS82" i="1"/>
  <c r="BR82" i="1"/>
  <c r="BQ82" i="1"/>
  <c r="BN82" i="1"/>
  <c r="BL82" i="1"/>
  <c r="BQ82" i="35"/>
  <c r="BN82" i="35"/>
  <c r="BL82" i="35"/>
  <c r="BJ82" i="35"/>
  <c r="AU103" i="35" l="1"/>
  <c r="AU104" i="35" s="1"/>
  <c r="AU105" i="35" s="1"/>
  <c r="AU106" i="35" s="1"/>
  <c r="AU107" i="35" s="1"/>
  <c r="AU108" i="35" s="1"/>
  <c r="AU109" i="35" s="1"/>
  <c r="AU110" i="35" s="1"/>
  <c r="AU111" i="35" s="1"/>
  <c r="AU112" i="35" s="1"/>
  <c r="AU113" i="35" s="1"/>
  <c r="AU114" i="35" s="1"/>
  <c r="AU115" i="35" s="1"/>
  <c r="AU116" i="35" s="1"/>
  <c r="BG54" i="35"/>
  <c r="F2" i="35"/>
  <c r="E2" i="35"/>
  <c r="AV102" i="35"/>
  <c r="V125" i="35"/>
  <c r="X125" i="35" s="1"/>
  <c r="J125" i="35"/>
  <c r="K125" i="35" s="1"/>
  <c r="L125" i="35" s="1"/>
  <c r="M125" i="35" s="1"/>
  <c r="N125" i="35" s="1"/>
  <c r="G125" i="35"/>
  <c r="V124" i="35"/>
  <c r="J124" i="35"/>
  <c r="K124" i="35" s="1"/>
  <c r="L124" i="35" s="1"/>
  <c r="M124" i="35" s="1"/>
  <c r="N124" i="35" s="1"/>
  <c r="G124" i="35"/>
  <c r="V123" i="35"/>
  <c r="J123" i="35"/>
  <c r="K123" i="35" s="1"/>
  <c r="L123" i="35" s="1"/>
  <c r="M123" i="35" s="1"/>
  <c r="N123" i="35" s="1"/>
  <c r="G123" i="35"/>
  <c r="V122" i="35"/>
  <c r="J122" i="35"/>
  <c r="K122" i="35" s="1"/>
  <c r="L122" i="35" s="1"/>
  <c r="M122" i="35" s="1"/>
  <c r="N122" i="35" s="1"/>
  <c r="G122" i="35"/>
  <c r="V121" i="35"/>
  <c r="J121" i="35"/>
  <c r="K121" i="35" s="1"/>
  <c r="L121" i="35" s="1"/>
  <c r="M121" i="35" s="1"/>
  <c r="N121" i="35" s="1"/>
  <c r="G121" i="35"/>
  <c r="V120" i="35"/>
  <c r="J120" i="35"/>
  <c r="K120" i="35" s="1"/>
  <c r="L120" i="35" s="1"/>
  <c r="M120" i="35" s="1"/>
  <c r="N120" i="35" s="1"/>
  <c r="G120" i="35"/>
  <c r="V119" i="35"/>
  <c r="J119" i="35"/>
  <c r="K119" i="35" s="1"/>
  <c r="L119" i="35" s="1"/>
  <c r="M119" i="35" s="1"/>
  <c r="N119" i="35" s="1"/>
  <c r="G119" i="35"/>
  <c r="V118" i="35"/>
  <c r="J118" i="35"/>
  <c r="K118" i="35" s="1"/>
  <c r="L118" i="35" s="1"/>
  <c r="M118" i="35" s="1"/>
  <c r="N118" i="35" s="1"/>
  <c r="G118" i="35"/>
  <c r="V117" i="35"/>
  <c r="J117" i="35"/>
  <c r="K117" i="35" s="1"/>
  <c r="L117" i="35" s="1"/>
  <c r="M117" i="35" s="1"/>
  <c r="N117" i="35" s="1"/>
  <c r="G117" i="35"/>
  <c r="V116" i="35"/>
  <c r="J116" i="35"/>
  <c r="K116" i="35" s="1"/>
  <c r="L116" i="35" s="1"/>
  <c r="M116" i="35" s="1"/>
  <c r="N116" i="35" s="1"/>
  <c r="G116" i="35"/>
  <c r="V115" i="35"/>
  <c r="J115" i="35"/>
  <c r="K115" i="35" s="1"/>
  <c r="L115" i="35" s="1"/>
  <c r="M115" i="35" s="1"/>
  <c r="N115" i="35" s="1"/>
  <c r="G115" i="35"/>
  <c r="V114" i="35"/>
  <c r="J114" i="35"/>
  <c r="K114" i="35" s="1"/>
  <c r="L114" i="35" s="1"/>
  <c r="M114" i="35" s="1"/>
  <c r="N114" i="35" s="1"/>
  <c r="G114" i="35"/>
  <c r="V113" i="35"/>
  <c r="J113" i="35"/>
  <c r="K113" i="35" s="1"/>
  <c r="L113" i="35" s="1"/>
  <c r="M113" i="35" s="1"/>
  <c r="N113" i="35" s="1"/>
  <c r="G113" i="35"/>
  <c r="V112" i="35"/>
  <c r="J112" i="35"/>
  <c r="K112" i="35" s="1"/>
  <c r="L112" i="35" s="1"/>
  <c r="M112" i="35" s="1"/>
  <c r="N112" i="35" s="1"/>
  <c r="G112" i="35"/>
  <c r="V111" i="35"/>
  <c r="J111" i="35"/>
  <c r="K111" i="35" s="1"/>
  <c r="L111" i="35" s="1"/>
  <c r="M111" i="35" s="1"/>
  <c r="N111" i="35" s="1"/>
  <c r="G111" i="35"/>
  <c r="V110" i="35"/>
  <c r="J110" i="35"/>
  <c r="K110" i="35" s="1"/>
  <c r="L110" i="35" s="1"/>
  <c r="M110" i="35" s="1"/>
  <c r="N110" i="35" s="1"/>
  <c r="G110" i="35"/>
  <c r="V109" i="35"/>
  <c r="J109" i="35"/>
  <c r="K109" i="35" s="1"/>
  <c r="L109" i="35" s="1"/>
  <c r="M109" i="35" s="1"/>
  <c r="N109" i="35" s="1"/>
  <c r="G109" i="35"/>
  <c r="J108" i="35"/>
  <c r="K108" i="35" s="1"/>
  <c r="L108" i="35" s="1"/>
  <c r="M108" i="35" s="1"/>
  <c r="N108" i="35" s="1"/>
  <c r="G108" i="35"/>
  <c r="J107" i="35"/>
  <c r="K107" i="35" s="1"/>
  <c r="L107" i="35" s="1"/>
  <c r="M107" i="35" s="1"/>
  <c r="N107" i="35" s="1"/>
  <c r="G107" i="35"/>
  <c r="G106" i="35"/>
  <c r="C106" i="35"/>
  <c r="O116" i="35" s="1"/>
  <c r="P116" i="35" s="1"/>
  <c r="U101" i="35"/>
  <c r="V101" i="35" s="1"/>
  <c r="W101" i="35" s="1"/>
  <c r="BF87" i="35"/>
  <c r="B14" i="35"/>
  <c r="C14" i="35" s="1"/>
  <c r="D2" i="35"/>
  <c r="AV103" i="35" l="1"/>
  <c r="AV104" i="35" s="1"/>
  <c r="O108" i="35"/>
  <c r="P108" i="35" s="1"/>
  <c r="Q108" i="35" s="1"/>
  <c r="Y110" i="35"/>
  <c r="Z110" i="35" s="1"/>
  <c r="AA110" i="35" s="1"/>
  <c r="AB110" i="35" s="1"/>
  <c r="O111" i="35"/>
  <c r="P111" i="35" s="1"/>
  <c r="Q111" i="35" s="1"/>
  <c r="X122" i="35"/>
  <c r="X116" i="35"/>
  <c r="X115" i="35"/>
  <c r="Q116" i="35"/>
  <c r="X117" i="35"/>
  <c r="X121" i="35"/>
  <c r="X114" i="35"/>
  <c r="X113" i="35"/>
  <c r="X109" i="35"/>
  <c r="X111" i="35"/>
  <c r="Y124" i="35"/>
  <c r="O124" i="35"/>
  <c r="P124" i="35" s="1"/>
  <c r="Q124" i="35" s="1"/>
  <c r="Y120" i="35"/>
  <c r="O120" i="35"/>
  <c r="P120" i="35" s="1"/>
  <c r="Q120" i="35" s="1"/>
  <c r="Y125" i="35"/>
  <c r="O125" i="35"/>
  <c r="P125" i="35" s="1"/>
  <c r="Q125" i="35" s="1"/>
  <c r="Y123" i="35"/>
  <c r="O123" i="35"/>
  <c r="P123" i="35" s="1"/>
  <c r="Q123" i="35" s="1"/>
  <c r="Y119" i="35"/>
  <c r="O119" i="35"/>
  <c r="P119" i="35" s="1"/>
  <c r="Q119" i="35" s="1"/>
  <c r="Y122" i="35"/>
  <c r="Y118" i="35"/>
  <c r="O118" i="35"/>
  <c r="P118" i="35" s="1"/>
  <c r="Q118" i="35" s="1"/>
  <c r="Y114" i="35"/>
  <c r="O114" i="35"/>
  <c r="P114" i="35" s="1"/>
  <c r="Q114" i="35" s="1"/>
  <c r="O121" i="35"/>
  <c r="P121" i="35" s="1"/>
  <c r="Q121" i="35" s="1"/>
  <c r="Y117" i="35"/>
  <c r="O117" i="35"/>
  <c r="P117" i="35" s="1"/>
  <c r="Q117" i="35" s="1"/>
  <c r="Y113" i="35"/>
  <c r="O113" i="35"/>
  <c r="P113" i="35" s="1"/>
  <c r="Q113" i="35" s="1"/>
  <c r="Y121" i="35"/>
  <c r="Y116" i="35"/>
  <c r="Y111" i="35"/>
  <c r="Y107" i="35"/>
  <c r="O107" i="35"/>
  <c r="P107" i="35" s="1"/>
  <c r="Q107" i="35" s="1"/>
  <c r="O122" i="35"/>
  <c r="P122" i="35" s="1"/>
  <c r="Q122" i="35" s="1"/>
  <c r="Y115" i="35"/>
  <c r="Y112" i="35"/>
  <c r="Y109" i="35"/>
  <c r="O109" i="35"/>
  <c r="P109" i="35" s="1"/>
  <c r="Q109" i="35" s="1"/>
  <c r="O106" i="35"/>
  <c r="P106" i="35" s="1"/>
  <c r="O115" i="35"/>
  <c r="P115" i="35" s="1"/>
  <c r="Q115" i="35" s="1"/>
  <c r="O112" i="35"/>
  <c r="P112" i="35" s="1"/>
  <c r="Q112" i="35" s="1"/>
  <c r="O110" i="35"/>
  <c r="P110" i="35" s="1"/>
  <c r="Q110" i="35" s="1"/>
  <c r="Y106" i="35"/>
  <c r="J106" i="35"/>
  <c r="K106" i="35" s="1"/>
  <c r="L106" i="35" s="1"/>
  <c r="M106" i="35" s="1"/>
  <c r="N106" i="35" s="1"/>
  <c r="Y108" i="35"/>
  <c r="X112" i="35"/>
  <c r="X110" i="35"/>
  <c r="X118" i="35"/>
  <c r="X119" i="35"/>
  <c r="X120" i="35"/>
  <c r="X123" i="35"/>
  <c r="X124" i="35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2" i="26"/>
  <c r="G111" i="26"/>
  <c r="G110" i="26"/>
  <c r="G109" i="26"/>
  <c r="G108" i="26"/>
  <c r="G107" i="26"/>
  <c r="G106" i="26"/>
  <c r="G105" i="26"/>
  <c r="AC110" i="35" l="1"/>
  <c r="AD110" i="35" s="1"/>
  <c r="AE110" i="35" s="1"/>
  <c r="AH110" i="35" s="1"/>
  <c r="AI110" i="35" s="1"/>
  <c r="Q106" i="35"/>
  <c r="S106" i="35" s="1"/>
  <c r="T106" i="35" s="1"/>
  <c r="R107" i="35" s="1"/>
  <c r="S107" i="35" s="1"/>
  <c r="Z106" i="35"/>
  <c r="AA106" i="35" s="1"/>
  <c r="AB106" i="35" s="1"/>
  <c r="AC106" i="35"/>
  <c r="AD106" i="35" s="1"/>
  <c r="AE106" i="35" s="1"/>
  <c r="Z115" i="35"/>
  <c r="AA115" i="35" s="1"/>
  <c r="AB115" i="35" s="1"/>
  <c r="AC115" i="35"/>
  <c r="AD115" i="35" s="1"/>
  <c r="AE115" i="35" s="1"/>
  <c r="Z111" i="35"/>
  <c r="AA111" i="35" s="1"/>
  <c r="AB111" i="35" s="1"/>
  <c r="AC111" i="35"/>
  <c r="AD111" i="35" s="1"/>
  <c r="AE111" i="35" s="1"/>
  <c r="AC113" i="35"/>
  <c r="AD113" i="35" s="1"/>
  <c r="AE113" i="35" s="1"/>
  <c r="Z113" i="35"/>
  <c r="AA113" i="35" s="1"/>
  <c r="AB113" i="35" s="1"/>
  <c r="Z122" i="35"/>
  <c r="AA122" i="35" s="1"/>
  <c r="AB122" i="35" s="1"/>
  <c r="AC122" i="35"/>
  <c r="AD122" i="35" s="1"/>
  <c r="AE122" i="35" s="1"/>
  <c r="AC114" i="35"/>
  <c r="AD114" i="35" s="1"/>
  <c r="AE114" i="35" s="1"/>
  <c r="Z114" i="35"/>
  <c r="AA114" i="35" s="1"/>
  <c r="AB114" i="35" s="1"/>
  <c r="Z108" i="35"/>
  <c r="AA108" i="35" s="1"/>
  <c r="AB108" i="35" s="1"/>
  <c r="AC108" i="35"/>
  <c r="AD108" i="35" s="1"/>
  <c r="AE108" i="35" s="1"/>
  <c r="AC109" i="35"/>
  <c r="AD109" i="35" s="1"/>
  <c r="AE109" i="35" s="1"/>
  <c r="Z109" i="35"/>
  <c r="AA109" i="35" s="1"/>
  <c r="AB109" i="35" s="1"/>
  <c r="Z121" i="35"/>
  <c r="AA121" i="35" s="1"/>
  <c r="AB121" i="35" s="1"/>
  <c r="AC121" i="35"/>
  <c r="AD121" i="35" s="1"/>
  <c r="AE121" i="35" s="1"/>
  <c r="AC117" i="35"/>
  <c r="AD117" i="35" s="1"/>
  <c r="AE117" i="35" s="1"/>
  <c r="Z117" i="35"/>
  <c r="AA117" i="35" s="1"/>
  <c r="AB117" i="35" s="1"/>
  <c r="AC119" i="35"/>
  <c r="AD119" i="35" s="1"/>
  <c r="AE119" i="35" s="1"/>
  <c r="Z119" i="35"/>
  <c r="AA119" i="35" s="1"/>
  <c r="AB119" i="35" s="1"/>
  <c r="Z125" i="35"/>
  <c r="AA125" i="35" s="1"/>
  <c r="AB125" i="35" s="1"/>
  <c r="AC125" i="35"/>
  <c r="AD125" i="35" s="1"/>
  <c r="AE125" i="35" s="1"/>
  <c r="AC124" i="35"/>
  <c r="AD124" i="35" s="1"/>
  <c r="AE124" i="35" s="1"/>
  <c r="Z124" i="35"/>
  <c r="AA124" i="35" s="1"/>
  <c r="AB124" i="35" s="1"/>
  <c r="AV105" i="35"/>
  <c r="V106" i="35"/>
  <c r="AC123" i="35"/>
  <c r="AD123" i="35" s="1"/>
  <c r="AE123" i="35" s="1"/>
  <c r="Z123" i="35"/>
  <c r="AA123" i="35" s="1"/>
  <c r="AB123" i="35" s="1"/>
  <c r="AC120" i="35"/>
  <c r="AD120" i="35" s="1"/>
  <c r="AE120" i="35" s="1"/>
  <c r="Z120" i="35"/>
  <c r="AA120" i="35" s="1"/>
  <c r="AB120" i="35" s="1"/>
  <c r="AC116" i="35"/>
  <c r="AD116" i="35" s="1"/>
  <c r="AE116" i="35" s="1"/>
  <c r="Z116" i="35"/>
  <c r="AA116" i="35" s="1"/>
  <c r="AB116" i="35" s="1"/>
  <c r="AC112" i="35"/>
  <c r="AD112" i="35" s="1"/>
  <c r="AE112" i="35" s="1"/>
  <c r="Z112" i="35"/>
  <c r="AA112" i="35" s="1"/>
  <c r="AB112" i="35" s="1"/>
  <c r="AC107" i="35"/>
  <c r="AD107" i="35" s="1"/>
  <c r="AE107" i="35" s="1"/>
  <c r="Z107" i="35"/>
  <c r="AA107" i="35" s="1"/>
  <c r="AB107" i="35" s="1"/>
  <c r="AC118" i="35"/>
  <c r="AD118" i="35" s="1"/>
  <c r="AE118" i="35" s="1"/>
  <c r="Z118" i="35"/>
  <c r="AA118" i="35" s="1"/>
  <c r="AB118" i="35" s="1"/>
  <c r="AV124" i="26"/>
  <c r="AV125" i="26" s="1"/>
  <c r="AV126" i="26" s="1"/>
  <c r="AV127" i="26" s="1"/>
  <c r="AV128" i="26" s="1"/>
  <c r="AV129" i="26" s="1"/>
  <c r="AV130" i="26" s="1"/>
  <c r="AV131" i="26" s="1"/>
  <c r="AV132" i="26" s="1"/>
  <c r="AV133" i="26" s="1"/>
  <c r="AV134" i="26" s="1"/>
  <c r="AV135" i="26" s="1"/>
  <c r="AV136" i="26" s="1"/>
  <c r="AV137" i="26" s="1"/>
  <c r="AV138" i="26" s="1"/>
  <c r="AV139" i="26" s="1"/>
  <c r="AV140" i="26" s="1"/>
  <c r="AV141" i="26" s="1"/>
  <c r="AV142" i="26" s="1"/>
  <c r="AV143" i="26" s="1"/>
  <c r="AV144" i="26" s="1"/>
  <c r="AV145" i="26" s="1"/>
  <c r="BD59" i="26"/>
  <c r="AQ88" i="26"/>
  <c r="AQ84" i="26"/>
  <c r="J85" i="26"/>
  <c r="J86" i="26"/>
  <c r="J87" i="26"/>
  <c r="J88" i="26"/>
  <c r="J89" i="26"/>
  <c r="J90" i="26"/>
  <c r="J91" i="26"/>
  <c r="J92" i="26"/>
  <c r="J93" i="26"/>
  <c r="J94" i="26"/>
  <c r="J95" i="26"/>
  <c r="E2" i="26"/>
  <c r="D2" i="26"/>
  <c r="AG110" i="35" l="1"/>
  <c r="AJ110" i="35" s="1"/>
  <c r="AL110" i="35" s="1"/>
  <c r="AN110" i="35" s="1"/>
  <c r="AG107" i="35"/>
  <c r="AG120" i="35"/>
  <c r="AH120" i="35"/>
  <c r="AI120" i="35" s="1"/>
  <c r="AH112" i="35"/>
  <c r="AI112" i="35" s="1"/>
  <c r="AG112" i="35"/>
  <c r="T107" i="35"/>
  <c r="S108" i="35"/>
  <c r="AG121" i="35"/>
  <c r="AH121" i="35"/>
  <c r="AI121" i="35" s="1"/>
  <c r="AG108" i="35"/>
  <c r="AG122" i="35"/>
  <c r="AH122" i="35"/>
  <c r="AI122" i="35" s="1"/>
  <c r="AH111" i="35"/>
  <c r="AI111" i="35" s="1"/>
  <c r="AG111" i="35"/>
  <c r="AG106" i="35"/>
  <c r="AH106" i="35"/>
  <c r="AG124" i="35"/>
  <c r="AH124" i="35"/>
  <c r="AI124" i="35" s="1"/>
  <c r="AG119" i="35"/>
  <c r="AH119" i="35"/>
  <c r="AI119" i="35" s="1"/>
  <c r="AG118" i="35"/>
  <c r="AH118" i="35"/>
  <c r="AI118" i="35" s="1"/>
  <c r="AH116" i="35"/>
  <c r="AI116" i="35" s="1"/>
  <c r="AG116" i="35"/>
  <c r="AV106" i="35"/>
  <c r="AG125" i="35"/>
  <c r="AH125" i="35"/>
  <c r="AI125" i="35" s="1"/>
  <c r="AG114" i="35"/>
  <c r="AH114" i="35"/>
  <c r="AI114" i="35" s="1"/>
  <c r="AH115" i="35"/>
  <c r="AI115" i="35" s="1"/>
  <c r="AG115" i="35"/>
  <c r="AG123" i="35"/>
  <c r="AH123" i="35"/>
  <c r="AI123" i="35" s="1"/>
  <c r="AG117" i="35"/>
  <c r="AH117" i="35"/>
  <c r="AI117" i="35" s="1"/>
  <c r="AG109" i="35"/>
  <c r="AH109" i="35"/>
  <c r="AI109" i="35" s="1"/>
  <c r="AG113" i="35"/>
  <c r="AH113" i="35"/>
  <c r="AI113" i="35" s="1"/>
  <c r="AQ92" i="26"/>
  <c r="AQ86" i="26"/>
  <c r="AQ85" i="26"/>
  <c r="AQ89" i="26"/>
  <c r="AQ93" i="26"/>
  <c r="AQ90" i="26"/>
  <c r="AQ94" i="26"/>
  <c r="AQ87" i="26"/>
  <c r="AQ91" i="26"/>
  <c r="AQ95" i="26"/>
  <c r="C7" i="26"/>
  <c r="BC48" i="2"/>
  <c r="AK113" i="35" l="1"/>
  <c r="AM113" i="35" s="1"/>
  <c r="AO113" i="35" s="1"/>
  <c r="AK110" i="35"/>
  <c r="AM110" i="35" s="1"/>
  <c r="AO110" i="35" s="1"/>
  <c r="AK109" i="35"/>
  <c r="AM109" i="35" s="1"/>
  <c r="AO109" i="35" s="1"/>
  <c r="AK123" i="35"/>
  <c r="AM123" i="35" s="1"/>
  <c r="AO123" i="35" s="1"/>
  <c r="AK114" i="35"/>
  <c r="AM114" i="35" s="1"/>
  <c r="AO114" i="35" s="1"/>
  <c r="AK120" i="35"/>
  <c r="AM120" i="35" s="1"/>
  <c r="AO120" i="35" s="1"/>
  <c r="AK116" i="35"/>
  <c r="AM116" i="35" s="1"/>
  <c r="AO116" i="35" s="1"/>
  <c r="AK115" i="35"/>
  <c r="AM115" i="35" s="1"/>
  <c r="AO115" i="35" s="1"/>
  <c r="AK118" i="35"/>
  <c r="AM118" i="35" s="1"/>
  <c r="AO118" i="35" s="1"/>
  <c r="AK124" i="35"/>
  <c r="AM124" i="35" s="1"/>
  <c r="AO124" i="35" s="1"/>
  <c r="AK112" i="35"/>
  <c r="AM112" i="35" s="1"/>
  <c r="AO112" i="35" s="1"/>
  <c r="AJ119" i="35"/>
  <c r="AL119" i="35" s="1"/>
  <c r="AN119" i="35" s="1"/>
  <c r="AJ122" i="35"/>
  <c r="AL122" i="35" s="1"/>
  <c r="AN122" i="35" s="1"/>
  <c r="AJ111" i="35"/>
  <c r="AL111" i="35" s="1"/>
  <c r="AN111" i="35" s="1"/>
  <c r="AJ117" i="35"/>
  <c r="AL117" i="35" s="1"/>
  <c r="AN117" i="35" s="1"/>
  <c r="AJ121" i="35"/>
  <c r="AL121" i="35" s="1"/>
  <c r="AN121" i="35" s="1"/>
  <c r="AJ125" i="35"/>
  <c r="AL125" i="35" s="1"/>
  <c r="AN125" i="35" s="1"/>
  <c r="AK122" i="35"/>
  <c r="AM122" i="35" s="1"/>
  <c r="AO122" i="35" s="1"/>
  <c r="AJ112" i="35"/>
  <c r="AL112" i="35" s="1"/>
  <c r="AN112" i="35" s="1"/>
  <c r="T108" i="35"/>
  <c r="S109" i="35"/>
  <c r="AJ109" i="35"/>
  <c r="AL109" i="35" s="1"/>
  <c r="AN109" i="35" s="1"/>
  <c r="AJ123" i="35"/>
  <c r="AL123" i="35" s="1"/>
  <c r="AN123" i="35" s="1"/>
  <c r="AJ114" i="35"/>
  <c r="AL114" i="35" s="1"/>
  <c r="AN114" i="35" s="1"/>
  <c r="AV107" i="35"/>
  <c r="AJ118" i="35"/>
  <c r="AL118" i="35" s="1"/>
  <c r="AN118" i="35" s="1"/>
  <c r="AJ124" i="35"/>
  <c r="AL124" i="35" s="1"/>
  <c r="AN124" i="35" s="1"/>
  <c r="R108" i="35"/>
  <c r="V107" i="35"/>
  <c r="AJ113" i="35"/>
  <c r="AL113" i="35" s="1"/>
  <c r="AN113" i="35" s="1"/>
  <c r="AK117" i="35"/>
  <c r="AM117" i="35" s="1"/>
  <c r="AO117" i="35" s="1"/>
  <c r="AJ115" i="35"/>
  <c r="AL115" i="35" s="1"/>
  <c r="AN115" i="35" s="1"/>
  <c r="AK125" i="35"/>
  <c r="AM125" i="35" s="1"/>
  <c r="AO125" i="35" s="1"/>
  <c r="AJ116" i="35"/>
  <c r="AL116" i="35" s="1"/>
  <c r="AN116" i="35" s="1"/>
  <c r="AK119" i="35"/>
  <c r="AM119" i="35" s="1"/>
  <c r="AO119" i="35" s="1"/>
  <c r="AK111" i="35"/>
  <c r="AM111" i="35" s="1"/>
  <c r="AO111" i="35" s="1"/>
  <c r="AK121" i="35"/>
  <c r="AM121" i="35" s="1"/>
  <c r="AO121" i="35" s="1"/>
  <c r="AJ120" i="35"/>
  <c r="AL120" i="35" s="1"/>
  <c r="AN120" i="35" s="1"/>
  <c r="AH107" i="35" l="1"/>
  <c r="R109" i="35"/>
  <c r="V108" i="35"/>
  <c r="X106" i="35" s="1"/>
  <c r="X101" i="35" s="1"/>
  <c r="AV108" i="35"/>
  <c r="S110" i="35"/>
  <c r="T109" i="35"/>
  <c r="R110" i="35" s="1"/>
  <c r="AR85" i="2"/>
  <c r="AR86" i="2" s="1"/>
  <c r="AR87" i="2" s="1"/>
  <c r="AR88" i="2" s="1"/>
  <c r="AR89" i="2" s="1"/>
  <c r="AR90" i="2" s="1"/>
  <c r="AR91" i="2" s="1"/>
  <c r="AR92" i="2" s="1"/>
  <c r="AR93" i="2" s="1"/>
  <c r="AR94" i="2" s="1"/>
  <c r="AR95" i="2" s="1"/>
  <c r="AR96" i="2" s="1"/>
  <c r="AR97" i="2" s="1"/>
  <c r="AR98" i="2" s="1"/>
  <c r="AR99" i="2" s="1"/>
  <c r="AR100" i="2" s="1"/>
  <c r="AR101" i="2" s="1"/>
  <c r="AR102" i="2" s="1"/>
  <c r="AR103" i="2" s="1"/>
  <c r="AR104" i="2" s="1"/>
  <c r="AR105" i="2" s="1"/>
  <c r="AR106" i="2" s="1"/>
  <c r="I76" i="2"/>
  <c r="I75" i="2"/>
  <c r="I74" i="2"/>
  <c r="I73" i="2"/>
  <c r="I72" i="2"/>
  <c r="I71" i="2"/>
  <c r="I70" i="2"/>
  <c r="I69" i="2"/>
  <c r="I68" i="2"/>
  <c r="I67" i="2"/>
  <c r="X107" i="35" l="1"/>
  <c r="AI107" i="35" s="1"/>
  <c r="AK107" i="35" s="1"/>
  <c r="AM107" i="35" s="1"/>
  <c r="AO107" i="35" s="1"/>
  <c r="C15" i="35"/>
  <c r="C3" i="35" s="1"/>
  <c r="AI106" i="35"/>
  <c r="T110" i="35"/>
  <c r="R111" i="35" s="1"/>
  <c r="S111" i="35"/>
  <c r="AV109" i="35"/>
  <c r="AH108" i="35"/>
  <c r="X108" i="35"/>
  <c r="E2" i="2"/>
  <c r="AI108" i="35" l="1"/>
  <c r="AJ108" i="35" s="1"/>
  <c r="AL108" i="35" s="1"/>
  <c r="AN108" i="35" s="1"/>
  <c r="AJ107" i="35"/>
  <c r="AL107" i="35" s="1"/>
  <c r="AN107" i="35" s="1"/>
  <c r="T111" i="35"/>
  <c r="R112" i="35" s="1"/>
  <c r="S112" i="35"/>
  <c r="AV110" i="35"/>
  <c r="AK106" i="35"/>
  <c r="AM106" i="35" s="1"/>
  <c r="AO106" i="35" s="1"/>
  <c r="AJ106" i="35"/>
  <c r="AL106" i="35" s="1"/>
  <c r="AN106" i="35" s="1"/>
  <c r="D3" i="35"/>
  <c r="AW109" i="35" s="1"/>
  <c r="AX109" i="35" s="1"/>
  <c r="D10" i="35"/>
  <c r="C10" i="35"/>
  <c r="F2" i="1"/>
  <c r="D2" i="1"/>
  <c r="AU133" i="1"/>
  <c r="AU134" i="1" s="1"/>
  <c r="AU135" i="1" s="1"/>
  <c r="AU136" i="1" s="1"/>
  <c r="AU137" i="1" s="1"/>
  <c r="AU138" i="1" s="1"/>
  <c r="AU139" i="1" s="1"/>
  <c r="AU140" i="1" s="1"/>
  <c r="AU141" i="1" s="1"/>
  <c r="AU142" i="1" s="1"/>
  <c r="AU143" i="1" s="1"/>
  <c r="AU144" i="1" s="1"/>
  <c r="AU145" i="1" s="1"/>
  <c r="AU146" i="1" s="1"/>
  <c r="AU147" i="1" s="1"/>
  <c r="AU148" i="1" s="1"/>
  <c r="AU149" i="1" s="1"/>
  <c r="AU150" i="1" s="1"/>
  <c r="AU151" i="1" s="1"/>
  <c r="AU152" i="1" s="1"/>
  <c r="AU153" i="1" s="1"/>
  <c r="AU154" i="1" s="1"/>
  <c r="AK108" i="35" l="1"/>
  <c r="AM108" i="35" s="1"/>
  <c r="AO108" i="35" s="1"/>
  <c r="S113" i="35"/>
  <c r="T112" i="35"/>
  <c r="R113" i="35" s="1"/>
  <c r="BT57" i="35"/>
  <c r="BG57" i="35"/>
  <c r="AW102" i="35"/>
  <c r="AW103" i="35"/>
  <c r="AX103" i="35" s="1"/>
  <c r="AW104" i="35"/>
  <c r="AX104" i="35" s="1"/>
  <c r="AW105" i="35"/>
  <c r="AX105" i="35" s="1"/>
  <c r="AW106" i="35"/>
  <c r="AX106" i="35" s="1"/>
  <c r="AW107" i="35"/>
  <c r="AX107" i="35" s="1"/>
  <c r="AW108" i="35"/>
  <c r="AX108" i="35" s="1"/>
  <c r="AV111" i="35"/>
  <c r="AW110" i="35"/>
  <c r="AX110" i="35" s="1"/>
  <c r="E2" i="1"/>
  <c r="AV112" i="35" l="1"/>
  <c r="AW111" i="35"/>
  <c r="AX111" i="35" s="1"/>
  <c r="AX102" i="35"/>
  <c r="BA99" i="35"/>
  <c r="D99" i="35" s="1"/>
  <c r="S114" i="35"/>
  <c r="T113" i="35"/>
  <c r="R114" i="35" s="1"/>
  <c r="J112" i="26"/>
  <c r="K112" i="26" s="1"/>
  <c r="L112" i="26" s="1"/>
  <c r="M112" i="26" s="1"/>
  <c r="N112" i="26" s="1"/>
  <c r="J111" i="26"/>
  <c r="K111" i="26" s="1"/>
  <c r="L111" i="26" s="1"/>
  <c r="M111" i="26" s="1"/>
  <c r="N111" i="26" s="1"/>
  <c r="T114" i="35" l="1"/>
  <c r="R115" i="35" s="1"/>
  <c r="S115" i="35"/>
  <c r="AV113" i="35"/>
  <c r="AW112" i="35"/>
  <c r="AX112" i="35" s="1"/>
  <c r="AV114" i="35" l="1"/>
  <c r="AW113" i="35"/>
  <c r="AX113" i="35" s="1"/>
  <c r="T115" i="35"/>
  <c r="R116" i="35" s="1"/>
  <c r="S116" i="35"/>
  <c r="AL80" i="26"/>
  <c r="AV115" i="35" l="1"/>
  <c r="AW114" i="35"/>
  <c r="AX114" i="35" s="1"/>
  <c r="S117" i="35"/>
  <c r="T116" i="35"/>
  <c r="R117" i="35" s="1"/>
  <c r="AM80" i="26"/>
  <c r="AN80" i="26" s="1"/>
  <c r="S118" i="35" l="1"/>
  <c r="T117" i="35"/>
  <c r="R118" i="35" s="1"/>
  <c r="AV116" i="35"/>
  <c r="AW115" i="35"/>
  <c r="AX115" i="35" s="1"/>
  <c r="AW116" i="35" l="1"/>
  <c r="S119" i="35"/>
  <c r="T118" i="35"/>
  <c r="R119" i="35" s="1"/>
  <c r="AX116" i="35" l="1"/>
  <c r="CI99" i="35"/>
  <c r="D101" i="35" s="1"/>
  <c r="S120" i="35"/>
  <c r="T119" i="35"/>
  <c r="R120" i="35" s="1"/>
  <c r="T120" i="35" l="1"/>
  <c r="R121" i="35" s="1"/>
  <c r="S121" i="35"/>
  <c r="T121" i="35" l="1"/>
  <c r="R122" i="35" s="1"/>
  <c r="S122" i="35"/>
  <c r="Q59" i="2"/>
  <c r="R59" i="2" s="1"/>
  <c r="S59" i="2" s="1"/>
  <c r="S123" i="35" l="1"/>
  <c r="T122" i="35"/>
  <c r="R123" i="35" s="1"/>
  <c r="U104" i="1"/>
  <c r="V104" i="1" s="1"/>
  <c r="W104" i="1" s="1"/>
  <c r="S124" i="35" l="1"/>
  <c r="T123" i="35"/>
  <c r="R124" i="35" s="1"/>
  <c r="S125" i="35" l="1"/>
  <c r="T125" i="35" s="1"/>
  <c r="T124" i="35"/>
  <c r="R125" i="35" s="1"/>
  <c r="AY102" i="35" l="1"/>
  <c r="AZ102" i="35" l="1"/>
  <c r="BG84" i="35" s="1"/>
  <c r="BG85" i="35" s="1"/>
  <c r="BG87" i="35" s="1"/>
  <c r="AY103" i="35"/>
  <c r="AY104" i="35" l="1"/>
  <c r="AZ103" i="35"/>
  <c r="BH84" i="35" s="1"/>
  <c r="AW123" i="26"/>
  <c r="J110" i="26"/>
  <c r="K110" i="26" s="1"/>
  <c r="L110" i="26" s="1"/>
  <c r="M110" i="26" s="1"/>
  <c r="N110" i="26" s="1"/>
  <c r="J109" i="26"/>
  <c r="K109" i="26" s="1"/>
  <c r="L109" i="26" s="1"/>
  <c r="M109" i="26" s="1"/>
  <c r="N109" i="26" s="1"/>
  <c r="J108" i="26"/>
  <c r="K108" i="26" s="1"/>
  <c r="L108" i="26" s="1"/>
  <c r="M108" i="26" s="1"/>
  <c r="N108" i="26" s="1"/>
  <c r="J107" i="26"/>
  <c r="K107" i="26" s="1"/>
  <c r="L107" i="26" s="1"/>
  <c r="M107" i="26" s="1"/>
  <c r="N107" i="26" s="1"/>
  <c r="J106" i="26"/>
  <c r="K106" i="26" s="1"/>
  <c r="L106" i="26" s="1"/>
  <c r="M106" i="26" s="1"/>
  <c r="N106" i="26" s="1"/>
  <c r="AH95" i="26"/>
  <c r="V95" i="26"/>
  <c r="AF95" i="26" s="1"/>
  <c r="K95" i="26"/>
  <c r="L95" i="26" s="1"/>
  <c r="M95" i="26" s="1"/>
  <c r="N95" i="26" s="1"/>
  <c r="AH94" i="26"/>
  <c r="V94" i="26"/>
  <c r="K94" i="26"/>
  <c r="L94" i="26" s="1"/>
  <c r="M94" i="26" s="1"/>
  <c r="N94" i="26" s="1"/>
  <c r="K93" i="26"/>
  <c r="L93" i="26" s="1"/>
  <c r="M93" i="26" s="1"/>
  <c r="N93" i="26" s="1"/>
  <c r="K92" i="26"/>
  <c r="L92" i="26" s="1"/>
  <c r="M92" i="26" s="1"/>
  <c r="N92" i="26" s="1"/>
  <c r="K91" i="26"/>
  <c r="L91" i="26" s="1"/>
  <c r="M91" i="26" s="1"/>
  <c r="N91" i="26" s="1"/>
  <c r="K90" i="26"/>
  <c r="L90" i="26" s="1"/>
  <c r="M90" i="26" s="1"/>
  <c r="N90" i="26" s="1"/>
  <c r="K89" i="26"/>
  <c r="L89" i="26" s="1"/>
  <c r="M89" i="26" s="1"/>
  <c r="N89" i="26" s="1"/>
  <c r="K88" i="26"/>
  <c r="L88" i="26" s="1"/>
  <c r="M88" i="26" s="1"/>
  <c r="N88" i="26" s="1"/>
  <c r="K87" i="26"/>
  <c r="L87" i="26" s="1"/>
  <c r="M87" i="26" s="1"/>
  <c r="N87" i="26" s="1"/>
  <c r="K86" i="26"/>
  <c r="L86" i="26" s="1"/>
  <c r="M86" i="26" s="1"/>
  <c r="N86" i="26" s="1"/>
  <c r="K85" i="26"/>
  <c r="L85" i="26" s="1"/>
  <c r="M85" i="26" s="1"/>
  <c r="N85" i="26" s="1"/>
  <c r="C84" i="26"/>
  <c r="BH85" i="35" l="1"/>
  <c r="BH87" i="35" s="1"/>
  <c r="BG80" i="35"/>
  <c r="BI80" i="35"/>
  <c r="AZ104" i="35"/>
  <c r="BI84" i="35" s="1"/>
  <c r="AY105" i="35"/>
  <c r="AW124" i="26"/>
  <c r="AW125" i="26" s="1"/>
  <c r="AG95" i="26"/>
  <c r="AL95" i="26" s="1"/>
  <c r="AM95" i="26" s="1"/>
  <c r="AN95" i="26" s="1"/>
  <c r="AS95" i="26" s="1"/>
  <c r="AU95" i="26" s="1"/>
  <c r="J84" i="26"/>
  <c r="P84" i="26" s="1"/>
  <c r="Q84" i="26" s="1"/>
  <c r="S84" i="26" s="1"/>
  <c r="T84" i="26" s="1"/>
  <c r="R85" i="26" s="1"/>
  <c r="BG26" i="26"/>
  <c r="O86" i="26"/>
  <c r="P86" i="26" s="1"/>
  <c r="Q86" i="26" s="1"/>
  <c r="AE95" i="26"/>
  <c r="AG87" i="26"/>
  <c r="O88" i="26"/>
  <c r="P88" i="26" s="1"/>
  <c r="Q88" i="26" s="1"/>
  <c r="O90" i="26"/>
  <c r="P90" i="26" s="1"/>
  <c r="Q90" i="26" s="1"/>
  <c r="AG91" i="26"/>
  <c r="AH91" i="26" s="1"/>
  <c r="O92" i="26"/>
  <c r="P92" i="26" s="1"/>
  <c r="Q92" i="26" s="1"/>
  <c r="AF94" i="26"/>
  <c r="AG93" i="26"/>
  <c r="AG85" i="26"/>
  <c r="AH85" i="26" s="1"/>
  <c r="AG89" i="26"/>
  <c r="O94" i="26"/>
  <c r="P94" i="26" s="1"/>
  <c r="Q94" i="26" s="1"/>
  <c r="AG86" i="26"/>
  <c r="AH86" i="26" s="1"/>
  <c r="O87" i="26"/>
  <c r="P87" i="26" s="1"/>
  <c r="Q87" i="26" s="1"/>
  <c r="AG90" i="26"/>
  <c r="AH90" i="26" s="1"/>
  <c r="O91" i="26"/>
  <c r="P91" i="26" s="1"/>
  <c r="Q91" i="26" s="1"/>
  <c r="AG94" i="26"/>
  <c r="O95" i="26"/>
  <c r="P95" i="26" s="1"/>
  <c r="Q95" i="26" s="1"/>
  <c r="AG84" i="26"/>
  <c r="O85" i="26"/>
  <c r="P85" i="26" s="1"/>
  <c r="Q85" i="26" s="1"/>
  <c r="AG88" i="26"/>
  <c r="AH88" i="26" s="1"/>
  <c r="O89" i="26"/>
  <c r="P89" i="26" s="1"/>
  <c r="Q89" i="26" s="1"/>
  <c r="AG92" i="26"/>
  <c r="AH92" i="26" s="1"/>
  <c r="O93" i="26"/>
  <c r="P93" i="26" s="1"/>
  <c r="Q93" i="26" s="1"/>
  <c r="AE94" i="26"/>
  <c r="AS84" i="2"/>
  <c r="AS85" i="2" s="1"/>
  <c r="AS86" i="2" s="1"/>
  <c r="D74" i="26" l="1"/>
  <c r="BC74" i="26"/>
  <c r="BI85" i="35"/>
  <c r="BI87" i="35" s="1"/>
  <c r="BG79" i="35"/>
  <c r="BK79" i="35"/>
  <c r="AY106" i="35"/>
  <c r="AZ105" i="35"/>
  <c r="BJ84" i="35" s="1"/>
  <c r="AI95" i="26"/>
  <c r="AJ95" i="26" s="1"/>
  <c r="AK95" i="26" s="1"/>
  <c r="AR95" i="26" s="1"/>
  <c r="V84" i="26"/>
  <c r="AE84" i="26" s="1"/>
  <c r="AL93" i="26"/>
  <c r="AM93" i="26" s="1"/>
  <c r="AN93" i="26" s="1"/>
  <c r="AH93" i="26"/>
  <c r="AL89" i="26"/>
  <c r="AM89" i="26" s="1"/>
  <c r="AN89" i="26" s="1"/>
  <c r="AH89" i="26"/>
  <c r="AL87" i="26"/>
  <c r="AM87" i="26" s="1"/>
  <c r="AN87" i="26" s="1"/>
  <c r="AH87" i="26"/>
  <c r="AI93" i="26"/>
  <c r="AJ93" i="26" s="1"/>
  <c r="AK93" i="26" s="1"/>
  <c r="AI87" i="26"/>
  <c r="AJ87" i="26" s="1"/>
  <c r="AK87" i="26" s="1"/>
  <c r="AI89" i="26"/>
  <c r="AJ89" i="26" s="1"/>
  <c r="AK89" i="26" s="1"/>
  <c r="AL91" i="26"/>
  <c r="AM91" i="26" s="1"/>
  <c r="AN91" i="26" s="1"/>
  <c r="AI91" i="26"/>
  <c r="AJ91" i="26" s="1"/>
  <c r="AK91" i="26" s="1"/>
  <c r="AL85" i="26"/>
  <c r="AM85" i="26" s="1"/>
  <c r="AN85" i="26" s="1"/>
  <c r="AI85" i="26"/>
  <c r="AJ85" i="26" s="1"/>
  <c r="AK85" i="26" s="1"/>
  <c r="AI94" i="26"/>
  <c r="AJ94" i="26" s="1"/>
  <c r="AK94" i="26" s="1"/>
  <c r="AL94" i="26"/>
  <c r="AM94" i="26" s="1"/>
  <c r="AN94" i="26" s="1"/>
  <c r="AI86" i="26"/>
  <c r="AJ86" i="26" s="1"/>
  <c r="AK86" i="26" s="1"/>
  <c r="AL86" i="26"/>
  <c r="AM86" i="26" s="1"/>
  <c r="AN86" i="26" s="1"/>
  <c r="AI88" i="26"/>
  <c r="AJ88" i="26" s="1"/>
  <c r="AK88" i="26" s="1"/>
  <c r="AL88" i="26"/>
  <c r="AM88" i="26" s="1"/>
  <c r="AN88" i="26" s="1"/>
  <c r="AW126" i="26"/>
  <c r="S85" i="26"/>
  <c r="AI90" i="26"/>
  <c r="AJ90" i="26" s="1"/>
  <c r="AK90" i="26" s="1"/>
  <c r="AL90" i="26"/>
  <c r="AM90" i="26" s="1"/>
  <c r="AN90" i="26" s="1"/>
  <c r="AL92" i="26"/>
  <c r="AM92" i="26" s="1"/>
  <c r="AN92" i="26" s="1"/>
  <c r="AI92" i="26"/>
  <c r="AJ92" i="26" s="1"/>
  <c r="AK92" i="26" s="1"/>
  <c r="AI84" i="26"/>
  <c r="AJ84" i="26" s="1"/>
  <c r="AK84" i="26" s="1"/>
  <c r="AL84" i="26"/>
  <c r="AM84" i="26" s="1"/>
  <c r="AN84" i="26" s="1"/>
  <c r="AH84" i="26"/>
  <c r="AS87" i="2"/>
  <c r="BF15" i="2"/>
  <c r="D2" i="2"/>
  <c r="AZ106" i="35" l="1"/>
  <c r="BK84" i="35" s="1"/>
  <c r="AY107" i="35"/>
  <c r="BG78" i="35"/>
  <c r="BJ85" i="35"/>
  <c r="BJ87" i="35" s="1"/>
  <c r="BM78" i="35"/>
  <c r="AR84" i="26"/>
  <c r="AH96" i="26"/>
  <c r="C105" i="26" s="1"/>
  <c r="AR89" i="26"/>
  <c r="AR87" i="26"/>
  <c r="AR93" i="26"/>
  <c r="AR91" i="26"/>
  <c r="AR85" i="26"/>
  <c r="S86" i="26"/>
  <c r="T85" i="26"/>
  <c r="AS84" i="26"/>
  <c r="AR94" i="26"/>
  <c r="AS94" i="26"/>
  <c r="AU94" i="26" s="1"/>
  <c r="AW127" i="26"/>
  <c r="AR92" i="26"/>
  <c r="AR90" i="26"/>
  <c r="AR88" i="26"/>
  <c r="AR86" i="26"/>
  <c r="AS88" i="2"/>
  <c r="AY108" i="35" l="1"/>
  <c r="AZ107" i="35"/>
  <c r="BL84" i="35" s="1"/>
  <c r="BK85" i="35"/>
  <c r="BK87" i="35" s="1"/>
  <c r="BG77" i="35"/>
  <c r="BO77" i="35"/>
  <c r="AG112" i="26"/>
  <c r="O112" i="26"/>
  <c r="P112" i="26" s="1"/>
  <c r="Q112" i="26" s="1"/>
  <c r="AG111" i="26"/>
  <c r="O111" i="26"/>
  <c r="P111" i="26" s="1"/>
  <c r="Q111" i="26" s="1"/>
  <c r="X84" i="26"/>
  <c r="Z84" i="26" s="1"/>
  <c r="R86" i="26"/>
  <c r="V85" i="26"/>
  <c r="T86" i="26"/>
  <c r="S87" i="26"/>
  <c r="AW128" i="26"/>
  <c r="O110" i="26"/>
  <c r="P110" i="26" s="1"/>
  <c r="Q110" i="26" s="1"/>
  <c r="O109" i="26"/>
  <c r="P109" i="26" s="1"/>
  <c r="Q109" i="26" s="1"/>
  <c r="O108" i="26"/>
  <c r="P108" i="26" s="1"/>
  <c r="Q108" i="26" s="1"/>
  <c r="AG109" i="26"/>
  <c r="AG110" i="26"/>
  <c r="AG107" i="26"/>
  <c r="O106" i="26"/>
  <c r="P106" i="26" s="1"/>
  <c r="Q106" i="26" s="1"/>
  <c r="O105" i="26"/>
  <c r="P105" i="26" s="1"/>
  <c r="J105" i="26"/>
  <c r="K105" i="26" s="1"/>
  <c r="L105" i="26" s="1"/>
  <c r="M105" i="26" s="1"/>
  <c r="N105" i="26" s="1"/>
  <c r="AG106" i="26"/>
  <c r="AG108" i="26"/>
  <c r="O107" i="26"/>
  <c r="P107" i="26" s="1"/>
  <c r="Q107" i="26" s="1"/>
  <c r="AG105" i="26"/>
  <c r="AS89" i="2"/>
  <c r="BL85" i="35" l="1"/>
  <c r="BL87" i="35" s="1"/>
  <c r="BP76" i="35"/>
  <c r="BP82" i="35" s="1"/>
  <c r="BH76" i="35"/>
  <c r="BH82" i="35" s="1"/>
  <c r="AZ108" i="35"/>
  <c r="BM84" i="35" s="1"/>
  <c r="BG75" i="35" s="1"/>
  <c r="AY109" i="35"/>
  <c r="AI111" i="26"/>
  <c r="AJ111" i="26" s="1"/>
  <c r="AK111" i="26" s="1"/>
  <c r="AL111" i="26"/>
  <c r="AM111" i="26" s="1"/>
  <c r="AN111" i="26" s="1"/>
  <c r="AI112" i="26"/>
  <c r="AJ112" i="26" s="1"/>
  <c r="AK112" i="26" s="1"/>
  <c r="AL112" i="26"/>
  <c r="AM112" i="26" s="1"/>
  <c r="AN112" i="26" s="1"/>
  <c r="AE85" i="26"/>
  <c r="AS85" i="26"/>
  <c r="R87" i="26"/>
  <c r="V86" i="26"/>
  <c r="Q105" i="26"/>
  <c r="S105" i="26" s="1"/>
  <c r="T105" i="26" s="1"/>
  <c r="R106" i="26" s="1"/>
  <c r="S106" i="26" s="1"/>
  <c r="S88" i="26"/>
  <c r="T87" i="26"/>
  <c r="AI107" i="26"/>
  <c r="AJ107" i="26" s="1"/>
  <c r="AK107" i="26" s="1"/>
  <c r="AL107" i="26"/>
  <c r="AM107" i="26" s="1"/>
  <c r="AN107" i="26" s="1"/>
  <c r="AI105" i="26"/>
  <c r="AJ105" i="26" s="1"/>
  <c r="AK105" i="26" s="1"/>
  <c r="AL105" i="26"/>
  <c r="AM105" i="26" s="1"/>
  <c r="AN105" i="26" s="1"/>
  <c r="AI106" i="26"/>
  <c r="AJ106" i="26" s="1"/>
  <c r="AK106" i="26" s="1"/>
  <c r="AL106" i="26"/>
  <c r="AM106" i="26" s="1"/>
  <c r="AN106" i="26" s="1"/>
  <c r="AI110" i="26"/>
  <c r="AJ110" i="26" s="1"/>
  <c r="AK110" i="26" s="1"/>
  <c r="AL110" i="26"/>
  <c r="AM110" i="26" s="1"/>
  <c r="AN110" i="26" s="1"/>
  <c r="AI109" i="26"/>
  <c r="AJ109" i="26" s="1"/>
  <c r="AK109" i="26" s="1"/>
  <c r="AL109" i="26"/>
  <c r="AM109" i="26" s="1"/>
  <c r="AN109" i="26" s="1"/>
  <c r="AI108" i="26"/>
  <c r="AJ108" i="26" s="1"/>
  <c r="AK108" i="26" s="1"/>
  <c r="AL108" i="26"/>
  <c r="AM108" i="26" s="1"/>
  <c r="AN108" i="26" s="1"/>
  <c r="AW129" i="26"/>
  <c r="AS90" i="2"/>
  <c r="BR75" i="35" l="1"/>
  <c r="BM85" i="35"/>
  <c r="BM87" i="35" s="1"/>
  <c r="AY110" i="35"/>
  <c r="AZ109" i="35"/>
  <c r="BN84" i="35" s="1"/>
  <c r="BU74" i="35" s="1"/>
  <c r="AR111" i="26"/>
  <c r="AR112" i="26"/>
  <c r="V105" i="26"/>
  <c r="R88" i="26"/>
  <c r="V87" i="26"/>
  <c r="AE86" i="26"/>
  <c r="AS86" i="26"/>
  <c r="AR109" i="26"/>
  <c r="AR106" i="26"/>
  <c r="AR107" i="26"/>
  <c r="AR108" i="26"/>
  <c r="AR110" i="26"/>
  <c r="AR105" i="26"/>
  <c r="S107" i="26"/>
  <c r="T106" i="26"/>
  <c r="S89" i="26"/>
  <c r="T88" i="26"/>
  <c r="AW130" i="26"/>
  <c r="AS91" i="2"/>
  <c r="AZ110" i="35" l="1"/>
  <c r="BO84" i="35" s="1"/>
  <c r="BI73" i="35" s="1"/>
  <c r="AY111" i="35"/>
  <c r="BG74" i="35"/>
  <c r="BN85" i="35"/>
  <c r="BN87" i="35" s="1"/>
  <c r="AS105" i="26"/>
  <c r="R89" i="26"/>
  <c r="V88" i="26"/>
  <c r="AE87" i="26"/>
  <c r="AS87" i="26"/>
  <c r="AW131" i="26"/>
  <c r="T89" i="26"/>
  <c r="S90" i="26"/>
  <c r="S108" i="26"/>
  <c r="T107" i="26"/>
  <c r="V106" i="26"/>
  <c r="R107" i="26"/>
  <c r="AS92" i="2"/>
  <c r="AY112" i="35" l="1"/>
  <c r="AZ111" i="35"/>
  <c r="BP84" i="35" s="1"/>
  <c r="BO85" i="35"/>
  <c r="BO87" i="35" s="1"/>
  <c r="BU73" i="35"/>
  <c r="AE88" i="26"/>
  <c r="AS88" i="26"/>
  <c r="R90" i="26"/>
  <c r="V89" i="26"/>
  <c r="T90" i="26"/>
  <c r="S91" i="26"/>
  <c r="V107" i="26"/>
  <c r="R108" i="26"/>
  <c r="S109" i="26"/>
  <c r="T108" i="26"/>
  <c r="AS106" i="26"/>
  <c r="AW132" i="26"/>
  <c r="AS93" i="2"/>
  <c r="BK72" i="35" l="1"/>
  <c r="BU72" i="35"/>
  <c r="BP85" i="35"/>
  <c r="BP87" i="35" s="1"/>
  <c r="AZ112" i="35"/>
  <c r="BQ84" i="35" s="1"/>
  <c r="AY113" i="35"/>
  <c r="R91" i="26"/>
  <c r="V90" i="26"/>
  <c r="AE89" i="26"/>
  <c r="AS89" i="26"/>
  <c r="V108" i="26"/>
  <c r="R109" i="26"/>
  <c r="S92" i="26"/>
  <c r="T91" i="26"/>
  <c r="AW133" i="26"/>
  <c r="AS107" i="26"/>
  <c r="S110" i="26"/>
  <c r="S111" i="26" s="1"/>
  <c r="T109" i="26"/>
  <c r="AS94" i="2"/>
  <c r="BU71" i="35" l="1"/>
  <c r="BM71" i="35"/>
  <c r="BQ85" i="35"/>
  <c r="BQ87" i="35" s="1"/>
  <c r="AY114" i="35"/>
  <c r="AZ113" i="35"/>
  <c r="BR84" i="35" s="1"/>
  <c r="T111" i="26"/>
  <c r="S112" i="26"/>
  <c r="T112" i="26" s="1"/>
  <c r="V112" i="26" s="1"/>
  <c r="R92" i="26"/>
  <c r="V91" i="26"/>
  <c r="AE90" i="26"/>
  <c r="AS90" i="26"/>
  <c r="V109" i="26"/>
  <c r="R110" i="26"/>
  <c r="S93" i="26"/>
  <c r="T92" i="26"/>
  <c r="T110" i="26"/>
  <c r="R111" i="26" s="1"/>
  <c r="AW134" i="26"/>
  <c r="AS108" i="26"/>
  <c r="AS95" i="2"/>
  <c r="BO70" i="35" l="1"/>
  <c r="BU70" i="35"/>
  <c r="AZ114" i="35"/>
  <c r="BS84" i="35" s="1"/>
  <c r="BR69" i="35" s="1"/>
  <c r="BR82" i="35" s="1"/>
  <c r="AY115" i="35"/>
  <c r="BG82" i="35"/>
  <c r="BR85" i="35"/>
  <c r="BR87" i="35" s="1"/>
  <c r="AF112" i="26"/>
  <c r="AS112" i="26"/>
  <c r="V111" i="26"/>
  <c r="R112" i="26"/>
  <c r="AE91" i="26"/>
  <c r="AS91" i="26"/>
  <c r="R93" i="26"/>
  <c r="V92" i="26"/>
  <c r="AS109" i="26"/>
  <c r="AW135" i="26"/>
  <c r="T93" i="26"/>
  <c r="S94" i="26"/>
  <c r="V110" i="26"/>
  <c r="AS96" i="2"/>
  <c r="BT69" i="35" l="1"/>
  <c r="AY116" i="35"/>
  <c r="AZ115" i="35"/>
  <c r="BT84" i="35" s="1"/>
  <c r="BS85" i="35"/>
  <c r="BS87" i="35" s="1"/>
  <c r="BI82" i="35"/>
  <c r="AF106" i="26"/>
  <c r="AF105" i="26"/>
  <c r="AF111" i="26"/>
  <c r="AS111" i="26"/>
  <c r="AU112" i="26"/>
  <c r="R94" i="26"/>
  <c r="V93" i="26"/>
  <c r="AF92" i="26" s="1"/>
  <c r="AE92" i="26"/>
  <c r="AS92" i="26"/>
  <c r="T94" i="26"/>
  <c r="R95" i="26" s="1"/>
  <c r="S95" i="26"/>
  <c r="T95" i="26" s="1"/>
  <c r="AW136" i="26"/>
  <c r="AS110" i="26"/>
  <c r="AS97" i="2"/>
  <c r="BS68" i="35" l="1"/>
  <c r="BS82" i="35" s="1"/>
  <c r="BU68" i="35"/>
  <c r="BT85" i="35"/>
  <c r="BT87" i="35" s="1"/>
  <c r="BK82" i="35"/>
  <c r="AZ116" i="35"/>
  <c r="BU84" i="35" s="1"/>
  <c r="AU111" i="26"/>
  <c r="AW111" i="26" s="1"/>
  <c r="AY111" i="26" s="1"/>
  <c r="AW112" i="26"/>
  <c r="AY112" i="26" s="1"/>
  <c r="AV112" i="26"/>
  <c r="AX112" i="26" s="1"/>
  <c r="AZ112" i="26" s="1"/>
  <c r="AF86" i="26"/>
  <c r="AU86" i="26" s="1"/>
  <c r="AF90" i="26"/>
  <c r="AU90" i="26" s="1"/>
  <c r="AF88" i="26"/>
  <c r="AU88" i="26" s="1"/>
  <c r="AF89" i="26"/>
  <c r="AU89" i="26" s="1"/>
  <c r="AF87" i="26"/>
  <c r="AU87" i="26" s="1"/>
  <c r="AU92" i="26"/>
  <c r="AE93" i="26"/>
  <c r="AF93" i="26"/>
  <c r="AS93" i="26"/>
  <c r="AF85" i="26"/>
  <c r="AU85" i="26" s="1"/>
  <c r="AF84" i="26"/>
  <c r="AU84" i="26" s="1"/>
  <c r="AF91" i="26"/>
  <c r="AU91" i="26" s="1"/>
  <c r="AW137" i="26"/>
  <c r="AS98" i="2"/>
  <c r="BU85" i="35" l="1"/>
  <c r="BU87" i="35" s="1"/>
  <c r="BM82" i="35"/>
  <c r="AV111" i="26"/>
  <c r="AX111" i="26" s="1"/>
  <c r="AZ111" i="26" s="1"/>
  <c r="BA111" i="26"/>
  <c r="BA112" i="26"/>
  <c r="AU93" i="26"/>
  <c r="AD92" i="26"/>
  <c r="AC92" i="26" s="1"/>
  <c r="AD91" i="26"/>
  <c r="AC91" i="26" s="1"/>
  <c r="AD89" i="26"/>
  <c r="AC89" i="26" s="1"/>
  <c r="AD95" i="26"/>
  <c r="AC95" i="26" s="1"/>
  <c r="AD86" i="26"/>
  <c r="AC86" i="26" s="1"/>
  <c r="AD87" i="26"/>
  <c r="AC87" i="26" s="1"/>
  <c r="AD90" i="26"/>
  <c r="AC90" i="26" s="1"/>
  <c r="AD93" i="26"/>
  <c r="AC93" i="26" s="1"/>
  <c r="AD94" i="26"/>
  <c r="AC94" i="26" s="1"/>
  <c r="AD88" i="26"/>
  <c r="AC88" i="26" s="1"/>
  <c r="AD84" i="26"/>
  <c r="AC84" i="26" s="1"/>
  <c r="AD85" i="26"/>
  <c r="AC85" i="26" s="1"/>
  <c r="AW138" i="26"/>
  <c r="AS99" i="2"/>
  <c r="BO82" i="35" l="1"/>
  <c r="AC83" i="26"/>
  <c r="AA84" i="26" s="1"/>
  <c r="AW139" i="26"/>
  <c r="AS100" i="2"/>
  <c r="AW140" i="26" l="1"/>
  <c r="AS101" i="2"/>
  <c r="BT82" i="35" l="1"/>
  <c r="AW141" i="26"/>
  <c r="AS102" i="2"/>
  <c r="BU82" i="35" l="1"/>
  <c r="AW142" i="26"/>
  <c r="AS103" i="2"/>
  <c r="AW143" i="26" l="1"/>
  <c r="AS104" i="2"/>
  <c r="AW144" i="26" l="1"/>
  <c r="AS105" i="2"/>
  <c r="AW145" i="26" l="1"/>
  <c r="AS106" i="2"/>
  <c r="T101" i="26" l="1"/>
  <c r="AF107" i="26" l="1"/>
  <c r="AU107" i="26" s="1"/>
  <c r="AV107" i="26" s="1"/>
  <c r="AX107" i="26" s="1"/>
  <c r="AZ107" i="26" s="1"/>
  <c r="AF109" i="26"/>
  <c r="AU109" i="26" s="1"/>
  <c r="AW109" i="26" s="1"/>
  <c r="AY109" i="26" s="1"/>
  <c r="AU105" i="26"/>
  <c r="AO93" i="26"/>
  <c r="AT93" i="26" s="1"/>
  <c r="AO95" i="26"/>
  <c r="AT95" i="26" s="1"/>
  <c r="AO88" i="26"/>
  <c r="AT88" i="26" s="1"/>
  <c r="AO91" i="26"/>
  <c r="AT91" i="26" s="1"/>
  <c r="AO90" i="26"/>
  <c r="AT90" i="26" s="1"/>
  <c r="AO94" i="26"/>
  <c r="AT94" i="26" s="1"/>
  <c r="AO92" i="26"/>
  <c r="AT92" i="26" s="1"/>
  <c r="AO89" i="26"/>
  <c r="AT89" i="26" s="1"/>
  <c r="AO86" i="26"/>
  <c r="AT86" i="26" s="1"/>
  <c r="AO85" i="26"/>
  <c r="AT85" i="26" s="1"/>
  <c r="AO87" i="26"/>
  <c r="AT87" i="26" s="1"/>
  <c r="AO84" i="26"/>
  <c r="AO80" i="26" s="1"/>
  <c r="AF108" i="26"/>
  <c r="AU108" i="26" s="1"/>
  <c r="AF110" i="26"/>
  <c r="AU110" i="26" s="1"/>
  <c r="AU106" i="26"/>
  <c r="C9" i="26" l="1"/>
  <c r="D3" i="26" s="1"/>
  <c r="AX123" i="26" s="1"/>
  <c r="AT84" i="26"/>
  <c r="AW107" i="26"/>
  <c r="AY107" i="26" s="1"/>
  <c r="AV109" i="26"/>
  <c r="AX109" i="26" s="1"/>
  <c r="AZ109" i="26" s="1"/>
  <c r="AW85" i="26"/>
  <c r="AY85" i="26" s="1"/>
  <c r="BA85" i="26" s="1"/>
  <c r="AV85" i="26"/>
  <c r="AX85" i="26" s="1"/>
  <c r="AZ85" i="26" s="1"/>
  <c r="AW95" i="26"/>
  <c r="AY95" i="26" s="1"/>
  <c r="BA95" i="26" s="1"/>
  <c r="AV95" i="26"/>
  <c r="AX95" i="26" s="1"/>
  <c r="AZ95" i="26" s="1"/>
  <c r="AW106" i="26"/>
  <c r="AY106" i="26" s="1"/>
  <c r="AV106" i="26"/>
  <c r="AX106" i="26" s="1"/>
  <c r="AZ106" i="26" s="1"/>
  <c r="AW86" i="26"/>
  <c r="AY86" i="26" s="1"/>
  <c r="BA86" i="26" s="1"/>
  <c r="AV86" i="26"/>
  <c r="AX86" i="26" s="1"/>
  <c r="AZ86" i="26" s="1"/>
  <c r="AW90" i="26"/>
  <c r="AY90" i="26" s="1"/>
  <c r="BA90" i="26" s="1"/>
  <c r="AV90" i="26"/>
  <c r="AX90" i="26" s="1"/>
  <c r="AZ90" i="26" s="1"/>
  <c r="AW93" i="26"/>
  <c r="AY93" i="26" s="1"/>
  <c r="BA93" i="26" s="1"/>
  <c r="AV93" i="26"/>
  <c r="AX93" i="26" s="1"/>
  <c r="AZ93" i="26" s="1"/>
  <c r="AW110" i="26"/>
  <c r="AY110" i="26" s="1"/>
  <c r="AV110" i="26"/>
  <c r="AX110" i="26" s="1"/>
  <c r="AZ110" i="26" s="1"/>
  <c r="AW89" i="26"/>
  <c r="AY89" i="26" s="1"/>
  <c r="BA89" i="26" s="1"/>
  <c r="AV89" i="26"/>
  <c r="AX89" i="26" s="1"/>
  <c r="AZ89" i="26" s="1"/>
  <c r="AW91" i="26"/>
  <c r="AY91" i="26" s="1"/>
  <c r="BA91" i="26" s="1"/>
  <c r="AV91" i="26"/>
  <c r="AX91" i="26" s="1"/>
  <c r="AZ91" i="26" s="1"/>
  <c r="AW105" i="26"/>
  <c r="AY105" i="26" s="1"/>
  <c r="AV105" i="26"/>
  <c r="AX105" i="26" s="1"/>
  <c r="AZ105" i="26" s="1"/>
  <c r="AW87" i="26"/>
  <c r="AY87" i="26" s="1"/>
  <c r="BA87" i="26" s="1"/>
  <c r="AV87" i="26"/>
  <c r="AX87" i="26" s="1"/>
  <c r="AZ87" i="26" s="1"/>
  <c r="AW92" i="26"/>
  <c r="AY92" i="26" s="1"/>
  <c r="BA92" i="26" s="1"/>
  <c r="AV92" i="26"/>
  <c r="AX92" i="26" s="1"/>
  <c r="AZ92" i="26" s="1"/>
  <c r="AW88" i="26"/>
  <c r="AY88" i="26" s="1"/>
  <c r="BA88" i="26" s="1"/>
  <c r="AV88" i="26"/>
  <c r="AX88" i="26" s="1"/>
  <c r="AZ88" i="26" s="1"/>
  <c r="AW108" i="26"/>
  <c r="AY108" i="26" s="1"/>
  <c r="AV108" i="26"/>
  <c r="AX108" i="26" s="1"/>
  <c r="AZ108" i="26" s="1"/>
  <c r="AW94" i="26"/>
  <c r="AY94" i="26" s="1"/>
  <c r="BA94" i="26" s="1"/>
  <c r="AV94" i="26"/>
  <c r="AX94" i="26" s="1"/>
  <c r="AZ94" i="26" s="1"/>
  <c r="BA109" i="26"/>
  <c r="C3" i="26" l="1"/>
  <c r="BA106" i="26"/>
  <c r="BA107" i="26"/>
  <c r="BA110" i="26"/>
  <c r="BA105" i="26"/>
  <c r="BA108" i="26"/>
  <c r="D22" i="26"/>
  <c r="C22" i="26"/>
  <c r="AW84" i="26"/>
  <c r="AY84" i="26" s="1"/>
  <c r="BA84" i="26" s="1"/>
  <c r="AV84" i="26"/>
  <c r="AX84" i="26" s="1"/>
  <c r="AZ84" i="26" s="1"/>
  <c r="BZ29" i="26" l="1"/>
  <c r="BE29" i="26"/>
  <c r="AX124" i="26"/>
  <c r="AY124" i="26" s="1"/>
  <c r="AX125" i="26"/>
  <c r="AY125" i="26" s="1"/>
  <c r="AX126" i="26"/>
  <c r="AY126" i="26" s="1"/>
  <c r="AX127" i="26"/>
  <c r="AY127" i="26" s="1"/>
  <c r="AX128" i="26"/>
  <c r="AY128" i="26" s="1"/>
  <c r="AX129" i="26"/>
  <c r="AY129" i="26" s="1"/>
  <c r="AX130" i="26"/>
  <c r="AY130" i="26" s="1"/>
  <c r="AX131" i="26"/>
  <c r="AY131" i="26" s="1"/>
  <c r="AX132" i="26"/>
  <c r="AY132" i="26" s="1"/>
  <c r="AX133" i="26"/>
  <c r="AY133" i="26" s="1"/>
  <c r="AX134" i="26"/>
  <c r="AY134" i="26" s="1"/>
  <c r="AX135" i="26"/>
  <c r="AY135" i="26" s="1"/>
  <c r="AX136" i="26"/>
  <c r="AY136" i="26" s="1"/>
  <c r="AX137" i="26"/>
  <c r="AY137" i="26" s="1"/>
  <c r="AX138" i="26"/>
  <c r="AY138" i="26" s="1"/>
  <c r="AX139" i="26"/>
  <c r="AY139" i="26" s="1"/>
  <c r="AX140" i="26"/>
  <c r="AY140" i="26" s="1"/>
  <c r="AX141" i="26"/>
  <c r="AY141" i="26" s="1"/>
  <c r="AX142" i="26"/>
  <c r="AY142" i="26" s="1"/>
  <c r="AX143" i="26"/>
  <c r="AY143" i="26" s="1"/>
  <c r="AX144" i="26"/>
  <c r="AY144" i="26" s="1"/>
  <c r="AX145" i="26"/>
  <c r="AY145" i="26" l="1"/>
  <c r="CE62" i="26"/>
  <c r="D77" i="26" s="1"/>
  <c r="AY123" i="26"/>
  <c r="BB62" i="26"/>
  <c r="D75" i="26" s="1"/>
  <c r="AZ123" i="26" l="1"/>
  <c r="BA123" i="26" s="1"/>
  <c r="BE56" i="26" s="1"/>
  <c r="BE57" i="26" s="1"/>
  <c r="BE59" i="26" s="1"/>
  <c r="AZ124" i="26" l="1"/>
  <c r="BA124" i="26" s="1"/>
  <c r="BF56" i="26" s="1"/>
  <c r="AZ125" i="26" l="1"/>
  <c r="AZ126" i="26" s="1"/>
  <c r="BG52" i="26"/>
  <c r="BE52" i="26"/>
  <c r="BF57" i="26"/>
  <c r="BF59" i="26" s="1"/>
  <c r="BA125" i="26" l="1"/>
  <c r="BG56" i="26" s="1"/>
  <c r="BI51" i="26" s="1"/>
  <c r="BA126" i="26"/>
  <c r="BH56" i="26" s="1"/>
  <c r="AZ127" i="26"/>
  <c r="BG57" i="26" l="1"/>
  <c r="BG59" i="26" s="1"/>
  <c r="BE51" i="26"/>
  <c r="BK50" i="26"/>
  <c r="BE50" i="26"/>
  <c r="BH57" i="26"/>
  <c r="BH59" i="26" s="1"/>
  <c r="BA127" i="26"/>
  <c r="BI56" i="26" s="1"/>
  <c r="AZ128" i="26"/>
  <c r="BI57" i="26" l="1"/>
  <c r="BI59" i="26" s="1"/>
  <c r="BM49" i="26"/>
  <c r="BE49" i="26"/>
  <c r="BA128" i="26"/>
  <c r="BJ56" i="26" s="1"/>
  <c r="AZ129" i="26"/>
  <c r="BJ57" i="26" l="1"/>
  <c r="BJ59" i="26" s="1"/>
  <c r="BN48" i="26"/>
  <c r="BF48" i="26"/>
  <c r="BF54" i="26" s="1"/>
  <c r="BA129" i="26"/>
  <c r="BK56" i="26" s="1"/>
  <c r="AZ130" i="26"/>
  <c r="BN47" i="26" l="1"/>
  <c r="BN54" i="26" s="1"/>
  <c r="BH47" i="26"/>
  <c r="BH54" i="26" s="1"/>
  <c r="BK57" i="26"/>
  <c r="BK59" i="26" s="1"/>
  <c r="AZ131" i="26"/>
  <c r="BA130" i="26"/>
  <c r="BL56" i="26" s="1"/>
  <c r="BE46" i="26" l="1"/>
  <c r="BL57" i="26"/>
  <c r="BL59" i="26" s="1"/>
  <c r="BS46" i="26"/>
  <c r="BA131" i="26"/>
  <c r="BM56" i="26" s="1"/>
  <c r="AZ132" i="26"/>
  <c r="BM57" i="26" l="1"/>
  <c r="BM59" i="26" s="1"/>
  <c r="BE45" i="26"/>
  <c r="BU45" i="26"/>
  <c r="BA132" i="26"/>
  <c r="BN56" i="26" s="1"/>
  <c r="AZ133" i="26"/>
  <c r="BN57" i="26" l="1"/>
  <c r="BN59" i="26" s="1"/>
  <c r="BW44" i="26"/>
  <c r="BE44" i="26"/>
  <c r="BA133" i="26"/>
  <c r="BO56" i="26" s="1"/>
  <c r="AZ134" i="26"/>
  <c r="BO57" i="26" l="1"/>
  <c r="BO59" i="26" s="1"/>
  <c r="BY43" i="26"/>
  <c r="BE43" i="26"/>
  <c r="AZ135" i="26"/>
  <c r="BA134" i="26"/>
  <c r="BP56" i="26" s="1"/>
  <c r="CA42" i="26" l="1"/>
  <c r="BE42" i="26"/>
  <c r="BE54" i="26" s="1"/>
  <c r="BP57" i="26"/>
  <c r="BP59" i="26" s="1"/>
  <c r="BA135" i="26"/>
  <c r="BQ56" i="26" s="1"/>
  <c r="AZ136" i="26"/>
  <c r="BQ57" i="26" l="1"/>
  <c r="BQ59" i="26" s="1"/>
  <c r="CA41" i="26"/>
  <c r="BG41" i="26"/>
  <c r="BG54" i="26" s="1"/>
  <c r="BA136" i="26"/>
  <c r="BR56" i="26" s="1"/>
  <c r="AZ137" i="26"/>
  <c r="BR57" i="26" l="1"/>
  <c r="BR59" i="26" s="1"/>
  <c r="CA40" i="26"/>
  <c r="BI40" i="26"/>
  <c r="BI54" i="26" s="1"/>
  <c r="BA137" i="26"/>
  <c r="BS56" i="26" s="1"/>
  <c r="AZ138" i="26"/>
  <c r="CA39" i="26" l="1"/>
  <c r="BS57" i="26"/>
  <c r="BS59" i="26" s="1"/>
  <c r="BK39" i="26"/>
  <c r="BK54" i="26" s="1"/>
  <c r="AZ139" i="26"/>
  <c r="BA138" i="26"/>
  <c r="BT56" i="26" s="1"/>
  <c r="BM38" i="26" l="1"/>
  <c r="BM54" i="26" s="1"/>
  <c r="BT57" i="26"/>
  <c r="BT59" i="26" s="1"/>
  <c r="CA38" i="26"/>
  <c r="BA139" i="26"/>
  <c r="BU56" i="26" s="1"/>
  <c r="AZ140" i="26"/>
  <c r="BX37" i="26" l="1"/>
  <c r="BX54" i="26" s="1"/>
  <c r="BR37" i="26"/>
  <c r="BU57" i="26"/>
  <c r="BU59" i="26" s="1"/>
  <c r="BA140" i="26"/>
  <c r="BV56" i="26" s="1"/>
  <c r="AZ141" i="26"/>
  <c r="BZ36" i="26" l="1"/>
  <c r="BZ54" i="26" s="1"/>
  <c r="BR36" i="26"/>
  <c r="BR54" i="26" s="1"/>
  <c r="BV57" i="26"/>
  <c r="BV59" i="26" s="1"/>
  <c r="BA141" i="26"/>
  <c r="BW56" i="26" s="1"/>
  <c r="AZ142" i="26"/>
  <c r="CA35" i="26" l="1"/>
  <c r="BS35" i="26"/>
  <c r="BS54" i="26" s="1"/>
  <c r="BW57" i="26"/>
  <c r="BW59" i="26" s="1"/>
  <c r="AZ143" i="26"/>
  <c r="BA142" i="26"/>
  <c r="BX56" i="26" s="1"/>
  <c r="CA34" i="26" l="1"/>
  <c r="BU34" i="26"/>
  <c r="BU54" i="26" s="1"/>
  <c r="BX57" i="26"/>
  <c r="BX59" i="26" s="1"/>
  <c r="BA143" i="26"/>
  <c r="BY56" i="26" s="1"/>
  <c r="AZ144" i="26"/>
  <c r="BY57" i="26" l="1"/>
  <c r="BY59" i="26" s="1"/>
  <c r="CA33" i="26"/>
  <c r="BW33" i="26"/>
  <c r="BW54" i="26" s="1"/>
  <c r="BA144" i="26"/>
  <c r="BZ56" i="26" s="1"/>
  <c r="AZ145" i="26"/>
  <c r="BZ57" i="26" l="1"/>
  <c r="BZ59" i="26" s="1"/>
  <c r="CA32" i="26"/>
  <c r="CA54" i="26" s="1"/>
  <c r="BY32" i="26"/>
  <c r="BY54" i="26" s="1"/>
  <c r="BA145" i="26"/>
  <c r="CA56" i="26" s="1"/>
  <c r="CA57" i="26" s="1"/>
  <c r="CA59" i="26" s="1"/>
  <c r="AV132" i="1" l="1"/>
  <c r="AV133" i="1" l="1"/>
  <c r="AV134" i="1" l="1"/>
  <c r="AV135" i="1" l="1"/>
  <c r="AV136" i="1" l="1"/>
  <c r="AV137" i="1" l="1"/>
  <c r="AV138" i="1" l="1"/>
  <c r="AV139" i="1" l="1"/>
  <c r="AV140" i="1" l="1"/>
  <c r="AV141" i="1" l="1"/>
  <c r="AV142" i="1" l="1"/>
  <c r="AV143" i="1" l="1"/>
  <c r="AV144" i="1" l="1"/>
  <c r="AV145" i="1" l="1"/>
  <c r="AV146" i="1" l="1"/>
  <c r="AV147" i="1" l="1"/>
  <c r="AV148" i="1" l="1"/>
  <c r="AV149" i="1" l="1"/>
  <c r="AV150" i="1" l="1"/>
  <c r="AV151" i="1" l="1"/>
  <c r="AV152" i="1" l="1"/>
  <c r="AV153" i="1" l="1"/>
  <c r="AV154" i="1" l="1"/>
  <c r="J76" i="2" l="1"/>
  <c r="K76" i="2" s="1"/>
  <c r="L76" i="2" s="1"/>
  <c r="M76" i="2" s="1"/>
  <c r="J75" i="2"/>
  <c r="K75" i="2" s="1"/>
  <c r="L75" i="2" s="1"/>
  <c r="M75" i="2" s="1"/>
  <c r="J74" i="2"/>
  <c r="K74" i="2" s="1"/>
  <c r="L74" i="2" s="1"/>
  <c r="M74" i="2" s="1"/>
  <c r="J73" i="2"/>
  <c r="K73" i="2" s="1"/>
  <c r="L73" i="2" s="1"/>
  <c r="M73" i="2" s="1"/>
  <c r="J72" i="2"/>
  <c r="K72" i="2" s="1"/>
  <c r="L72" i="2" s="1"/>
  <c r="M72" i="2" s="1"/>
  <c r="J71" i="2"/>
  <c r="K71" i="2" s="1"/>
  <c r="L71" i="2" s="1"/>
  <c r="M71" i="2" s="1"/>
  <c r="J70" i="2"/>
  <c r="K70" i="2" s="1"/>
  <c r="L70" i="2" s="1"/>
  <c r="M70" i="2" s="1"/>
  <c r="J69" i="2"/>
  <c r="K69" i="2" s="1"/>
  <c r="L69" i="2" s="1"/>
  <c r="M69" i="2" s="1"/>
  <c r="J68" i="2"/>
  <c r="K68" i="2" s="1"/>
  <c r="L68" i="2" s="1"/>
  <c r="M68" i="2" s="1"/>
  <c r="J67" i="2"/>
  <c r="K67" i="2" s="1"/>
  <c r="L67" i="2" s="1"/>
  <c r="M67" i="2" s="1"/>
  <c r="I66" i="2"/>
  <c r="J66" i="2" s="1"/>
  <c r="K66" i="2" s="1"/>
  <c r="L66" i="2" s="1"/>
  <c r="M66" i="2" s="1"/>
  <c r="C65" i="2"/>
  <c r="BI54" i="1"/>
  <c r="B14" i="1"/>
  <c r="C14" i="1" s="1"/>
  <c r="C109" i="1"/>
  <c r="Y114" i="1" s="1"/>
  <c r="G109" i="1"/>
  <c r="J110" i="1"/>
  <c r="K110" i="1" s="1"/>
  <c r="L110" i="1" s="1"/>
  <c r="M110" i="1" s="1"/>
  <c r="N110" i="1" s="1"/>
  <c r="J111" i="1"/>
  <c r="K111" i="1" s="1"/>
  <c r="L111" i="1" s="1"/>
  <c r="M111" i="1" s="1"/>
  <c r="N111" i="1" s="1"/>
  <c r="J112" i="1"/>
  <c r="K112" i="1" s="1"/>
  <c r="L112" i="1" s="1"/>
  <c r="M112" i="1" s="1"/>
  <c r="N112" i="1" s="1"/>
  <c r="J113" i="1"/>
  <c r="K113" i="1" s="1"/>
  <c r="L113" i="1" s="1"/>
  <c r="M113" i="1" s="1"/>
  <c r="N113" i="1" s="1"/>
  <c r="J114" i="1"/>
  <c r="K114" i="1" s="1"/>
  <c r="L114" i="1" s="1"/>
  <c r="M114" i="1" s="1"/>
  <c r="N114" i="1" s="1"/>
  <c r="J115" i="1"/>
  <c r="K115" i="1" s="1"/>
  <c r="L115" i="1" s="1"/>
  <c r="M115" i="1" s="1"/>
  <c r="N115" i="1" s="1"/>
  <c r="J116" i="1"/>
  <c r="K116" i="1" s="1"/>
  <c r="L116" i="1" s="1"/>
  <c r="M116" i="1" s="1"/>
  <c r="N116" i="1" s="1"/>
  <c r="J117" i="1"/>
  <c r="K117" i="1" s="1"/>
  <c r="L117" i="1" s="1"/>
  <c r="M117" i="1" s="1"/>
  <c r="N117" i="1" s="1"/>
  <c r="J118" i="1"/>
  <c r="K118" i="1" s="1"/>
  <c r="L118" i="1" s="1"/>
  <c r="M118" i="1" s="1"/>
  <c r="N118" i="1" s="1"/>
  <c r="J119" i="1"/>
  <c r="K119" i="1" s="1"/>
  <c r="L119" i="1" s="1"/>
  <c r="M119" i="1" s="1"/>
  <c r="N119" i="1" s="1"/>
  <c r="J120" i="1"/>
  <c r="K120" i="1" s="1"/>
  <c r="L120" i="1" s="1"/>
  <c r="M120" i="1" s="1"/>
  <c r="N120" i="1" s="1"/>
  <c r="J121" i="1"/>
  <c r="K121" i="1" s="1"/>
  <c r="L121" i="1" s="1"/>
  <c r="M121" i="1" s="1"/>
  <c r="N121" i="1" s="1"/>
  <c r="J122" i="1"/>
  <c r="K122" i="1" s="1"/>
  <c r="L122" i="1" s="1"/>
  <c r="M122" i="1" s="1"/>
  <c r="N122" i="1" s="1"/>
  <c r="J123" i="1"/>
  <c r="K123" i="1" s="1"/>
  <c r="L123" i="1" s="1"/>
  <c r="M123" i="1" s="1"/>
  <c r="N123" i="1" s="1"/>
  <c r="J124" i="1"/>
  <c r="K124" i="1" s="1"/>
  <c r="L124" i="1" s="1"/>
  <c r="M124" i="1" s="1"/>
  <c r="N124" i="1" s="1"/>
  <c r="J125" i="1"/>
  <c r="K125" i="1" s="1"/>
  <c r="L125" i="1" s="1"/>
  <c r="M125" i="1" s="1"/>
  <c r="N125" i="1" s="1"/>
  <c r="J126" i="1"/>
  <c r="K126" i="1" s="1"/>
  <c r="L126" i="1" s="1"/>
  <c r="M126" i="1" s="1"/>
  <c r="N126" i="1" s="1"/>
  <c r="J127" i="1"/>
  <c r="K127" i="1" s="1"/>
  <c r="L127" i="1" s="1"/>
  <c r="M127" i="1" s="1"/>
  <c r="N127" i="1" s="1"/>
  <c r="J128" i="1"/>
  <c r="K128" i="1" s="1"/>
  <c r="L128" i="1" s="1"/>
  <c r="M128" i="1" s="1"/>
  <c r="N128" i="1" s="1"/>
  <c r="AC114" i="1" l="1"/>
  <c r="AD114" i="1" s="1"/>
  <c r="AE114" i="1" s="1"/>
  <c r="Z114" i="1"/>
  <c r="AA114" i="1" s="1"/>
  <c r="AB114" i="1" s="1"/>
  <c r="Y118" i="1"/>
  <c r="O121" i="1"/>
  <c r="P121" i="1" s="1"/>
  <c r="Q121" i="1" s="1"/>
  <c r="Y120" i="1"/>
  <c r="O116" i="1"/>
  <c r="P116" i="1" s="1"/>
  <c r="Q116" i="1" s="1"/>
  <c r="O125" i="1"/>
  <c r="P125" i="1" s="1"/>
  <c r="Q125" i="1" s="1"/>
  <c r="O123" i="1"/>
  <c r="P123" i="1" s="1"/>
  <c r="Q123" i="1" s="1"/>
  <c r="O126" i="1"/>
  <c r="P126" i="1" s="1"/>
  <c r="Q126" i="1" s="1"/>
  <c r="N76" i="2"/>
  <c r="O76" i="2" s="1"/>
  <c r="P76" i="2" s="1"/>
  <c r="I65" i="2"/>
  <c r="O65" i="2" s="1"/>
  <c r="P65" i="2" s="1"/>
  <c r="R65" i="2" s="1"/>
  <c r="O127" i="1"/>
  <c r="P127" i="1" s="1"/>
  <c r="Q127" i="1" s="1"/>
  <c r="Y122" i="1"/>
  <c r="Y111" i="1"/>
  <c r="Y112" i="1"/>
  <c r="Y125" i="1"/>
  <c r="O112" i="1"/>
  <c r="P112" i="1" s="1"/>
  <c r="Q112" i="1" s="1"/>
  <c r="Y127" i="1"/>
  <c r="O118" i="1"/>
  <c r="P118" i="1" s="1"/>
  <c r="Q118" i="1" s="1"/>
  <c r="O109" i="1"/>
  <c r="P109" i="1" s="1"/>
  <c r="Y124" i="1"/>
  <c r="O120" i="1"/>
  <c r="P120" i="1" s="1"/>
  <c r="Q120" i="1" s="1"/>
  <c r="O117" i="1"/>
  <c r="P117" i="1" s="1"/>
  <c r="Q117" i="1" s="1"/>
  <c r="Y117" i="1"/>
  <c r="J109" i="1"/>
  <c r="K109" i="1" s="1"/>
  <c r="L109" i="1" s="1"/>
  <c r="M109" i="1" s="1"/>
  <c r="N109" i="1" s="1"/>
  <c r="O115" i="1"/>
  <c r="P115" i="1" s="1"/>
  <c r="Q115" i="1" s="1"/>
  <c r="Y126" i="1"/>
  <c r="O111" i="1"/>
  <c r="P111" i="1" s="1"/>
  <c r="Q111" i="1" s="1"/>
  <c r="Y110" i="1"/>
  <c r="Y123" i="1"/>
  <c r="O124" i="1"/>
  <c r="P124" i="1" s="1"/>
  <c r="Q124" i="1" s="1"/>
  <c r="Y119" i="1"/>
  <c r="Y109" i="1"/>
  <c r="O128" i="1"/>
  <c r="P128" i="1" s="1"/>
  <c r="Q128" i="1" s="1"/>
  <c r="Y113" i="1"/>
  <c r="O122" i="1"/>
  <c r="P122" i="1" s="1"/>
  <c r="Q122" i="1" s="1"/>
  <c r="O114" i="1"/>
  <c r="P114" i="1" s="1"/>
  <c r="Q114" i="1" s="1"/>
  <c r="Y121" i="1"/>
  <c r="O119" i="1"/>
  <c r="P119" i="1" s="1"/>
  <c r="Q119" i="1" s="1"/>
  <c r="Y116" i="1"/>
  <c r="O110" i="1"/>
  <c r="P110" i="1" s="1"/>
  <c r="Q110" i="1" s="1"/>
  <c r="Y128" i="1"/>
  <c r="Y115" i="1"/>
  <c r="O113" i="1"/>
  <c r="P113" i="1" s="1"/>
  <c r="Q113" i="1" s="1"/>
  <c r="Y65" i="2"/>
  <c r="N71" i="2"/>
  <c r="O71" i="2" s="1"/>
  <c r="P71" i="2" s="1"/>
  <c r="Y69" i="2"/>
  <c r="Y74" i="2"/>
  <c r="Z74" i="2" s="1"/>
  <c r="Y70" i="2"/>
  <c r="Z70" i="2" s="1"/>
  <c r="N67" i="2"/>
  <c r="O67" i="2" s="1"/>
  <c r="P67" i="2" s="1"/>
  <c r="N68" i="2"/>
  <c r="O68" i="2" s="1"/>
  <c r="P68" i="2" s="1"/>
  <c r="Y68" i="2"/>
  <c r="Z68" i="2" s="1"/>
  <c r="Y76" i="2"/>
  <c r="Z76" i="2" s="1"/>
  <c r="Y67" i="2"/>
  <c r="Z67" i="2" s="1"/>
  <c r="Y75" i="2"/>
  <c r="Z75" i="2" s="1"/>
  <c r="Y72" i="2"/>
  <c r="Z72" i="2" s="1"/>
  <c r="N72" i="2"/>
  <c r="O72" i="2" s="1"/>
  <c r="P72" i="2" s="1"/>
  <c r="Y73" i="2"/>
  <c r="Z73" i="2" s="1"/>
  <c r="N66" i="2"/>
  <c r="O66" i="2" s="1"/>
  <c r="P66" i="2" s="1"/>
  <c r="N70" i="2"/>
  <c r="O70" i="2" s="1"/>
  <c r="P70" i="2" s="1"/>
  <c r="N73" i="2"/>
  <c r="O73" i="2" s="1"/>
  <c r="P73" i="2" s="1"/>
  <c r="N74" i="2"/>
  <c r="O74" i="2" s="1"/>
  <c r="P74" i="2" s="1"/>
  <c r="Y71" i="2"/>
  <c r="Z71" i="2" s="1"/>
  <c r="Y66" i="2"/>
  <c r="Z66" i="2" s="1"/>
  <c r="N75" i="2"/>
  <c r="O75" i="2" s="1"/>
  <c r="P75" i="2" s="1"/>
  <c r="N69" i="2"/>
  <c r="O69" i="2" s="1"/>
  <c r="P69" i="2" s="1"/>
  <c r="Z65" i="2" l="1"/>
  <c r="AA65" i="2" s="1"/>
  <c r="AB65" i="2" s="1"/>
  <c r="AC69" i="2"/>
  <c r="AD69" i="2" s="1"/>
  <c r="AE69" i="2" s="1"/>
  <c r="Z69" i="2"/>
  <c r="AA69" i="2" s="1"/>
  <c r="AB69" i="2" s="1"/>
  <c r="AC109" i="1"/>
  <c r="AD109" i="1" s="1"/>
  <c r="AE109" i="1" s="1"/>
  <c r="Z109" i="1"/>
  <c r="AA109" i="1" s="1"/>
  <c r="AB109" i="1" s="1"/>
  <c r="AC112" i="1"/>
  <c r="AD112" i="1" s="1"/>
  <c r="AE112" i="1" s="1"/>
  <c r="Z112" i="1"/>
  <c r="AA112" i="1" s="1"/>
  <c r="AB112" i="1" s="1"/>
  <c r="Z119" i="1"/>
  <c r="AA119" i="1" s="1"/>
  <c r="AB119" i="1" s="1"/>
  <c r="AC119" i="1"/>
  <c r="AD119" i="1" s="1"/>
  <c r="AE119" i="1" s="1"/>
  <c r="AC117" i="1"/>
  <c r="AD117" i="1" s="1"/>
  <c r="AE117" i="1" s="1"/>
  <c r="Z117" i="1"/>
  <c r="AA117" i="1" s="1"/>
  <c r="AB117" i="1" s="1"/>
  <c r="AC125" i="1"/>
  <c r="AD125" i="1" s="1"/>
  <c r="AE125" i="1" s="1"/>
  <c r="Z125" i="1"/>
  <c r="AA125" i="1" s="1"/>
  <c r="Z118" i="1"/>
  <c r="AA118" i="1" s="1"/>
  <c r="AC118" i="1"/>
  <c r="AD118" i="1" s="1"/>
  <c r="AE118" i="1" s="1"/>
  <c r="AC122" i="1"/>
  <c r="AD122" i="1" s="1"/>
  <c r="AE122" i="1" s="1"/>
  <c r="Z122" i="1"/>
  <c r="AA122" i="1" s="1"/>
  <c r="AB122" i="1" s="1"/>
  <c r="AC128" i="1"/>
  <c r="AD128" i="1" s="1"/>
  <c r="AE128" i="1" s="1"/>
  <c r="Z128" i="1"/>
  <c r="AA128" i="1" s="1"/>
  <c r="AB128" i="1" s="1"/>
  <c r="AC113" i="1"/>
  <c r="AD113" i="1" s="1"/>
  <c r="AE113" i="1" s="1"/>
  <c r="Z113" i="1"/>
  <c r="AA113" i="1" s="1"/>
  <c r="AB113" i="1" s="1"/>
  <c r="AC123" i="1"/>
  <c r="AD123" i="1" s="1"/>
  <c r="AE123" i="1" s="1"/>
  <c r="Z123" i="1"/>
  <c r="AA123" i="1" s="1"/>
  <c r="AB123" i="1" s="1"/>
  <c r="Z127" i="1"/>
  <c r="AA127" i="1" s="1"/>
  <c r="AB127" i="1" s="1"/>
  <c r="AC127" i="1"/>
  <c r="AD127" i="1" s="1"/>
  <c r="AE127" i="1" s="1"/>
  <c r="AC120" i="1"/>
  <c r="AD120" i="1" s="1"/>
  <c r="AE120" i="1" s="1"/>
  <c r="Z120" i="1"/>
  <c r="AA120" i="1" s="1"/>
  <c r="AC115" i="1"/>
  <c r="AD115" i="1" s="1"/>
  <c r="AE115" i="1" s="1"/>
  <c r="Z115" i="1"/>
  <c r="AA115" i="1" s="1"/>
  <c r="AB115" i="1" s="1"/>
  <c r="AC116" i="1"/>
  <c r="AD116" i="1" s="1"/>
  <c r="AE116" i="1" s="1"/>
  <c r="Z116" i="1"/>
  <c r="AA116" i="1" s="1"/>
  <c r="AB116" i="1" s="1"/>
  <c r="AC126" i="1"/>
  <c r="AD126" i="1" s="1"/>
  <c r="AE126" i="1" s="1"/>
  <c r="Z126" i="1"/>
  <c r="AA126" i="1" s="1"/>
  <c r="AB126" i="1" s="1"/>
  <c r="AC121" i="1"/>
  <c r="AD121" i="1" s="1"/>
  <c r="AE121" i="1" s="1"/>
  <c r="Z121" i="1"/>
  <c r="AA121" i="1" s="1"/>
  <c r="AB121" i="1" s="1"/>
  <c r="AC110" i="1"/>
  <c r="AD110" i="1" s="1"/>
  <c r="AE110" i="1" s="1"/>
  <c r="Z110" i="1"/>
  <c r="AA110" i="1" s="1"/>
  <c r="Z124" i="1"/>
  <c r="AA124" i="1" s="1"/>
  <c r="AB124" i="1" s="1"/>
  <c r="AC124" i="1"/>
  <c r="AD124" i="1" s="1"/>
  <c r="AE124" i="1" s="1"/>
  <c r="AC111" i="1"/>
  <c r="AD111" i="1" s="1"/>
  <c r="AE111" i="1" s="1"/>
  <c r="Z111" i="1"/>
  <c r="AA111" i="1" s="1"/>
  <c r="AB111" i="1" s="1"/>
  <c r="AG114" i="1"/>
  <c r="Q109" i="1"/>
  <c r="S109" i="1" s="1"/>
  <c r="T109" i="1" s="1"/>
  <c r="AC65" i="2"/>
  <c r="AD65" i="2" s="1"/>
  <c r="AE65" i="2" s="1"/>
  <c r="AC74" i="2"/>
  <c r="AD74" i="2" s="1"/>
  <c r="AE74" i="2" s="1"/>
  <c r="AA74" i="2"/>
  <c r="AB74" i="2" s="1"/>
  <c r="AA66" i="2"/>
  <c r="AB66" i="2" s="1"/>
  <c r="AC66" i="2"/>
  <c r="AD66" i="2" s="1"/>
  <c r="AE66" i="2" s="1"/>
  <c r="AC73" i="2"/>
  <c r="AD73" i="2" s="1"/>
  <c r="AE73" i="2" s="1"/>
  <c r="AA73" i="2"/>
  <c r="AB73" i="2" s="1"/>
  <c r="AC75" i="2"/>
  <c r="AD75" i="2" s="1"/>
  <c r="AE75" i="2" s="1"/>
  <c r="AA75" i="2"/>
  <c r="AB75" i="2" s="1"/>
  <c r="AA76" i="2"/>
  <c r="AB76" i="2" s="1"/>
  <c r="AC76" i="2"/>
  <c r="AD76" i="2" s="1"/>
  <c r="AE76" i="2" s="1"/>
  <c r="AC70" i="2"/>
  <c r="AD70" i="2" s="1"/>
  <c r="AE70" i="2" s="1"/>
  <c r="AA70" i="2"/>
  <c r="AB70" i="2" s="1"/>
  <c r="AA67" i="2"/>
  <c r="AB67" i="2" s="1"/>
  <c r="AC67" i="2"/>
  <c r="AD67" i="2" s="1"/>
  <c r="AE67" i="2" s="1"/>
  <c r="AA71" i="2"/>
  <c r="AB71" i="2" s="1"/>
  <c r="AC71" i="2"/>
  <c r="AD71" i="2" s="1"/>
  <c r="AE71" i="2" s="1"/>
  <c r="AC72" i="2"/>
  <c r="AD72" i="2" s="1"/>
  <c r="AE72" i="2" s="1"/>
  <c r="AA72" i="2"/>
  <c r="AB72" i="2" s="1"/>
  <c r="AC68" i="2"/>
  <c r="AD68" i="2" s="1"/>
  <c r="AE68" i="2" s="1"/>
  <c r="AA68" i="2"/>
  <c r="AB68" i="2" s="1"/>
  <c r="S65" i="2"/>
  <c r="AG69" i="2" l="1"/>
  <c r="AG65" i="2"/>
  <c r="AB125" i="1"/>
  <c r="AG125" i="1" s="1"/>
  <c r="AB110" i="1"/>
  <c r="AG110" i="1" s="1"/>
  <c r="AB120" i="1"/>
  <c r="AG120" i="1" s="1"/>
  <c r="AB118" i="1"/>
  <c r="AG118" i="1" s="1"/>
  <c r="AG122" i="1"/>
  <c r="AG119" i="1"/>
  <c r="AG124" i="1"/>
  <c r="AG117" i="1"/>
  <c r="AG113" i="1"/>
  <c r="AG111" i="1"/>
  <c r="V109" i="1"/>
  <c r="AH109" i="1" s="1"/>
  <c r="R110" i="1"/>
  <c r="S110" i="1" s="1"/>
  <c r="AG128" i="1"/>
  <c r="AG127" i="1"/>
  <c r="AG126" i="1"/>
  <c r="AG116" i="1"/>
  <c r="AG109" i="1"/>
  <c r="AG121" i="1"/>
  <c r="AG112" i="1"/>
  <c r="AG115" i="1"/>
  <c r="AG123" i="1"/>
  <c r="AG72" i="2"/>
  <c r="AG73" i="2"/>
  <c r="AG74" i="2"/>
  <c r="AG75" i="2"/>
  <c r="AG68" i="2"/>
  <c r="AG70" i="2"/>
  <c r="V65" i="2"/>
  <c r="Q66" i="2"/>
  <c r="R66" i="2" s="1"/>
  <c r="AG67" i="2"/>
  <c r="AG76" i="2"/>
  <c r="AG66" i="2"/>
  <c r="AG71" i="2"/>
  <c r="T110" i="1" l="1"/>
  <c r="S111" i="1"/>
  <c r="AH65" i="2"/>
  <c r="S66" i="2"/>
  <c r="R67" i="2"/>
  <c r="T111" i="1" l="1"/>
  <c r="S112" i="1"/>
  <c r="V110" i="1"/>
  <c r="AH110" i="1" s="1"/>
  <c r="R111" i="1"/>
  <c r="Q67" i="2"/>
  <c r="V66" i="2"/>
  <c r="R68" i="2"/>
  <c r="S67" i="2"/>
  <c r="V111" i="1" l="1"/>
  <c r="AH111" i="1" s="1"/>
  <c r="R112" i="1"/>
  <c r="T112" i="1"/>
  <c r="S113" i="1"/>
  <c r="AH66" i="2"/>
  <c r="S68" i="2"/>
  <c r="R69" i="2"/>
  <c r="Q68" i="2"/>
  <c r="V67" i="2"/>
  <c r="S114" i="1" l="1"/>
  <c r="T113" i="1"/>
  <c r="R113" i="1"/>
  <c r="V112" i="1"/>
  <c r="AH112" i="1" s="1"/>
  <c r="AH67" i="2"/>
  <c r="Q69" i="2"/>
  <c r="V68" i="2"/>
  <c r="S69" i="2"/>
  <c r="R70" i="2"/>
  <c r="R114" i="1" l="1"/>
  <c r="V113" i="1"/>
  <c r="AH113" i="1" s="1"/>
  <c r="T114" i="1"/>
  <c r="S115" i="1"/>
  <c r="V69" i="2"/>
  <c r="Q70" i="2"/>
  <c r="S70" i="2"/>
  <c r="R71" i="2"/>
  <c r="AH68" i="2"/>
  <c r="T115" i="1" l="1"/>
  <c r="S116" i="1"/>
  <c r="V114" i="1"/>
  <c r="AH114" i="1" s="1"/>
  <c r="R115" i="1"/>
  <c r="S71" i="2"/>
  <c r="R72" i="2"/>
  <c r="AH69" i="2"/>
  <c r="V70" i="2"/>
  <c r="Q71" i="2"/>
  <c r="T116" i="1" l="1"/>
  <c r="S117" i="1"/>
  <c r="V115" i="1"/>
  <c r="AH115" i="1" s="1"/>
  <c r="R116" i="1"/>
  <c r="AH70" i="2"/>
  <c r="S72" i="2"/>
  <c r="R73" i="2"/>
  <c r="Q72" i="2"/>
  <c r="V71" i="2"/>
  <c r="S118" i="1" l="1"/>
  <c r="T117" i="1"/>
  <c r="R117" i="1"/>
  <c r="V116" i="1"/>
  <c r="AH116" i="1" s="1"/>
  <c r="S73" i="2"/>
  <c r="R74" i="2"/>
  <c r="AH71" i="2"/>
  <c r="Q73" i="2"/>
  <c r="V72" i="2"/>
  <c r="V117" i="1" l="1"/>
  <c r="AH117" i="1" s="1"/>
  <c r="R118" i="1"/>
  <c r="T118" i="1"/>
  <c r="S119" i="1"/>
  <c r="R75" i="2"/>
  <c r="S74" i="2"/>
  <c r="AH72" i="2"/>
  <c r="Q74" i="2"/>
  <c r="V73" i="2"/>
  <c r="T119" i="1" l="1"/>
  <c r="S120" i="1"/>
  <c r="R119" i="1"/>
  <c r="V118" i="1"/>
  <c r="AH118" i="1" s="1"/>
  <c r="V74" i="2"/>
  <c r="Q75" i="2"/>
  <c r="AH73" i="2"/>
  <c r="R76" i="2"/>
  <c r="S76" i="2" s="1"/>
  <c r="V76" i="2" s="1"/>
  <c r="S75" i="2"/>
  <c r="X76" i="2" l="1"/>
  <c r="AH76" i="2"/>
  <c r="Q76" i="2"/>
  <c r="V75" i="2"/>
  <c r="X73" i="2" s="1"/>
  <c r="AI73" i="2" s="1"/>
  <c r="AJ73" i="2" s="1"/>
  <c r="AL73" i="2" s="1"/>
  <c r="AN73" i="2" s="1"/>
  <c r="V119" i="1"/>
  <c r="AH119" i="1" s="1"/>
  <c r="R120" i="1"/>
  <c r="T120" i="1"/>
  <c r="S121" i="1"/>
  <c r="AH74" i="2"/>
  <c r="X67" i="2" l="1"/>
  <c r="AI67" i="2" s="1"/>
  <c r="AJ67" i="2" s="1"/>
  <c r="AL67" i="2" s="1"/>
  <c r="AN67" i="2" s="1"/>
  <c r="X68" i="2"/>
  <c r="AI68" i="2" s="1"/>
  <c r="AK68" i="2" s="1"/>
  <c r="AM68" i="2" s="1"/>
  <c r="X74" i="2"/>
  <c r="AI74" i="2" s="1"/>
  <c r="X70" i="2"/>
  <c r="AI70" i="2" s="1"/>
  <c r="AK70" i="2" s="1"/>
  <c r="AM70" i="2" s="1"/>
  <c r="X72" i="2"/>
  <c r="AI72" i="2" s="1"/>
  <c r="AJ72" i="2" s="1"/>
  <c r="AL72" i="2" s="1"/>
  <c r="AN72" i="2" s="1"/>
  <c r="X66" i="2"/>
  <c r="AI66" i="2" s="1"/>
  <c r="AK66" i="2" s="1"/>
  <c r="AM66" i="2" s="1"/>
  <c r="X69" i="2"/>
  <c r="AI69" i="2" s="1"/>
  <c r="AJ69" i="2" s="1"/>
  <c r="AL69" i="2" s="1"/>
  <c r="AN69" i="2" s="1"/>
  <c r="X65" i="2"/>
  <c r="T59" i="2" s="1"/>
  <c r="AI76" i="2"/>
  <c r="X75" i="2"/>
  <c r="AH75" i="2"/>
  <c r="X71" i="2"/>
  <c r="AI71" i="2" s="1"/>
  <c r="S122" i="1"/>
  <c r="T121" i="1"/>
  <c r="V120" i="1"/>
  <c r="AH120" i="1" s="1"/>
  <c r="R121" i="1"/>
  <c r="AK73" i="2"/>
  <c r="AM73" i="2" s="1"/>
  <c r="AI65" i="2" l="1"/>
  <c r="AK65" i="2" s="1"/>
  <c r="AM65" i="2" s="1"/>
  <c r="C10" i="2"/>
  <c r="C3" i="2" s="1"/>
  <c r="AO66" i="2"/>
  <c r="U66" i="2"/>
  <c r="AO68" i="2"/>
  <c r="U68" i="2"/>
  <c r="AO73" i="2"/>
  <c r="U73" i="2"/>
  <c r="AO70" i="2"/>
  <c r="U70" i="2"/>
  <c r="AK69" i="2"/>
  <c r="AM69" i="2" s="1"/>
  <c r="AJ66" i="2"/>
  <c r="AL66" i="2" s="1"/>
  <c r="AN66" i="2" s="1"/>
  <c r="AK67" i="2"/>
  <c r="AM67" i="2" s="1"/>
  <c r="AJ68" i="2"/>
  <c r="AL68" i="2" s="1"/>
  <c r="AN68" i="2" s="1"/>
  <c r="AI75" i="2"/>
  <c r="AK75" i="2" s="1"/>
  <c r="AM75" i="2" s="1"/>
  <c r="AJ70" i="2"/>
  <c r="AL70" i="2" s="1"/>
  <c r="AN70" i="2" s="1"/>
  <c r="AK72" i="2"/>
  <c r="AM72" i="2" s="1"/>
  <c r="AJ71" i="2"/>
  <c r="AL71" i="2" s="1"/>
  <c r="AN71" i="2" s="1"/>
  <c r="AK71" i="2"/>
  <c r="AM71" i="2" s="1"/>
  <c r="AJ76" i="2"/>
  <c r="AL76" i="2" s="1"/>
  <c r="AN76" i="2" s="1"/>
  <c r="AK76" i="2"/>
  <c r="AM76" i="2" s="1"/>
  <c r="S123" i="1"/>
  <c r="T122" i="1"/>
  <c r="V121" i="1"/>
  <c r="AH121" i="1" s="1"/>
  <c r="R122" i="1"/>
  <c r="AK74" i="2"/>
  <c r="AM74" i="2" s="1"/>
  <c r="AJ74" i="2"/>
  <c r="AL74" i="2" s="1"/>
  <c r="AN74" i="2" s="1"/>
  <c r="AJ65" i="2" l="1"/>
  <c r="AL65" i="2" s="1"/>
  <c r="AN65" i="2" s="1"/>
  <c r="AO75" i="2"/>
  <c r="U75" i="2"/>
  <c r="AO76" i="2"/>
  <c r="U76" i="2"/>
  <c r="AO72" i="2"/>
  <c r="U72" i="2"/>
  <c r="AO69" i="2"/>
  <c r="U69" i="2"/>
  <c r="AO74" i="2"/>
  <c r="U74" i="2"/>
  <c r="AO71" i="2"/>
  <c r="U71" i="2"/>
  <c r="AO65" i="2"/>
  <c r="U65" i="2"/>
  <c r="AO67" i="2"/>
  <c r="U67" i="2"/>
  <c r="D3" i="2"/>
  <c r="C28" i="2"/>
  <c r="B28" i="2"/>
  <c r="AJ75" i="2"/>
  <c r="AL75" i="2" s="1"/>
  <c r="AN75" i="2" s="1"/>
  <c r="S124" i="1"/>
  <c r="T123" i="1"/>
  <c r="R123" i="1"/>
  <c r="V122" i="1"/>
  <c r="AH122" i="1" s="1"/>
  <c r="AT84" i="2" l="1"/>
  <c r="AT85" i="2"/>
  <c r="AU85" i="2" s="1"/>
  <c r="AT86" i="2"/>
  <c r="AU86" i="2" s="1"/>
  <c r="AT87" i="2"/>
  <c r="AU87" i="2" s="1"/>
  <c r="AT88" i="2"/>
  <c r="AU88" i="2" s="1"/>
  <c r="AT89" i="2"/>
  <c r="AU89" i="2" s="1"/>
  <c r="AT90" i="2"/>
  <c r="AU90" i="2" s="1"/>
  <c r="AT91" i="2"/>
  <c r="AU91" i="2" s="1"/>
  <c r="AT92" i="2"/>
  <c r="AU92" i="2" s="1"/>
  <c r="AT93" i="2"/>
  <c r="AU93" i="2" s="1"/>
  <c r="AT94" i="2"/>
  <c r="AU94" i="2" s="1"/>
  <c r="AT95" i="2"/>
  <c r="AU95" i="2" s="1"/>
  <c r="AT96" i="2"/>
  <c r="AU96" i="2" s="1"/>
  <c r="AT97" i="2"/>
  <c r="AU97" i="2" s="1"/>
  <c r="AT98" i="2"/>
  <c r="AU98" i="2" s="1"/>
  <c r="AT99" i="2"/>
  <c r="AU99" i="2" s="1"/>
  <c r="AT100" i="2"/>
  <c r="AU100" i="2" s="1"/>
  <c r="AT101" i="2"/>
  <c r="AU101" i="2" s="1"/>
  <c r="AT102" i="2"/>
  <c r="AU102" i="2" s="1"/>
  <c r="AT103" i="2"/>
  <c r="AU103" i="2" s="1"/>
  <c r="AT104" i="2"/>
  <c r="AU104" i="2" s="1"/>
  <c r="AT105" i="2"/>
  <c r="AU105" i="2" s="1"/>
  <c r="AT106" i="2"/>
  <c r="BY18" i="2"/>
  <c r="BD18" i="2"/>
  <c r="T124" i="1"/>
  <c r="S125" i="1"/>
  <c r="V123" i="1"/>
  <c r="AH123" i="1" s="1"/>
  <c r="R124" i="1"/>
  <c r="AU106" i="2" l="1"/>
  <c r="CD54" i="2"/>
  <c r="AU84" i="2"/>
  <c r="BB54" i="2"/>
  <c r="D56" i="2" s="1"/>
  <c r="V124" i="1"/>
  <c r="AH124" i="1" s="1"/>
  <c r="R125" i="1"/>
  <c r="S126" i="1"/>
  <c r="T125" i="1"/>
  <c r="D58" i="2" l="1"/>
  <c r="AV84" i="2"/>
  <c r="AW84" i="2" s="1"/>
  <c r="BD45" i="2" s="1"/>
  <c r="BD46" i="2" s="1"/>
  <c r="BD48" i="2" s="1"/>
  <c r="V125" i="1"/>
  <c r="AH125" i="1" s="1"/>
  <c r="R126" i="1"/>
  <c r="T126" i="1"/>
  <c r="S127" i="1"/>
  <c r="AV85" i="2" l="1"/>
  <c r="AV86" i="2" s="1"/>
  <c r="C23" i="2"/>
  <c r="S128" i="1"/>
  <c r="T127" i="1"/>
  <c r="V126" i="1"/>
  <c r="AH126" i="1" s="1"/>
  <c r="R127" i="1"/>
  <c r="AW85" i="2" l="1"/>
  <c r="BE45" i="2" s="1"/>
  <c r="AV87" i="2"/>
  <c r="AW86" i="2"/>
  <c r="BF45" i="2" s="1"/>
  <c r="T128" i="1"/>
  <c r="V127" i="1"/>
  <c r="R128" i="1"/>
  <c r="BF41" i="2" l="1"/>
  <c r="BE46" i="2"/>
  <c r="BE48" i="2" s="1"/>
  <c r="BD41" i="2"/>
  <c r="BF46" i="2"/>
  <c r="BF48" i="2" s="1"/>
  <c r="BH40" i="2"/>
  <c r="BD40" i="2"/>
  <c r="AV88" i="2"/>
  <c r="AW87" i="2"/>
  <c r="BG45" i="2" s="1"/>
  <c r="AH127" i="1"/>
  <c r="V128" i="1"/>
  <c r="BG46" i="2" l="1"/>
  <c r="BG48" i="2" s="1"/>
  <c r="BD39" i="2"/>
  <c r="BJ39" i="2"/>
  <c r="AV89" i="2"/>
  <c r="AW88" i="2"/>
  <c r="BH45" i="2" s="1"/>
  <c r="AH128" i="1"/>
  <c r="BD38" i="2" l="1"/>
  <c r="BL38" i="2"/>
  <c r="BH46" i="2"/>
  <c r="BH48" i="2" s="1"/>
  <c r="AW89" i="2"/>
  <c r="BI45" i="2" s="1"/>
  <c r="AV90" i="2"/>
  <c r="BE37" i="2" l="1"/>
  <c r="BE43" i="2" s="1"/>
  <c r="BM37" i="2"/>
  <c r="BI46" i="2"/>
  <c r="BI48" i="2" s="1"/>
  <c r="AW90" i="2"/>
  <c r="BJ45" i="2" s="1"/>
  <c r="AV91" i="2"/>
  <c r="X127" i="1"/>
  <c r="AI127" i="1" s="1"/>
  <c r="BJ46" i="2" l="1"/>
  <c r="BJ48" i="2" s="1"/>
  <c r="BM36" i="2"/>
  <c r="BM43" i="2" s="1"/>
  <c r="BG36" i="2"/>
  <c r="BG43" i="2" s="1"/>
  <c r="AV92" i="2"/>
  <c r="AW91" i="2"/>
  <c r="BK45" i="2" s="1"/>
  <c r="X122" i="1"/>
  <c r="AI122" i="1" s="1"/>
  <c r="AK122" i="1" s="1"/>
  <c r="AM122" i="1" s="1"/>
  <c r="X126" i="1"/>
  <c r="AI126" i="1" s="1"/>
  <c r="AJ126" i="1" s="1"/>
  <c r="AL126" i="1" s="1"/>
  <c r="AN126" i="1" s="1"/>
  <c r="X115" i="1"/>
  <c r="AI115" i="1" s="1"/>
  <c r="AJ115" i="1" s="1"/>
  <c r="AL115" i="1" s="1"/>
  <c r="AN115" i="1" s="1"/>
  <c r="X120" i="1"/>
  <c r="AI120" i="1" s="1"/>
  <c r="AK120" i="1" s="1"/>
  <c r="AM120" i="1" s="1"/>
  <c r="X123" i="1"/>
  <c r="AI123" i="1" s="1"/>
  <c r="AK123" i="1" s="1"/>
  <c r="AM123" i="1" s="1"/>
  <c r="AJ127" i="1"/>
  <c r="AL127" i="1" s="1"/>
  <c r="AN127" i="1" s="1"/>
  <c r="AK127" i="1"/>
  <c r="AM127" i="1" s="1"/>
  <c r="X124" i="1"/>
  <c r="AI124" i="1" s="1"/>
  <c r="X116" i="1"/>
  <c r="AI116" i="1" s="1"/>
  <c r="X109" i="1"/>
  <c r="X104" i="1" s="1"/>
  <c r="X125" i="1"/>
  <c r="AI125" i="1" s="1"/>
  <c r="X119" i="1"/>
  <c r="AI119" i="1" s="1"/>
  <c r="X118" i="1"/>
  <c r="AI118" i="1" s="1"/>
  <c r="X113" i="1"/>
  <c r="AI113" i="1" s="1"/>
  <c r="X114" i="1"/>
  <c r="AI114" i="1" s="1"/>
  <c r="X128" i="1"/>
  <c r="AI128" i="1" s="1"/>
  <c r="X121" i="1"/>
  <c r="AI121" i="1" s="1"/>
  <c r="X111" i="1"/>
  <c r="AI111" i="1" s="1"/>
  <c r="X112" i="1"/>
  <c r="AI112" i="1" s="1"/>
  <c r="X117" i="1"/>
  <c r="AI117" i="1" s="1"/>
  <c r="X110" i="1"/>
  <c r="AI110" i="1" s="1"/>
  <c r="BR35" i="2" l="1"/>
  <c r="BK46" i="2"/>
  <c r="BK48" i="2" s="1"/>
  <c r="BD35" i="2"/>
  <c r="C15" i="1"/>
  <c r="C3" i="1" s="1"/>
  <c r="AV93" i="2"/>
  <c r="AW92" i="2"/>
  <c r="BL45" i="2" s="1"/>
  <c r="AK115" i="1"/>
  <c r="AM115" i="1" s="1"/>
  <c r="AJ120" i="1"/>
  <c r="AL120" i="1" s="1"/>
  <c r="AN120" i="1" s="1"/>
  <c r="AK126" i="1"/>
  <c r="AM126" i="1" s="1"/>
  <c r="AJ122" i="1"/>
  <c r="AL122" i="1" s="1"/>
  <c r="AN122" i="1" s="1"/>
  <c r="AJ123" i="1"/>
  <c r="AL123" i="1" s="1"/>
  <c r="AN123" i="1" s="1"/>
  <c r="AK111" i="1"/>
  <c r="AM111" i="1" s="1"/>
  <c r="AJ111" i="1"/>
  <c r="AL111" i="1" s="1"/>
  <c r="AN111" i="1" s="1"/>
  <c r="AO123" i="1"/>
  <c r="AK114" i="1"/>
  <c r="AM114" i="1" s="1"/>
  <c r="AJ114" i="1"/>
  <c r="AL114" i="1" s="1"/>
  <c r="AN114" i="1" s="1"/>
  <c r="AI109" i="1"/>
  <c r="AO122" i="1"/>
  <c r="AJ112" i="1"/>
  <c r="AL112" i="1" s="1"/>
  <c r="AN112" i="1" s="1"/>
  <c r="AK112" i="1"/>
  <c r="AM112" i="1" s="1"/>
  <c r="AJ110" i="1"/>
  <c r="AL110" i="1" s="1"/>
  <c r="AN110" i="1" s="1"/>
  <c r="AK110" i="1"/>
  <c r="AM110" i="1" s="1"/>
  <c r="AJ113" i="1"/>
  <c r="AL113" i="1" s="1"/>
  <c r="AN113" i="1" s="1"/>
  <c r="AK113" i="1"/>
  <c r="AM113" i="1" s="1"/>
  <c r="AO120" i="1"/>
  <c r="AJ116" i="1"/>
  <c r="AL116" i="1" s="1"/>
  <c r="AN116" i="1" s="1"/>
  <c r="AK116" i="1"/>
  <c r="AM116" i="1" s="1"/>
  <c r="AO127" i="1"/>
  <c r="AK128" i="1"/>
  <c r="AM128" i="1" s="1"/>
  <c r="AJ128" i="1"/>
  <c r="AL128" i="1" s="1"/>
  <c r="AN128" i="1" s="1"/>
  <c r="AJ125" i="1"/>
  <c r="AL125" i="1" s="1"/>
  <c r="AN125" i="1" s="1"/>
  <c r="AK125" i="1"/>
  <c r="AM125" i="1" s="1"/>
  <c r="AK117" i="1"/>
  <c r="AM117" i="1" s="1"/>
  <c r="AJ117" i="1"/>
  <c r="AL117" i="1" s="1"/>
  <c r="AN117" i="1" s="1"/>
  <c r="AK121" i="1"/>
  <c r="AM121" i="1" s="1"/>
  <c r="AJ121" i="1"/>
  <c r="AL121" i="1" s="1"/>
  <c r="AN121" i="1" s="1"/>
  <c r="AJ118" i="1"/>
  <c r="AL118" i="1" s="1"/>
  <c r="AN118" i="1" s="1"/>
  <c r="AK118" i="1"/>
  <c r="AM118" i="1" s="1"/>
  <c r="AJ119" i="1"/>
  <c r="AL119" i="1" s="1"/>
  <c r="AN119" i="1" s="1"/>
  <c r="AK119" i="1"/>
  <c r="AM119" i="1" s="1"/>
  <c r="AK124" i="1"/>
  <c r="AM124" i="1" s="1"/>
  <c r="AJ124" i="1"/>
  <c r="AL124" i="1" s="1"/>
  <c r="AN124" i="1" s="1"/>
  <c r="BT34" i="2" l="1"/>
  <c r="BD34" i="2"/>
  <c r="BL46" i="2"/>
  <c r="BL48" i="2" s="1"/>
  <c r="AW93" i="2"/>
  <c r="BM45" i="2" s="1"/>
  <c r="AV94" i="2"/>
  <c r="D3" i="1"/>
  <c r="AO115" i="1"/>
  <c r="AO126" i="1"/>
  <c r="AO121" i="1"/>
  <c r="AO116" i="1"/>
  <c r="AK109" i="1"/>
  <c r="AM109" i="1" s="1"/>
  <c r="AJ109" i="1"/>
  <c r="AL109" i="1" s="1"/>
  <c r="AN109" i="1" s="1"/>
  <c r="AO111" i="1"/>
  <c r="AO119" i="1"/>
  <c r="AO114" i="1"/>
  <c r="AO118" i="1"/>
  <c r="AO113" i="1"/>
  <c r="D10" i="1"/>
  <c r="C10" i="1"/>
  <c r="AO125" i="1"/>
  <c r="AO112" i="1"/>
  <c r="AO124" i="1"/>
  <c r="AO117" i="1"/>
  <c r="AO128" i="1"/>
  <c r="G110" i="1"/>
  <c r="AO110" i="1"/>
  <c r="BD33" i="2" l="1"/>
  <c r="BM46" i="2"/>
  <c r="BM48" i="2" s="1"/>
  <c r="BV33" i="2"/>
  <c r="AW94" i="2"/>
  <c r="BN45" i="2" s="1"/>
  <c r="AV95" i="2"/>
  <c r="BG57" i="1"/>
  <c r="AW154" i="1"/>
  <c r="AW150" i="1"/>
  <c r="AX150" i="1" s="1"/>
  <c r="AW146" i="1"/>
  <c r="AX146" i="1" s="1"/>
  <c r="AW142" i="1"/>
  <c r="AX142" i="1" s="1"/>
  <c r="AW138" i="1"/>
  <c r="AX138" i="1" s="1"/>
  <c r="AW134" i="1"/>
  <c r="AX134" i="1" s="1"/>
  <c r="AW149" i="1"/>
  <c r="AX149" i="1" s="1"/>
  <c r="AW141" i="1"/>
  <c r="AX141" i="1" s="1"/>
  <c r="AW133" i="1"/>
  <c r="AX133" i="1" s="1"/>
  <c r="AW143" i="1"/>
  <c r="AX143" i="1" s="1"/>
  <c r="AW153" i="1"/>
  <c r="AX153" i="1" s="1"/>
  <c r="AW145" i="1"/>
  <c r="AX145" i="1" s="1"/>
  <c r="AW137" i="1"/>
  <c r="AX137" i="1" s="1"/>
  <c r="AW151" i="1"/>
  <c r="AX151" i="1" s="1"/>
  <c r="AW135" i="1"/>
  <c r="AX135" i="1" s="1"/>
  <c r="AW152" i="1"/>
  <c r="AX152" i="1" s="1"/>
  <c r="AW148" i="1"/>
  <c r="AX148" i="1" s="1"/>
  <c r="AW144" i="1"/>
  <c r="AX144" i="1" s="1"/>
  <c r="AW140" i="1"/>
  <c r="AX140" i="1" s="1"/>
  <c r="AW136" i="1"/>
  <c r="AX136" i="1" s="1"/>
  <c r="AW147" i="1"/>
  <c r="AX147" i="1" s="1"/>
  <c r="AW139" i="1"/>
  <c r="AX139" i="1" s="1"/>
  <c r="CB57" i="1"/>
  <c r="AW132" i="1"/>
  <c r="AX132" i="1" s="1"/>
  <c r="AO109" i="1"/>
  <c r="BX32" i="2" l="1"/>
  <c r="BN46" i="2"/>
  <c r="BN48" i="2" s="1"/>
  <c r="BD32" i="2"/>
  <c r="AX154" i="1"/>
  <c r="CI99" i="1"/>
  <c r="D101" i="1" s="1"/>
  <c r="AW95" i="2"/>
  <c r="BO45" i="2" s="1"/>
  <c r="AV96" i="2"/>
  <c r="BA99" i="1"/>
  <c r="D99" i="1" s="1"/>
  <c r="BZ31" i="2" l="1"/>
  <c r="BD31" i="2"/>
  <c r="BD43" i="2" s="1"/>
  <c r="BO46" i="2"/>
  <c r="BO48" i="2" s="1"/>
  <c r="AY132" i="1"/>
  <c r="AZ132" i="1" s="1"/>
  <c r="BG84" i="1" s="1"/>
  <c r="AW96" i="2"/>
  <c r="BP45" i="2" s="1"/>
  <c r="AV97" i="2"/>
  <c r="BZ30" i="2" l="1"/>
  <c r="BF30" i="2"/>
  <c r="BF43" i="2" s="1"/>
  <c r="BP46" i="2"/>
  <c r="BP48" i="2" s="1"/>
  <c r="AY133" i="1"/>
  <c r="AY134" i="1" s="1"/>
  <c r="AV98" i="2"/>
  <c r="AW97" i="2"/>
  <c r="BQ45" i="2" s="1"/>
  <c r="AZ133" i="1" l="1"/>
  <c r="BH84" i="1" s="1"/>
  <c r="BG80" i="1" s="1"/>
  <c r="BQ46" i="2"/>
  <c r="BQ48" i="2" s="1"/>
  <c r="BH29" i="2"/>
  <c r="BH43" i="2" s="1"/>
  <c r="BZ29" i="2"/>
  <c r="AW98" i="2"/>
  <c r="BR45" i="2" s="1"/>
  <c r="AV99" i="2"/>
  <c r="AY135" i="1"/>
  <c r="AZ135" i="1" s="1"/>
  <c r="BJ84" i="1" s="1"/>
  <c r="AZ134" i="1"/>
  <c r="BI84" i="1" s="1"/>
  <c r="BI80" i="1" l="1"/>
  <c r="BR46" i="2"/>
  <c r="BR48" i="2" s="1"/>
  <c r="BZ28" i="2"/>
  <c r="BJ28" i="2"/>
  <c r="BJ43" i="2" s="1"/>
  <c r="BM78" i="1"/>
  <c r="BG78" i="1"/>
  <c r="BK79" i="1"/>
  <c r="BG79" i="1"/>
  <c r="AV100" i="2"/>
  <c r="AW99" i="2"/>
  <c r="BS45" i="2" s="1"/>
  <c r="AY136" i="1"/>
  <c r="AZ136" i="1" s="1"/>
  <c r="BK84" i="1" s="1"/>
  <c r="BZ27" i="2" l="1"/>
  <c r="BS46" i="2"/>
  <c r="BS48" i="2" s="1"/>
  <c r="BL27" i="2"/>
  <c r="BL43" i="2" s="1"/>
  <c r="BO77" i="1"/>
  <c r="BG77" i="1"/>
  <c r="AV101" i="2"/>
  <c r="AW100" i="2"/>
  <c r="BT45" i="2" s="1"/>
  <c r="AY137" i="1"/>
  <c r="AZ137" i="1" s="1"/>
  <c r="BL84" i="1" s="1"/>
  <c r="BQ26" i="2" l="1"/>
  <c r="BW26" i="2"/>
  <c r="BW43" i="2" s="1"/>
  <c r="BT46" i="2"/>
  <c r="BT48" i="2" s="1"/>
  <c r="BH76" i="1"/>
  <c r="BH82" i="1" s="1"/>
  <c r="BP76" i="1"/>
  <c r="AV102" i="2"/>
  <c r="AW101" i="2"/>
  <c r="BU45" i="2" s="1"/>
  <c r="AY138" i="1"/>
  <c r="AZ138" i="1" s="1"/>
  <c r="BM84" i="1" s="1"/>
  <c r="BU46" i="2" l="1"/>
  <c r="BU48" i="2" s="1"/>
  <c r="BQ25" i="2"/>
  <c r="BQ43" i="2" s="1"/>
  <c r="BY25" i="2"/>
  <c r="BY43" i="2" s="1"/>
  <c r="BJ75" i="1"/>
  <c r="BJ82" i="1" s="1"/>
  <c r="BP75" i="1"/>
  <c r="BP82" i="1" s="1"/>
  <c r="AW102" i="2"/>
  <c r="BV45" i="2" s="1"/>
  <c r="AV103" i="2"/>
  <c r="AY139" i="1"/>
  <c r="AZ139" i="1" s="1"/>
  <c r="BN84" i="1" s="1"/>
  <c r="BU74" i="1" s="1"/>
  <c r="BV46" i="2" l="1"/>
  <c r="BV48" i="2" s="1"/>
  <c r="BZ24" i="2"/>
  <c r="BR24" i="2"/>
  <c r="BR43" i="2" s="1"/>
  <c r="BG74" i="1"/>
  <c r="AV104" i="2"/>
  <c r="AW103" i="2"/>
  <c r="BW45" i="2" s="1"/>
  <c r="AY140" i="1"/>
  <c r="AZ140" i="1" s="1"/>
  <c r="BO84" i="1" s="1"/>
  <c r="BW46" i="2" l="1"/>
  <c r="BW48" i="2" s="1"/>
  <c r="BT23" i="2"/>
  <c r="BT43" i="2" s="1"/>
  <c r="BZ23" i="2"/>
  <c r="BG73" i="1"/>
  <c r="BW73" i="1"/>
  <c r="AW104" i="2"/>
  <c r="BX45" i="2" s="1"/>
  <c r="AV105" i="2"/>
  <c r="AY141" i="1"/>
  <c r="AZ141" i="1" s="1"/>
  <c r="BP84" i="1" s="1"/>
  <c r="BV22" i="2" l="1"/>
  <c r="BV43" i="2" s="1"/>
  <c r="BZ22" i="2"/>
  <c r="BX46" i="2"/>
  <c r="BX48" i="2" s="1"/>
  <c r="BY72" i="1"/>
  <c r="BG72" i="1"/>
  <c r="AV106" i="2"/>
  <c r="AW105" i="2"/>
  <c r="BY45" i="2" s="1"/>
  <c r="AY142" i="1"/>
  <c r="AZ142" i="1" s="1"/>
  <c r="BX21" i="2" l="1"/>
  <c r="BX43" i="2" s="1"/>
  <c r="BZ21" i="2"/>
  <c r="BZ43" i="2" s="1"/>
  <c r="BY46" i="2"/>
  <c r="BY48" i="2" s="1"/>
  <c r="BF87" i="1"/>
  <c r="BQ84" i="1"/>
  <c r="AW106" i="2"/>
  <c r="BZ45" i="2" s="1"/>
  <c r="BZ46" i="2" s="1"/>
  <c r="BZ48" i="2" s="1"/>
  <c r="AY143" i="1"/>
  <c r="AZ143" i="1" s="1"/>
  <c r="BR84" i="1" s="1"/>
  <c r="CC70" i="1" l="1"/>
  <c r="BG70" i="1"/>
  <c r="CA71" i="1"/>
  <c r="BG71" i="1"/>
  <c r="AY144" i="1"/>
  <c r="AZ144" i="1" s="1"/>
  <c r="BS84" i="1" s="1"/>
  <c r="BG85" i="1"/>
  <c r="BG87" i="1" s="1"/>
  <c r="BG82" i="1" l="1"/>
  <c r="BI69" i="1"/>
  <c r="BI82" i="1" s="1"/>
  <c r="CC69" i="1"/>
  <c r="AY145" i="1"/>
  <c r="AZ145" i="1" s="1"/>
  <c r="BT84" i="1" s="1"/>
  <c r="BH85" i="1"/>
  <c r="BH87" i="1" s="1"/>
  <c r="BK68" i="1" l="1"/>
  <c r="BK82" i="1" s="1"/>
  <c r="CC68" i="1"/>
  <c r="AY146" i="1"/>
  <c r="AZ146" i="1" s="1"/>
  <c r="BU84" i="1" s="1"/>
  <c r="BI85" i="1"/>
  <c r="BI87" i="1" s="1"/>
  <c r="BM67" i="1" l="1"/>
  <c r="BM82" i="1" s="1"/>
  <c r="CC67" i="1"/>
  <c r="AY147" i="1"/>
  <c r="AZ147" i="1" s="1"/>
  <c r="BV84" i="1" s="1"/>
  <c r="BJ85" i="1"/>
  <c r="BJ87" i="1" s="1"/>
  <c r="BO66" i="1" l="1"/>
  <c r="BO82" i="1" s="1"/>
  <c r="CC66" i="1"/>
  <c r="AY148" i="1"/>
  <c r="AZ148" i="1" s="1"/>
  <c r="BW84" i="1" s="1"/>
  <c r="BK85" i="1"/>
  <c r="BK87" i="1" s="1"/>
  <c r="BZ65" i="1" l="1"/>
  <c r="BZ82" i="1" s="1"/>
  <c r="BT65" i="1"/>
  <c r="AY149" i="1"/>
  <c r="AZ149" i="1" s="1"/>
  <c r="BX84" i="1" s="1"/>
  <c r="BL85" i="1"/>
  <c r="BL87" i="1" s="1"/>
  <c r="CB64" i="1" l="1"/>
  <c r="CB82" i="1" s="1"/>
  <c r="BT64" i="1"/>
  <c r="BT82" i="1" s="1"/>
  <c r="AY150" i="1"/>
  <c r="AZ150" i="1" s="1"/>
  <c r="BY84" i="1" s="1"/>
  <c r="BM85" i="1"/>
  <c r="BM87" i="1" s="1"/>
  <c r="CC63" i="1" l="1"/>
  <c r="BU63" i="1"/>
  <c r="BU82" i="1" s="1"/>
  <c r="AY151" i="1"/>
  <c r="AZ151" i="1" s="1"/>
  <c r="BZ84" i="1" s="1"/>
  <c r="CC62" i="1" s="1"/>
  <c r="BN85" i="1"/>
  <c r="BN87" i="1" s="1"/>
  <c r="BW62" i="1" l="1"/>
  <c r="BW82" i="1" s="1"/>
  <c r="AY152" i="1"/>
  <c r="AZ152" i="1" s="1"/>
  <c r="CA84" i="1" s="1"/>
  <c r="BO85" i="1"/>
  <c r="BO87" i="1" s="1"/>
  <c r="BY61" i="1" l="1"/>
  <c r="BY82" i="1" s="1"/>
  <c r="CC61" i="1"/>
  <c r="AY153" i="1"/>
  <c r="AZ153" i="1" s="1"/>
  <c r="CB84" i="1" s="1"/>
  <c r="BP85" i="1"/>
  <c r="BP87" i="1" s="1"/>
  <c r="CA60" i="1" l="1"/>
  <c r="CA82" i="1" s="1"/>
  <c r="CC60" i="1"/>
  <c r="CC82" i="1" s="1"/>
  <c r="AY154" i="1"/>
  <c r="AZ154" i="1" s="1"/>
  <c r="CC84" i="1" s="1"/>
  <c r="BQ85" i="1"/>
  <c r="BQ87" i="1" s="1"/>
  <c r="BR85" i="1" l="1"/>
  <c r="BR87" i="1" s="1"/>
  <c r="BS85" i="1" l="1"/>
  <c r="BS87" i="1" s="1"/>
  <c r="BT85" i="1" l="1"/>
  <c r="BT87" i="1" s="1"/>
  <c r="BU85" i="1" l="1"/>
  <c r="BU87" i="1" s="1"/>
  <c r="BV85" i="1" l="1"/>
  <c r="BV87" i="1" s="1"/>
  <c r="BW85" i="1" l="1"/>
  <c r="BW87" i="1" s="1"/>
  <c r="BX85" i="1" l="1"/>
  <c r="BX87" i="1" s="1"/>
  <c r="BY85" i="1" l="1"/>
  <c r="BY87" i="1" s="1"/>
  <c r="BZ85" i="1" l="1"/>
  <c r="BZ87" i="1" s="1"/>
  <c r="CA85" i="1" l="1"/>
  <c r="CA87" i="1" s="1"/>
  <c r="CB85" i="1" l="1"/>
  <c r="CB87" i="1" s="1"/>
  <c r="CC85" i="1" l="1"/>
  <c r="CC87" i="1" s="1"/>
</calcChain>
</file>

<file path=xl/comments1.xml><?xml version="1.0" encoding="utf-8"?>
<comments xmlns="http://schemas.openxmlformats.org/spreadsheetml/2006/main">
  <authors>
    <author>Stanislav</author>
  </authors>
  <commentList>
    <comment ref="C2" authorId="0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 xml:space="preserve">разстояние между двата крайни отвора на FR AR с ЕXBAR в средата  </t>
        </r>
      </text>
    </comment>
    <comment ref="D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С EXBAR в средата</t>
        </r>
      </text>
    </comment>
    <comment ref="E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EXBAR AR- 43mm</t>
        </r>
      </text>
    </commen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72.9699970°, 162.1867 константи за FR AR</t>
        </r>
      </text>
    </comment>
    <comment ref="C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2x5800- отпред на ViRAY
8000-  FRONT OF FR VR</t>
        </r>
      </text>
    </comment>
    <comment ref="D7" authorId="0">
      <text>
        <r>
          <rPr>
            <b/>
            <sz val="16"/>
            <color indexed="81"/>
            <rFont val="Tahoma"/>
            <family val="2"/>
          </rPr>
          <t>10 000 кг  ViRAY задно</t>
        </r>
      </text>
    </comment>
    <comment ref="E8" authorId="0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  <comment ref="C12" authorId="0">
      <text>
        <r>
          <rPr>
            <b/>
            <sz val="12"/>
            <color indexed="81"/>
            <rFont val="Tahoma"/>
            <family val="2"/>
          </rPr>
          <t>общо тегло 
кутии+exbar+кабели</t>
        </r>
      </text>
    </comment>
    <comment ref="C13" authorId="0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ViRAY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Stanislav</author>
  </authors>
  <commentList>
    <comment ref="C2" authorId="0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 xml:space="preserve">разстояние между двата крайни отвора на FR AR с ЕXBAR в средата  </t>
        </r>
      </text>
    </comment>
    <comment ref="D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EXBAR AR- 43mm</t>
        </r>
      </text>
    </commen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72.9699970°, 162.1867 константи за FR AR</t>
        </r>
      </text>
    </comment>
    <comment ref="C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</t>
        </r>
      </text>
    </comment>
    <comment ref="D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B25" authorId="0">
      <text>
        <r>
          <rPr>
            <b/>
            <sz val="14"/>
            <color indexed="81"/>
            <rFont val="Tahoma"/>
            <family val="2"/>
          </rPr>
          <t>5800- SC V F отпред</t>
        </r>
      </text>
    </comment>
    <comment ref="C25" authorId="0">
      <text>
        <r>
          <rPr>
            <b/>
            <sz val="14"/>
            <color indexed="81"/>
            <rFont val="Tahoma"/>
            <family val="2"/>
          </rPr>
          <t>5800- SC V F отпред</t>
        </r>
      </text>
    </comment>
    <comment ref="D26" authorId="0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</commentList>
</comments>
</file>

<file path=xl/comments3.xml><?xml version="1.0" encoding="utf-8"?>
<comments xmlns="http://schemas.openxmlformats.org/spreadsheetml/2006/main">
  <authors>
    <author>Stanislav</author>
  </authors>
  <commentList>
    <comment ref="C2" authorId="0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 xml:space="preserve">разстояние между двата крайни отвора на FR AR с ЕXBAR в средата  </t>
        </r>
      </text>
    </comment>
    <comment ref="D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EXBAR AR- 43mm</t>
        </r>
      </text>
    </commen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72.9699970°, 162.1867 константи за FR AR</t>
        </r>
      </text>
    </comment>
    <comment ref="C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>
      <text>
        <r>
          <rPr>
            <b/>
            <sz val="14"/>
            <color indexed="81"/>
            <rFont val="Tahoma"/>
            <family val="2"/>
          </rPr>
          <t>тегло на цялата система + кабели + EXBAR VR</t>
        </r>
      </text>
    </comment>
    <comment ref="C9" authorId="0">
      <text>
        <r>
          <rPr>
            <b/>
            <sz val="14"/>
            <color indexed="81"/>
            <rFont val="Tahoma"/>
            <family val="2"/>
          </rPr>
          <t>център на тежест на системата спрямо предната точка на окачване</t>
        </r>
      </text>
    </comment>
    <comment ref="C11" authorId="0">
      <text>
        <r>
          <rPr>
            <b/>
            <sz val="14"/>
            <color indexed="81"/>
            <rFont val="Tahoma"/>
            <family val="2"/>
          </rPr>
          <t>Stanislav:</t>
        </r>
        <r>
          <rPr>
            <sz val="14"/>
            <color indexed="81"/>
            <rFont val="Tahoma"/>
            <family val="2"/>
          </rPr>
          <t xml:space="preserve">
тегло на SCV F системата SCV F
+ FR VR</t>
        </r>
      </text>
    </comment>
    <comment ref="C12" authorId="0">
      <text>
        <r>
          <rPr>
            <b/>
            <sz val="14"/>
            <color indexed="81"/>
            <rFont val="Tahoma"/>
            <family val="2"/>
          </rPr>
          <t>разстояние между предното и задното окачване на SCV F</t>
        </r>
      </text>
    </comment>
    <comment ref="C14" authorId="0">
      <text>
        <r>
          <rPr>
            <sz val="14"/>
            <color indexed="81"/>
            <rFont val="Tahoma"/>
            <family val="2"/>
          </rPr>
          <t>тегло на системаат  ViRAY + FR VF</t>
        </r>
      </text>
    </comment>
    <comment ref="C15" authorId="0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AiRAY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</commentList>
</comments>
</file>

<file path=xl/comments4.xml><?xml version="1.0" encoding="utf-8"?>
<comments xmlns="http://schemas.openxmlformats.org/spreadsheetml/2006/main">
  <authors>
    <author>Stanislav</author>
  </authors>
  <commentList>
    <comment ref="C2" authorId="0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 xml:space="preserve">разстояние между двата крайни отвора на FR AR с ЕXBAR в средата  </t>
        </r>
      </text>
    </comment>
    <comment ref="D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С EXBAR в средата</t>
        </r>
      </text>
    </comment>
    <comment ref="E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EXBAR AR- 43mm</t>
        </r>
      </text>
    </commen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72.9699970°, 162.1867 константи за FR AR</t>
        </r>
      </text>
    </comment>
    <comment ref="C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2x5800- отпред на ViRAY
8000-  FRONT OF FR VR</t>
        </r>
      </text>
    </comment>
    <comment ref="D7" authorId="0">
      <text>
        <r>
          <rPr>
            <b/>
            <sz val="16"/>
            <color indexed="81"/>
            <rFont val="Tahoma"/>
            <family val="2"/>
          </rPr>
          <t>10 000 кг  ViRAY задно</t>
        </r>
      </text>
    </comment>
    <comment ref="E8" authorId="0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  <comment ref="C12" authorId="0">
      <text>
        <r>
          <rPr>
            <b/>
            <sz val="12"/>
            <color indexed="81"/>
            <rFont val="Tahoma"/>
            <family val="2"/>
          </rPr>
          <t>общо тегло 
кутии+exbar+кабели</t>
        </r>
      </text>
    </comment>
    <comment ref="C13" authorId="0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ViRAY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<sst xmlns="http://schemas.openxmlformats.org/spreadsheetml/2006/main" count="364" uniqueCount="116">
  <si>
    <t>b</t>
  </si>
  <si>
    <t>k</t>
  </si>
  <si>
    <t>b/2</t>
  </si>
  <si>
    <t>sin b/2</t>
  </si>
  <si>
    <t>d</t>
  </si>
  <si>
    <t>2c</t>
  </si>
  <si>
    <t>e=a/2</t>
  </si>
  <si>
    <t>sin(e)</t>
  </si>
  <si>
    <t>c=sin(b/2)*d</t>
  </si>
  <si>
    <t>f=sin(e)*2c</t>
  </si>
  <si>
    <t>g center of  mass -x</t>
  </si>
  <si>
    <t>h=g+f</t>
  </si>
  <si>
    <t>center of mass X</t>
  </si>
  <si>
    <t>a</t>
  </si>
  <si>
    <t>L</t>
  </si>
  <si>
    <t>G</t>
  </si>
  <si>
    <t>kg</t>
  </si>
  <si>
    <t xml:space="preserve">G </t>
  </si>
  <si>
    <t>Fa=((L-a)/L)*G</t>
  </si>
  <si>
    <t>Fb=(a/L)*G</t>
  </si>
  <si>
    <t>front</t>
  </si>
  <si>
    <t>rear</t>
  </si>
  <si>
    <t>Weight total:</t>
  </si>
  <si>
    <t>L(2motors)=</t>
  </si>
  <si>
    <t>2 motors, kg</t>
  </si>
  <si>
    <t>front motor</t>
  </si>
  <si>
    <t>rear motor</t>
  </si>
  <si>
    <t>a - общ ъгъл</t>
  </si>
  <si>
    <t>sin t</t>
  </si>
  <si>
    <t>m= sin t *n(const)</t>
  </si>
  <si>
    <t>sin r</t>
  </si>
  <si>
    <t>p= sin r *q(const)</t>
  </si>
  <si>
    <t xml:space="preserve">g - тегло на боксожете под тази </t>
  </si>
  <si>
    <t>L=m+n</t>
  </si>
  <si>
    <t>z- център на тежест на боксовете след него спрямо първата колона</t>
  </si>
  <si>
    <t>J=x-p</t>
  </si>
  <si>
    <t>A=z-J</t>
  </si>
  <si>
    <t>Fa=((L-A)/L)*G</t>
  </si>
  <si>
    <t>Fb=(A/L)*G</t>
  </si>
  <si>
    <t>синьо</t>
  </si>
  <si>
    <t>L=m+p</t>
  </si>
  <si>
    <t xml:space="preserve">x= (SUM Gi*xi)/G
</t>
  </si>
  <si>
    <t>Asc8=z-J</t>
  </si>
  <si>
    <t>Asc8+la12 =x-J</t>
  </si>
  <si>
    <t>k - safety factor</t>
  </si>
  <si>
    <t>G,kg</t>
  </si>
  <si>
    <t>L,mm</t>
  </si>
  <si>
    <t>a,mm</t>
  </si>
  <si>
    <t>center  om mass от R напред</t>
  </si>
  <si>
    <t>center  om mass от А назад</t>
  </si>
  <si>
    <t>kg.</t>
  </si>
  <si>
    <t>t= 54.501+a</t>
  </si>
  <si>
    <t>r= 58.73-a</t>
  </si>
  <si>
    <t>A SCV F=z-J</t>
  </si>
  <si>
    <t>b=k+a</t>
  </si>
  <si>
    <t>destroying force VR VR</t>
  </si>
  <si>
    <t>destroying force   SC VF, kg</t>
  </si>
  <si>
    <t>destroying force, kg ViRAY</t>
  </si>
  <si>
    <t>ОБЩ ЪГЪЛ</t>
  </si>
  <si>
    <t>destroying force FR VR</t>
  </si>
  <si>
    <t>n</t>
  </si>
  <si>
    <t>kn</t>
  </si>
  <si>
    <t>kn-a</t>
  </si>
  <si>
    <t>cos(kn-a)</t>
  </si>
  <si>
    <t>x=cos(kn-a)*n</t>
  </si>
  <si>
    <t>h=x</t>
  </si>
  <si>
    <t>пресмятане на отместването  на център на тежеста на следващата система(за да се сумират двете системи)</t>
  </si>
  <si>
    <t>ъгъл</t>
  </si>
  <si>
    <t>j=cosv*n</t>
  </si>
  <si>
    <t>q=z-j</t>
  </si>
  <si>
    <t>най-долната колона</t>
  </si>
  <si>
    <t>Lx</t>
  </si>
  <si>
    <t>Lo</t>
  </si>
  <si>
    <t>Ao</t>
  </si>
  <si>
    <t>a(2motors)=a1-47.5</t>
  </si>
  <si>
    <t>L(2motors) 
with exbar in front or at the back and ADS</t>
  </si>
  <si>
    <t>a(2motors)with 
exbar in front =a+425.5</t>
  </si>
  <si>
    <t>t= 66.25-a</t>
  </si>
  <si>
    <t>r= 50.018+a</t>
  </si>
  <si>
    <t>пресмятане на разстоянието между центъра на тежеста спрямо първия отвор за шегел на фрейма</t>
  </si>
  <si>
    <t>1 motor - 1 point</t>
  </si>
  <si>
    <t>x AiRAY</t>
  </si>
  <si>
    <t>САМО ЗА SCV F И AiRAY</t>
  </si>
  <si>
    <t>m= sin t *n(const304.3209)</t>
  </si>
  <si>
    <t>p= sin r *q(const279.0605)</t>
  </si>
  <si>
    <t>изчисляване на центъра на тежеста на FR AR</t>
  </si>
  <si>
    <t>k- const</t>
  </si>
  <si>
    <t>f-ъгъл</t>
  </si>
  <si>
    <t>cos(f)</t>
  </si>
  <si>
    <t>изчисляване на центъра на тежеста на системата FR AR и АiRAY</t>
  </si>
  <si>
    <t>x= (SUM Gi*xi)/G</t>
  </si>
  <si>
    <t>x=cos(f)*n(const)
n=308.3419за FRV APS</t>
  </si>
  <si>
    <t>a(2motors)=a1-32.5914</t>
  </si>
  <si>
    <t>не се отчитат , това са данни ит Airay</t>
  </si>
  <si>
    <t>изчисляване на центъра на тежеста на FRV APS</t>
  </si>
  <si>
    <t>enter the angle of frame FRV APS</t>
  </si>
  <si>
    <t xml:space="preserve">g APS SUB- тегло на боксожете под тази </t>
  </si>
  <si>
    <t>1 motor- 2 points</t>
  </si>
  <si>
    <t>Total weight includes: APS, FRV APS ( 5 kg), Main LS Cables (5 kg)</t>
  </si>
  <si>
    <t>Total weight includes: APS SUB , FRV APS ( 5 kg), Main LS Cables (5 kg)</t>
  </si>
  <si>
    <t>G ,APS SUB</t>
  </si>
  <si>
    <t>G , APS</t>
  </si>
  <si>
    <t>n APS SUB</t>
  </si>
  <si>
    <t>v, APS SUB</t>
  </si>
  <si>
    <t>САМО ЗА APS SUB + APS</t>
  </si>
  <si>
    <t xml:space="preserve">g APS- тегло на боксожете под тази </t>
  </si>
  <si>
    <t>G APS SUB - тегло на боксожете под тази +APS</t>
  </si>
  <si>
    <t>ТОВА СЕ СКРИВА</t>
  </si>
  <si>
    <t>enter the angle of frame FRH APS</t>
  </si>
  <si>
    <t>3x APS</t>
  </si>
  <si>
    <t>x=cos(f)*n(const)
n=250.949 за FRH APS</t>
  </si>
  <si>
    <t>Total weight includes: 3xAPS, FRH APS ( 1.6 kg), Main LS Cables (5 kg)</t>
  </si>
  <si>
    <t>Total weight includes: APS SUB, APS, FRV APS ( 5 kg), Main LS Cables (5 kg)</t>
  </si>
  <si>
    <r>
      <t xml:space="preserve">enter the number of 
</t>
    </r>
    <r>
      <rPr>
        <b/>
        <sz val="20"/>
        <rFont val="Arial"/>
        <family val="2"/>
        <charset val="204"/>
      </rPr>
      <t>APS SUB</t>
    </r>
    <r>
      <rPr>
        <b/>
        <sz val="16"/>
        <rFont val="Arial"/>
        <family val="2"/>
      </rPr>
      <t xml:space="preserve">
 cabinets from 1 up to 3</t>
    </r>
  </si>
  <si>
    <r>
      <t xml:space="preserve">enter the number of
 </t>
    </r>
    <r>
      <rPr>
        <b/>
        <sz val="20"/>
        <rFont val="Arial"/>
        <family val="2"/>
        <charset val="204"/>
      </rPr>
      <t>APS</t>
    </r>
    <r>
      <rPr>
        <b/>
        <sz val="18"/>
        <rFont val="Arial"/>
        <family val="2"/>
      </rPr>
      <t xml:space="preserve"> 
cabinets from 1 up to 6</t>
    </r>
  </si>
  <si>
    <r>
      <t xml:space="preserve">enter the number of 
</t>
    </r>
    <r>
      <rPr>
        <b/>
        <sz val="20"/>
        <rFont val="Arial"/>
        <family val="2"/>
        <charset val="204"/>
      </rPr>
      <t>APS</t>
    </r>
    <r>
      <rPr>
        <b/>
        <sz val="16"/>
        <rFont val="Arial"/>
        <family val="2"/>
      </rPr>
      <t xml:space="preserve">
 cabinets from 1 up to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</si>
</sst>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 Narrow"/>
      <family val="2"/>
      <charset val="204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name val="Arial Narrow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20"/>
      <name val="Arial Narrow"/>
      <family val="2"/>
    </font>
    <font>
      <b/>
      <sz val="12"/>
      <name val="Arial"/>
      <family val="2"/>
    </font>
    <font>
      <b/>
      <sz val="12"/>
      <color indexed="11"/>
      <name val="Arial"/>
      <family val="2"/>
    </font>
    <font>
      <b/>
      <sz val="12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9"/>
      <name val="Arial"/>
      <family val="2"/>
    </font>
    <font>
      <b/>
      <sz val="12"/>
      <color indexed="57"/>
      <name val="Arial Narrow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sz val="12"/>
      <color indexed="11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4"/>
      <color indexed="9"/>
      <name val="Arial Narrow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b/>
      <sz val="12"/>
      <color indexed="16"/>
      <name val="Arial"/>
      <family val="2"/>
    </font>
    <font>
      <b/>
      <sz val="10"/>
      <color indexed="48"/>
      <name val="Arial"/>
      <family val="2"/>
    </font>
    <font>
      <b/>
      <sz val="12"/>
      <color indexed="30"/>
      <name val="Arial"/>
      <family val="2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indexed="10"/>
      <name val="Arial"/>
      <family val="2"/>
    </font>
    <font>
      <b/>
      <u/>
      <sz val="14"/>
      <color indexed="57"/>
      <name val="Arial"/>
      <family val="2"/>
    </font>
    <font>
      <b/>
      <u/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b/>
      <sz val="16"/>
      <color indexed="12"/>
      <name val="Arial Narrow"/>
      <family val="2"/>
    </font>
    <font>
      <b/>
      <sz val="16"/>
      <color indexed="57"/>
      <name val="Arial"/>
      <family val="2"/>
    </font>
    <font>
      <b/>
      <sz val="16"/>
      <color indexed="53"/>
      <name val="Arial"/>
      <family val="2"/>
    </font>
    <font>
      <b/>
      <sz val="16"/>
      <color indexed="53"/>
      <name val="Arial Narrow"/>
      <family val="2"/>
    </font>
    <font>
      <b/>
      <sz val="16"/>
      <color indexed="11"/>
      <name val="Arial"/>
      <family val="2"/>
    </font>
    <font>
      <b/>
      <sz val="12"/>
      <name val="Arial Black"/>
      <family val="2"/>
    </font>
    <font>
      <b/>
      <sz val="14"/>
      <color indexed="12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4"/>
      <color indexed="10"/>
      <name val="Arial"/>
      <family val="2"/>
    </font>
    <font>
      <b/>
      <sz val="14"/>
      <color indexed="48"/>
      <name val="Arial"/>
      <family val="2"/>
    </font>
    <font>
      <b/>
      <sz val="14"/>
      <color indexed="16"/>
      <name val="Arial"/>
      <family val="2"/>
    </font>
    <font>
      <b/>
      <u/>
      <sz val="16"/>
      <name val="Arial"/>
      <family val="2"/>
    </font>
    <font>
      <b/>
      <sz val="16"/>
      <color indexed="81"/>
      <name val="Tahoma"/>
      <family val="2"/>
    </font>
    <font>
      <b/>
      <sz val="10"/>
      <color indexed="14"/>
      <name val="Arial"/>
      <family val="2"/>
    </font>
    <font>
      <b/>
      <sz val="12"/>
      <color indexed="81"/>
      <name val="Tahoma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8"/>
      <color theme="0" tint="-4.9989318521683403E-2"/>
      <name val="Arial"/>
      <family val="2"/>
    </font>
    <font>
      <sz val="18"/>
      <name val="Arial"/>
      <family val="2"/>
    </font>
    <font>
      <sz val="18"/>
      <color indexed="81"/>
      <name val="Tahoma"/>
      <family val="2"/>
      <charset val="204"/>
    </font>
    <font>
      <b/>
      <u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"/>
      <family val="2"/>
      <charset val="204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sz val="12"/>
      <name val="Arial"/>
      <family val="2"/>
      <charset val="204"/>
    </font>
    <font>
      <b/>
      <sz val="18"/>
      <name val="Arial Narrow"/>
      <family val="2"/>
    </font>
    <font>
      <b/>
      <sz val="16"/>
      <color rgb="FFFF0000"/>
      <name val="Arial Narrow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9"/>
      <name val="Arial Narrow"/>
      <family val="2"/>
    </font>
    <font>
      <b/>
      <sz val="18"/>
      <color rgb="FFFF0000"/>
      <name val="Arial Narrow"/>
      <family val="2"/>
    </font>
    <font>
      <b/>
      <sz val="18"/>
      <color indexed="9"/>
      <name val="Arial Narrow"/>
      <family val="2"/>
    </font>
    <font>
      <b/>
      <sz val="14"/>
      <color rgb="FFFF0000"/>
      <name val="Arial Narrow"/>
      <family val="2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</font>
    <font>
      <u/>
      <sz val="14"/>
      <name val="Arial"/>
      <family val="2"/>
    </font>
    <font>
      <b/>
      <u/>
      <sz val="16"/>
      <name val="Arial"/>
      <family val="2"/>
      <charset val="204"/>
    </font>
    <font>
      <b/>
      <u/>
      <sz val="18"/>
      <color indexed="57"/>
      <name val="Arial"/>
      <family val="2"/>
    </font>
    <font>
      <b/>
      <u/>
      <sz val="18"/>
      <color indexed="10"/>
      <name val="Arial"/>
      <family val="2"/>
    </font>
    <font>
      <u/>
      <sz val="18"/>
      <name val="Arial"/>
      <family val="2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2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Up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1" fillId="0" borderId="0"/>
  </cellStyleXfs>
  <cellXfs count="534">
    <xf numFmtId="0" fontId="0" fillId="0" borderId="0" xfId="0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76" fillId="0" borderId="0" xfId="1" applyFont="1" applyFill="1" applyBorder="1" applyProtection="1"/>
    <xf numFmtId="2" fontId="58" fillId="0" borderId="0" xfId="1" applyNumberFormat="1" applyFont="1" applyFill="1" applyBorder="1" applyAlignment="1" applyProtection="1">
      <alignment horizontal="center" vertical="center"/>
    </xf>
    <xf numFmtId="0" fontId="39" fillId="0" borderId="0" xfId="2" applyFont="1" applyFill="1" applyBorder="1" applyAlignment="1" applyProtection="1">
      <alignment horizontal="center" vertical="center"/>
    </xf>
    <xf numFmtId="2" fontId="39" fillId="0" borderId="0" xfId="1" applyNumberFormat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4" fillId="15" borderId="5" xfId="0" applyFont="1" applyFill="1" applyBorder="1" applyAlignment="1" applyProtection="1">
      <alignment horizontal="center"/>
      <protection locked="0"/>
    </xf>
    <xf numFmtId="0" fontId="4" fillId="15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/>
    <xf numFmtId="0" fontId="72" fillId="19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Protection="1"/>
    <xf numFmtId="0" fontId="43" fillId="0" borderId="8" xfId="0" applyFont="1" applyFill="1" applyBorder="1" applyProtection="1"/>
    <xf numFmtId="0" fontId="74" fillId="19" borderId="8" xfId="0" applyFont="1" applyFill="1" applyBorder="1" applyAlignment="1" applyProtection="1">
      <alignment horizontal="center"/>
    </xf>
    <xf numFmtId="0" fontId="72" fillId="19" borderId="8" xfId="0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wrapText="1"/>
    </xf>
    <xf numFmtId="0" fontId="42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41" fillId="6" borderId="8" xfId="0" applyFont="1" applyFill="1" applyBorder="1" applyAlignment="1" applyProtection="1">
      <alignment horizontal="center"/>
    </xf>
    <xf numFmtId="0" fontId="44" fillId="6" borderId="8" xfId="0" applyFont="1" applyFill="1" applyBorder="1" applyAlignment="1" applyProtection="1">
      <alignment horizontal="center"/>
    </xf>
    <xf numFmtId="0" fontId="26" fillId="6" borderId="8" xfId="0" applyFont="1" applyFill="1" applyBorder="1" applyAlignment="1" applyProtection="1">
      <alignment horizontal="center"/>
    </xf>
    <xf numFmtId="0" fontId="26" fillId="0" borderId="8" xfId="0" applyFont="1" applyBorder="1" applyAlignment="1" applyProtection="1">
      <alignment horizontal="center"/>
    </xf>
    <xf numFmtId="0" fontId="41" fillId="0" borderId="8" xfId="0" applyFont="1" applyBorder="1" applyAlignment="1" applyProtection="1">
      <alignment horizontal="center"/>
    </xf>
    <xf numFmtId="0" fontId="71" fillId="0" borderId="0" xfId="0" applyFont="1" applyFill="1" applyBorder="1" applyProtection="1"/>
    <xf numFmtId="0" fontId="44" fillId="0" borderId="0" xfId="0" applyFont="1" applyFill="1" applyBorder="1" applyAlignment="1" applyProtection="1">
      <alignment wrapText="1"/>
    </xf>
    <xf numFmtId="0" fontId="44" fillId="0" borderId="0" xfId="0" applyFont="1" applyFill="1" applyBorder="1" applyAlignment="1" applyProtection="1">
      <alignment horizontal="center"/>
    </xf>
    <xf numFmtId="0" fontId="71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6" fillId="0" borderId="0" xfId="0" applyFont="1" applyFill="1" applyBorder="1" applyProtection="1"/>
    <xf numFmtId="0" fontId="39" fillId="0" borderId="0" xfId="1" applyFont="1" applyFill="1" applyBorder="1" applyAlignment="1" applyProtection="1">
      <alignment wrapText="1"/>
    </xf>
    <xf numFmtId="0" fontId="26" fillId="0" borderId="0" xfId="1" applyFont="1" applyFill="1" applyBorder="1" applyProtection="1"/>
    <xf numFmtId="0" fontId="28" fillId="0" borderId="0" xfId="0" applyNumberFormat="1" applyFont="1" applyFill="1" applyBorder="1" applyAlignment="1" applyProtection="1">
      <alignment horizontal="center"/>
    </xf>
    <xf numFmtId="0" fontId="28" fillId="0" borderId="0" xfId="1" applyNumberFormat="1" applyFont="1" applyFill="1" applyBorder="1" applyAlignment="1" applyProtection="1">
      <alignment horizontal="center" vertical="center"/>
    </xf>
    <xf numFmtId="2" fontId="39" fillId="0" borderId="0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vertical="center"/>
    </xf>
    <xf numFmtId="2" fontId="39" fillId="0" borderId="0" xfId="0" applyNumberFormat="1" applyFont="1" applyFill="1" applyBorder="1" applyAlignment="1" applyProtection="1">
      <alignment vertical="center"/>
    </xf>
    <xf numFmtId="2" fontId="39" fillId="0" borderId="0" xfId="0" applyNumberFormat="1" applyFont="1" applyFill="1" applyBorder="1" applyProtection="1"/>
    <xf numFmtId="0" fontId="39" fillId="0" borderId="0" xfId="0" applyFont="1" applyFill="1" applyBorder="1" applyProtection="1"/>
    <xf numFmtId="0" fontId="40" fillId="0" borderId="0" xfId="0" applyFont="1" applyProtection="1"/>
    <xf numFmtId="0" fontId="40" fillId="0" borderId="0" xfId="0" applyFont="1" applyFill="1" applyProtection="1"/>
    <xf numFmtId="0" fontId="32" fillId="0" borderId="0" xfId="0" applyFont="1" applyBorder="1" applyAlignment="1" applyProtection="1">
      <alignment horizontal="right"/>
    </xf>
    <xf numFmtId="0" fontId="32" fillId="0" borderId="0" xfId="0" applyFont="1" applyBorder="1" applyProtection="1"/>
    <xf numFmtId="0" fontId="50" fillId="0" borderId="0" xfId="0" applyFont="1" applyBorder="1" applyProtection="1"/>
    <xf numFmtId="0" fontId="50" fillId="0" borderId="0" xfId="0" applyFont="1" applyProtection="1"/>
    <xf numFmtId="0" fontId="28" fillId="0" borderId="0" xfId="0" applyNumberFormat="1" applyFont="1" applyFill="1" applyBorder="1" applyAlignment="1" applyProtection="1">
      <alignment vertical="center"/>
    </xf>
    <xf numFmtId="0" fontId="16" fillId="3" borderId="0" xfId="0" applyNumberFormat="1" applyFont="1" applyFill="1" applyBorder="1" applyAlignment="1" applyProtection="1">
      <alignment horizontal="center"/>
    </xf>
    <xf numFmtId="0" fontId="86" fillId="0" borderId="0" xfId="0" applyFont="1" applyProtection="1"/>
    <xf numFmtId="0" fontId="0" fillId="0" borderId="1" xfId="0" applyBorder="1" applyProtection="1"/>
    <xf numFmtId="0" fontId="0" fillId="0" borderId="0" xfId="0" applyAlignment="1" applyProtection="1">
      <alignment vertical="center"/>
    </xf>
    <xf numFmtId="0" fontId="0" fillId="0" borderId="0" xfId="0" applyFill="1" applyBorder="1" applyProtection="1"/>
    <xf numFmtId="0" fontId="32" fillId="0" borderId="0" xfId="0" applyFont="1" applyFill="1" applyBorder="1" applyProtection="1"/>
    <xf numFmtId="0" fontId="51" fillId="0" borderId="0" xfId="0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right"/>
    </xf>
    <xf numFmtId="0" fontId="0" fillId="0" borderId="2" xfId="0" applyBorder="1" applyProtection="1"/>
    <xf numFmtId="1" fontId="52" fillId="0" borderId="0" xfId="0" applyNumberFormat="1" applyFont="1" applyBorder="1" applyAlignment="1" applyProtection="1">
      <alignment horizontal="right"/>
    </xf>
    <xf numFmtId="0" fontId="51" fillId="0" borderId="0" xfId="0" applyFont="1" applyBorder="1" applyAlignment="1" applyProtection="1">
      <alignment wrapText="1"/>
    </xf>
    <xf numFmtId="0" fontId="5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0" fillId="0" borderId="0" xfId="0" applyFont="1" applyBorder="1" applyAlignment="1" applyProtection="1">
      <alignment horizontal="center"/>
    </xf>
    <xf numFmtId="0" fontId="32" fillId="12" borderId="18" xfId="0" applyFont="1" applyFill="1" applyBorder="1" applyProtection="1"/>
    <xf numFmtId="0" fontId="51" fillId="0" borderId="0" xfId="0" applyFont="1" applyBorder="1" applyProtection="1"/>
    <xf numFmtId="1" fontId="52" fillId="0" borderId="0" xfId="0" applyNumberFormat="1" applyFont="1" applyBorder="1" applyAlignment="1" applyProtection="1"/>
    <xf numFmtId="0" fontId="50" fillId="12" borderId="14" xfId="0" applyFont="1" applyFill="1" applyBorder="1" applyProtection="1"/>
    <xf numFmtId="0" fontId="13" fillId="0" borderId="0" xfId="0" applyNumberFormat="1" applyFont="1" applyFill="1" applyBorder="1" applyAlignment="1" applyProtection="1">
      <alignment horizontal="center"/>
    </xf>
    <xf numFmtId="0" fontId="32" fillId="12" borderId="7" xfId="0" applyFont="1" applyFill="1" applyBorder="1" applyProtection="1"/>
    <xf numFmtId="0" fontId="0" fillId="12" borderId="14" xfId="0" applyFill="1" applyBorder="1" applyProtection="1"/>
    <xf numFmtId="0" fontId="32" fillId="12" borderId="6" xfId="0" applyFont="1" applyFill="1" applyBorder="1" applyProtection="1"/>
    <xf numFmtId="0" fontId="50" fillId="12" borderId="2" xfId="0" applyFont="1" applyFill="1" applyBorder="1" applyProtection="1"/>
    <xf numFmtId="0" fontId="0" fillId="12" borderId="2" xfId="0" applyFill="1" applyBorder="1" applyProtection="1"/>
    <xf numFmtId="0" fontId="32" fillId="12" borderId="3" xfId="0" applyFont="1" applyFill="1" applyBorder="1" applyProtection="1"/>
    <xf numFmtId="0" fontId="3" fillId="0" borderId="0" xfId="0" applyFont="1" applyProtection="1"/>
    <xf numFmtId="2" fontId="0" fillId="0" borderId="0" xfId="0" applyNumberFormat="1" applyProtection="1"/>
    <xf numFmtId="0" fontId="0" fillId="0" borderId="14" xfId="0" applyBorder="1" applyProtection="1"/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Border="1" applyProtection="1"/>
    <xf numFmtId="0" fontId="50" fillId="0" borderId="0" xfId="0" applyFont="1" applyBorder="1" applyAlignment="1" applyProtection="1">
      <alignment wrapText="1"/>
    </xf>
    <xf numFmtId="0" fontId="53" fillId="0" borderId="8" xfId="0" applyFont="1" applyFill="1" applyBorder="1" applyProtection="1"/>
    <xf numFmtId="0" fontId="53" fillId="0" borderId="0" xfId="0" applyFont="1" applyFill="1" applyBorder="1" applyProtection="1"/>
    <xf numFmtId="0" fontId="75" fillId="21" borderId="7" xfId="0" applyFont="1" applyFill="1" applyBorder="1" applyAlignment="1" applyProtection="1">
      <alignment horizontal="center"/>
    </xf>
    <xf numFmtId="0" fontId="75" fillId="21" borderId="14" xfId="0" applyFont="1" applyFill="1" applyBorder="1" applyAlignment="1" applyProtection="1">
      <alignment horizontal="center"/>
    </xf>
    <xf numFmtId="0" fontId="75" fillId="21" borderId="18" xfId="0" applyFont="1" applyFill="1" applyBorder="1" applyAlignment="1" applyProtection="1">
      <alignment horizontal="center"/>
    </xf>
    <xf numFmtId="0" fontId="75" fillId="0" borderId="0" xfId="0" applyFont="1" applyFill="1" applyBorder="1" applyAlignment="1" applyProtection="1">
      <alignment horizontal="center"/>
    </xf>
    <xf numFmtId="0" fontId="54" fillId="0" borderId="0" xfId="0" applyFont="1" applyBorder="1" applyProtection="1"/>
    <xf numFmtId="1" fontId="55" fillId="0" borderId="0" xfId="0" applyNumberFormat="1" applyFont="1" applyBorder="1" applyAlignment="1" applyProtection="1"/>
    <xf numFmtId="0" fontId="54" fillId="0" borderId="0" xfId="0" applyFont="1" applyBorder="1" applyAlignment="1" applyProtection="1">
      <alignment horizontal="center"/>
    </xf>
    <xf numFmtId="1" fontId="55" fillId="0" borderId="0" xfId="0" applyNumberFormat="1" applyFont="1" applyBorder="1" applyAlignment="1" applyProtection="1">
      <alignment horizontal="right"/>
    </xf>
    <xf numFmtId="1" fontId="55" fillId="0" borderId="0" xfId="0" applyNumberFormat="1" applyFont="1" applyFill="1" applyBorder="1" applyAlignment="1" applyProtection="1"/>
    <xf numFmtId="0" fontId="82" fillId="0" borderId="0" xfId="0" applyFont="1" applyProtection="1"/>
    <xf numFmtId="0" fontId="51" fillId="12" borderId="14" xfId="0" applyFont="1" applyFill="1" applyBorder="1" applyAlignment="1" applyProtection="1">
      <alignment horizontal="center"/>
    </xf>
    <xf numFmtId="0" fontId="51" fillId="12" borderId="2" xfId="0" applyFont="1" applyFill="1" applyBorder="1" applyAlignment="1" applyProtection="1">
      <alignment horizontal="center"/>
    </xf>
    <xf numFmtId="0" fontId="26" fillId="0" borderId="0" xfId="0" applyFont="1" applyFill="1" applyAlignment="1" applyProtection="1">
      <alignment horizontal="center"/>
    </xf>
    <xf numFmtId="0" fontId="54" fillId="12" borderId="14" xfId="0" applyFont="1" applyFill="1" applyBorder="1" applyProtection="1"/>
    <xf numFmtId="0" fontId="54" fillId="12" borderId="2" xfId="0" applyFont="1" applyFill="1" applyBorder="1" applyProtection="1"/>
    <xf numFmtId="0" fontId="41" fillId="0" borderId="0" xfId="0" applyFont="1" applyFill="1" applyProtection="1"/>
    <xf numFmtId="2" fontId="15" fillId="0" borderId="0" xfId="0" applyNumberFormat="1" applyFont="1" applyFill="1" applyBorder="1" applyProtection="1"/>
    <xf numFmtId="0" fontId="32" fillId="0" borderId="0" xfId="0" applyFont="1" applyBorder="1" applyAlignment="1" applyProtection="1">
      <alignment wrapText="1"/>
    </xf>
    <xf numFmtId="0" fontId="56" fillId="0" borderId="8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0" fontId="32" fillId="0" borderId="7" xfId="0" applyFont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9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3" fillId="0" borderId="0" xfId="0" applyFont="1" applyBorder="1" applyProtection="1"/>
    <xf numFmtId="0" fontId="18" fillId="0" borderId="0" xfId="0" applyFont="1" applyFill="1" applyBorder="1" applyProtection="1"/>
    <xf numFmtId="0" fontId="41" fillId="12" borderId="8" xfId="0" applyFont="1" applyFill="1" applyBorder="1" applyProtection="1"/>
    <xf numFmtId="0" fontId="41" fillId="0" borderId="0" xfId="0" applyFont="1" applyFill="1" applyBorder="1" applyProtection="1"/>
    <xf numFmtId="0" fontId="26" fillId="0" borderId="0" xfId="0" applyFont="1" applyProtection="1"/>
    <xf numFmtId="49" fontId="85" fillId="23" borderId="2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wrapText="1"/>
    </xf>
    <xf numFmtId="0" fontId="33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0" fontId="1" fillId="0" borderId="0" xfId="0" applyFont="1" applyProtection="1"/>
    <xf numFmtId="0" fontId="26" fillId="0" borderId="0" xfId="0" applyFont="1" applyAlignment="1" applyProtection="1">
      <alignment horizontal="right"/>
    </xf>
    <xf numFmtId="49" fontId="5" fillId="19" borderId="0" xfId="0" applyNumberFormat="1" applyFont="1" applyFill="1" applyBorder="1" applyAlignment="1" applyProtection="1">
      <alignment horizontal="center" wrapText="1"/>
    </xf>
    <xf numFmtId="0" fontId="21" fillId="0" borderId="0" xfId="0" applyFont="1" applyFill="1" applyBorder="1" applyProtection="1"/>
    <xf numFmtId="0" fontId="57" fillId="0" borderId="0" xfId="0" applyNumberFormat="1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center"/>
    </xf>
    <xf numFmtId="0" fontId="4" fillId="12" borderId="5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4" borderId="2" xfId="0" applyFont="1" applyFill="1" applyBorder="1" applyAlignment="1" applyProtection="1"/>
    <xf numFmtId="0" fontId="0" fillId="0" borderId="10" xfId="0" applyBorder="1" applyProtection="1"/>
    <xf numFmtId="2" fontId="5" fillId="0" borderId="1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0" fontId="0" fillId="12" borderId="35" xfId="0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80" fillId="11" borderId="17" xfId="0" applyFont="1" applyFill="1" applyBorder="1" applyProtection="1"/>
    <xf numFmtId="0" fontId="8" fillId="0" borderId="0" xfId="0" applyFont="1" applyBorder="1" applyProtection="1"/>
    <xf numFmtId="0" fontId="5" fillId="11" borderId="0" xfId="0" applyFont="1" applyFill="1" applyBorder="1" applyProtection="1"/>
    <xf numFmtId="0" fontId="8" fillId="0" borderId="4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0" fillId="0" borderId="10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0" xfId="0" applyFont="1" applyProtection="1"/>
    <xf numFmtId="0" fontId="3" fillId="0" borderId="0" xfId="0" applyFont="1" applyAlignment="1" applyProtection="1">
      <alignment horizontal="center"/>
    </xf>
    <xf numFmtId="2" fontId="5" fillId="0" borderId="9" xfId="0" applyNumberFormat="1" applyFont="1" applyFill="1" applyBorder="1" applyAlignment="1" applyProtection="1"/>
    <xf numFmtId="49" fontId="5" fillId="4" borderId="9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0" fontId="79" fillId="0" borderId="20" xfId="0" applyFont="1" applyFill="1" applyBorder="1" applyProtection="1"/>
    <xf numFmtId="0" fontId="79" fillId="0" borderId="21" xfId="0" applyFont="1" applyFill="1" applyBorder="1" applyProtection="1"/>
    <xf numFmtId="0" fontId="3" fillId="0" borderId="0" xfId="0" applyFont="1" applyFill="1" applyBorder="1" applyProtection="1"/>
    <xf numFmtId="0" fontId="0" fillId="0" borderId="4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0" fontId="0" fillId="7" borderId="0" xfId="0" applyFill="1" applyBorder="1" applyAlignment="1" applyProtection="1">
      <alignment horizontal="center" wrapText="1"/>
    </xf>
    <xf numFmtId="2" fontId="35" fillId="0" borderId="0" xfId="0" applyNumberFormat="1" applyFont="1" applyFill="1" applyAlignment="1" applyProtection="1">
      <alignment horizontal="center"/>
    </xf>
    <xf numFmtId="2" fontId="38" fillId="0" borderId="23" xfId="0" applyNumberFormat="1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Protection="1"/>
    <xf numFmtId="0" fontId="5" fillId="2" borderId="5" xfId="0" applyFont="1" applyFill="1" applyBorder="1" applyAlignment="1" applyProtection="1"/>
    <xf numFmtId="0" fontId="5" fillId="0" borderId="7" xfId="0" applyFont="1" applyFill="1" applyBorder="1" applyAlignment="1" applyProtection="1"/>
    <xf numFmtId="0" fontId="5" fillId="2" borderId="18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81" fillId="11" borderId="24" xfId="0" applyFont="1" applyFill="1" applyBorder="1" applyProtection="1"/>
    <xf numFmtId="0" fontId="81" fillId="11" borderId="25" xfId="0" applyFont="1" applyFill="1" applyBorder="1" applyProtection="1"/>
    <xf numFmtId="0" fontId="5" fillId="11" borderId="14" xfId="0" applyFont="1" applyFill="1" applyBorder="1" applyProtection="1"/>
    <xf numFmtId="0" fontId="0" fillId="0" borderId="18" xfId="0" applyBorder="1" applyProtection="1"/>
    <xf numFmtId="0" fontId="12" fillId="0" borderId="1" xfId="0" applyFont="1" applyBorder="1" applyAlignment="1" applyProtection="1">
      <alignment horizontal="center"/>
    </xf>
    <xf numFmtId="0" fontId="12" fillId="7" borderId="1" xfId="0" applyFont="1" applyFill="1" applyBorder="1" applyAlignment="1" applyProtection="1">
      <alignment horizontal="center"/>
    </xf>
    <xf numFmtId="2" fontId="36" fillId="2" borderId="5" xfId="0" applyNumberFormat="1" applyFont="1" applyFill="1" applyBorder="1" applyAlignment="1" applyProtection="1">
      <alignment horizontal="center"/>
    </xf>
    <xf numFmtId="2" fontId="36" fillId="2" borderId="7" xfId="0" applyNumberFormat="1" applyFont="1" applyFill="1" applyBorder="1" applyAlignment="1" applyProtection="1">
      <alignment horizontal="center"/>
    </xf>
    <xf numFmtId="2" fontId="36" fillId="7" borderId="5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Protection="1"/>
    <xf numFmtId="0" fontId="5" fillId="2" borderId="6" xfId="0" applyFont="1" applyFill="1" applyBorder="1" applyAlignment="1" applyProtection="1"/>
    <xf numFmtId="0" fontId="5" fillId="0" borderId="6" xfId="0" applyFont="1" applyFill="1" applyBorder="1" applyAlignment="1" applyProtection="1"/>
    <xf numFmtId="0" fontId="9" fillId="2" borderId="18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81" fillId="11" borderId="19" xfId="0" applyFont="1" applyFill="1" applyBorder="1" applyProtection="1"/>
    <xf numFmtId="0" fontId="0" fillId="0" borderId="3" xfId="0" applyBorder="1" applyProtection="1"/>
    <xf numFmtId="0" fontId="12" fillId="0" borderId="0" xfId="0" applyFont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4" fillId="8" borderId="0" xfId="0" applyFont="1" applyFill="1" applyBorder="1" applyAlignment="1" applyProtection="1">
      <alignment horizontal="center"/>
    </xf>
    <xf numFmtId="2" fontId="36" fillId="24" borderId="5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0" fontId="0" fillId="0" borderId="4" xfId="0" applyBorder="1" applyAlignment="1" applyProtection="1">
      <alignment horizontal="center"/>
    </xf>
    <xf numFmtId="0" fontId="72" fillId="19" borderId="8" xfId="0" applyFont="1" applyFill="1" applyBorder="1" applyAlignment="1" applyProtection="1">
      <alignment horizontal="left"/>
    </xf>
    <xf numFmtId="0" fontId="57" fillId="0" borderId="8" xfId="0" applyNumberFormat="1" applyFont="1" applyFill="1" applyBorder="1" applyAlignment="1" applyProtection="1">
      <alignment horizontal="center"/>
    </xf>
    <xf numFmtId="0" fontId="17" fillId="19" borderId="8" xfId="0" applyFont="1" applyFill="1" applyBorder="1" applyProtection="1"/>
    <xf numFmtId="0" fontId="72" fillId="13" borderId="8" xfId="0" applyFont="1" applyFill="1" applyBorder="1" applyAlignment="1" applyProtection="1">
      <alignment horizontal="center"/>
    </xf>
    <xf numFmtId="0" fontId="8" fillId="13" borderId="8" xfId="0" applyFont="1" applyFill="1" applyBorder="1" applyProtection="1"/>
    <xf numFmtId="0" fontId="8" fillId="0" borderId="8" xfId="0" applyFont="1" applyBorder="1" applyProtection="1"/>
    <xf numFmtId="0" fontId="8" fillId="19" borderId="8" xfId="0" applyFont="1" applyFill="1" applyBorder="1" applyProtection="1"/>
    <xf numFmtId="0" fontId="57" fillId="0" borderId="8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Border="1" applyProtection="1"/>
    <xf numFmtId="0" fontId="57" fillId="0" borderId="13" xfId="0" applyNumberFormat="1" applyFont="1" applyFill="1" applyBorder="1" applyAlignment="1" applyProtection="1">
      <alignment horizontal="center"/>
    </xf>
    <xf numFmtId="0" fontId="57" fillId="0" borderId="13" xfId="0" applyNumberFormat="1" applyFont="1" applyFill="1" applyBorder="1" applyAlignment="1" applyProtection="1">
      <alignment horizontal="left"/>
    </xf>
    <xf numFmtId="0" fontId="19" fillId="0" borderId="0" xfId="0" applyFont="1" applyFill="1" applyBorder="1" applyProtection="1"/>
    <xf numFmtId="0" fontId="10" fillId="0" borderId="0" xfId="0" applyFont="1" applyBorder="1" applyProtection="1"/>
    <xf numFmtId="0" fontId="25" fillId="0" borderId="0" xfId="0" applyFont="1" applyFill="1" applyBorder="1" applyProtection="1"/>
    <xf numFmtId="0" fontId="3" fillId="0" borderId="0" xfId="0" applyFont="1" applyBorder="1" applyAlignment="1" applyProtection="1">
      <alignment horizontal="center"/>
    </xf>
    <xf numFmtId="0" fontId="32" fillId="0" borderId="0" xfId="0" applyFont="1" applyFill="1" applyProtection="1"/>
    <xf numFmtId="0" fontId="32" fillId="20" borderId="8" xfId="0" applyFont="1" applyFill="1" applyBorder="1" applyProtection="1"/>
    <xf numFmtId="0" fontId="50" fillId="12" borderId="8" xfId="0" applyFont="1" applyFill="1" applyBorder="1" applyProtection="1"/>
    <xf numFmtId="0" fontId="26" fillId="0" borderId="8" xfId="0" applyFont="1" applyBorder="1" applyProtection="1"/>
    <xf numFmtId="0" fontId="50" fillId="0" borderId="0" xfId="0" applyFont="1" applyFill="1" applyBorder="1" applyProtection="1"/>
    <xf numFmtId="0" fontId="39" fillId="0" borderId="0" xfId="0" applyFont="1" applyBorder="1" applyAlignment="1" applyProtection="1">
      <alignment horizontal="right"/>
    </xf>
    <xf numFmtId="0" fontId="39" fillId="0" borderId="0" xfId="0" applyFont="1" applyBorder="1" applyProtection="1"/>
    <xf numFmtId="0" fontId="40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32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Protection="1"/>
    <xf numFmtId="0" fontId="0" fillId="0" borderId="11" xfId="0" applyFill="1" applyBorder="1" applyProtection="1"/>
    <xf numFmtId="0" fontId="11" fillId="0" borderId="0" xfId="0" applyFont="1" applyAlignment="1" applyProtection="1">
      <alignment horizontal="left"/>
    </xf>
    <xf numFmtId="49" fontId="32" fillId="0" borderId="0" xfId="0" applyNumberFormat="1" applyFont="1" applyFill="1" applyBorder="1" applyAlignment="1" applyProtection="1">
      <alignment horizontal="center" wrapText="1"/>
    </xf>
    <xf numFmtId="2" fontId="5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49" fontId="39" fillId="16" borderId="0" xfId="0" applyNumberFormat="1" applyFont="1" applyFill="1" applyBorder="1" applyAlignment="1" applyProtection="1">
      <alignment horizontal="center" wrapText="1"/>
    </xf>
    <xf numFmtId="0" fontId="31" fillId="0" borderId="0" xfId="0" applyFont="1" applyFill="1" applyBorder="1" applyProtection="1"/>
    <xf numFmtId="0" fontId="0" fillId="0" borderId="16" xfId="0" applyFill="1" applyBorder="1" applyProtection="1"/>
    <xf numFmtId="49" fontId="32" fillId="15" borderId="5" xfId="0" applyNumberFormat="1" applyFont="1" applyFill="1" applyBorder="1" applyAlignment="1" applyProtection="1">
      <alignment horizontal="center" wrapText="1"/>
    </xf>
    <xf numFmtId="49" fontId="3" fillId="4" borderId="0" xfId="0" applyNumberFormat="1" applyFont="1" applyFill="1" applyBorder="1" applyAlignment="1" applyProtection="1">
      <alignment horizontal="center" wrapText="1"/>
    </xf>
    <xf numFmtId="0" fontId="4" fillId="12" borderId="14" xfId="0" applyFont="1" applyFill="1" applyBorder="1" applyAlignment="1" applyProtection="1">
      <alignment horizontal="center"/>
    </xf>
    <xf numFmtId="49" fontId="5" fillId="12" borderId="5" xfId="0" applyNumberFormat="1" applyFont="1" applyFill="1" applyBorder="1" applyAlignment="1" applyProtection="1">
      <alignment horizontal="center" wrapText="1"/>
    </xf>
    <xf numFmtId="0" fontId="37" fillId="0" borderId="0" xfId="0" applyFont="1" applyProtection="1"/>
    <xf numFmtId="2" fontId="38" fillId="0" borderId="5" xfId="0" applyNumberFormat="1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/>
    <xf numFmtId="0" fontId="5" fillId="12" borderId="1" xfId="0" applyFont="1" applyFill="1" applyBorder="1" applyAlignment="1" applyProtection="1"/>
    <xf numFmtId="0" fontId="0" fillId="12" borderId="23" xfId="0" applyFill="1" applyBorder="1" applyProtection="1"/>
    <xf numFmtId="0" fontId="0" fillId="12" borderId="0" xfId="0" applyFill="1" applyBorder="1" applyProtection="1"/>
    <xf numFmtId="0" fontId="26" fillId="11" borderId="8" xfId="0" applyFont="1" applyFill="1" applyBorder="1" applyProtection="1"/>
    <xf numFmtId="0" fontId="5" fillId="13" borderId="8" xfId="0" applyFont="1" applyFill="1" applyBorder="1" applyProtection="1"/>
    <xf numFmtId="0" fontId="8" fillId="0" borderId="8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Fill="1" applyBorder="1" applyProtection="1"/>
    <xf numFmtId="2" fontId="5" fillId="12" borderId="3" xfId="0" applyNumberFormat="1" applyFont="1" applyFill="1" applyBorder="1" applyAlignment="1" applyProtection="1"/>
    <xf numFmtId="2" fontId="5" fillId="12" borderId="7" xfId="0" applyNumberFormat="1" applyFont="1" applyFill="1" applyBorder="1" applyAlignment="1" applyProtection="1"/>
    <xf numFmtId="0" fontId="0" fillId="12" borderId="27" xfId="0" applyFill="1" applyBorder="1" applyProtection="1"/>
    <xf numFmtId="49" fontId="32" fillId="12" borderId="18" xfId="0" applyNumberFormat="1" applyFont="1" applyFill="1" applyBorder="1" applyAlignment="1" applyProtection="1">
      <alignment horizontal="center" wrapText="1"/>
    </xf>
    <xf numFmtId="0" fontId="8" fillId="7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5" fillId="8" borderId="0" xfId="0" applyFont="1" applyFill="1" applyProtection="1"/>
    <xf numFmtId="2" fontId="38" fillId="0" borderId="0" xfId="0" applyNumberFormat="1" applyFont="1" applyFill="1" applyAlignment="1" applyProtection="1">
      <alignment horizontal="center"/>
    </xf>
    <xf numFmtId="0" fontId="8" fillId="0" borderId="0" xfId="0" applyFont="1" applyProtection="1"/>
    <xf numFmtId="0" fontId="5" fillId="12" borderId="5" xfId="0" applyFont="1" applyFill="1" applyBorder="1" applyAlignment="1" applyProtection="1"/>
    <xf numFmtId="0" fontId="5" fillId="12" borderId="7" xfId="0" applyFont="1" applyFill="1" applyBorder="1" applyAlignment="1" applyProtection="1"/>
    <xf numFmtId="0" fontId="5" fillId="12" borderId="18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26" fillId="13" borderId="8" xfId="0" applyFont="1" applyFill="1" applyBorder="1" applyProtection="1"/>
    <xf numFmtId="0" fontId="5" fillId="0" borderId="5" xfId="0" applyFont="1" applyFill="1" applyBorder="1" applyAlignment="1" applyProtection="1">
      <alignment horizontal="center"/>
    </xf>
    <xf numFmtId="0" fontId="12" fillId="7" borderId="8" xfId="0" applyFont="1" applyFill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</xf>
    <xf numFmtId="2" fontId="5" fillId="7" borderId="5" xfId="0" applyNumberFormat="1" applyFont="1" applyFill="1" applyBorder="1" applyAlignment="1" applyProtection="1">
      <alignment horizontal="center"/>
    </xf>
    <xf numFmtId="0" fontId="5" fillId="12" borderId="6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0" fontId="59" fillId="0" borderId="8" xfId="0" applyFont="1" applyFill="1" applyBorder="1" applyProtection="1"/>
    <xf numFmtId="0" fontId="41" fillId="13" borderId="8" xfId="0" applyFont="1" applyFill="1" applyBorder="1" applyProtection="1"/>
    <xf numFmtId="0" fontId="44" fillId="13" borderId="8" xfId="0" applyFont="1" applyFill="1" applyBorder="1" applyProtection="1"/>
    <xf numFmtId="0" fontId="41" fillId="18" borderId="8" xfId="0" applyFont="1" applyFill="1" applyBorder="1" applyProtection="1"/>
    <xf numFmtId="0" fontId="44" fillId="18" borderId="8" xfId="0" applyFont="1" applyFill="1" applyBorder="1" applyProtection="1"/>
    <xf numFmtId="0" fontId="27" fillId="0" borderId="0" xfId="0" applyFont="1" applyFill="1" applyBorder="1" applyAlignment="1" applyProtection="1">
      <alignment horizontal="center"/>
    </xf>
    <xf numFmtId="0" fontId="39" fillId="18" borderId="8" xfId="0" applyFont="1" applyFill="1" applyBorder="1" applyProtection="1"/>
    <xf numFmtId="0" fontId="12" fillId="0" borderId="0" xfId="0" applyFont="1" applyFill="1" applyBorder="1" applyAlignment="1" applyProtection="1">
      <alignment wrapText="1"/>
    </xf>
    <xf numFmtId="0" fontId="26" fillId="0" borderId="0" xfId="0" applyFont="1" applyFill="1" applyProtection="1"/>
    <xf numFmtId="0" fontId="26" fillId="0" borderId="0" xfId="0" applyFont="1" applyBorder="1" applyProtection="1"/>
    <xf numFmtId="0" fontId="58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3" fillId="0" borderId="0" xfId="0" applyFont="1" applyFill="1" applyProtection="1"/>
    <xf numFmtId="0" fontId="24" fillId="0" borderId="0" xfId="0" applyFont="1" applyFill="1" applyProtection="1"/>
    <xf numFmtId="0" fontId="41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0" fontId="41" fillId="0" borderId="0" xfId="0" applyFont="1" applyProtection="1"/>
    <xf numFmtId="49" fontId="41" fillId="0" borderId="0" xfId="0" applyNumberFormat="1" applyFont="1" applyFill="1" applyBorder="1" applyAlignment="1" applyProtection="1">
      <alignment horizontal="center" wrapText="1"/>
    </xf>
    <xf numFmtId="0" fontId="63" fillId="0" borderId="0" xfId="0" applyFo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26" fillId="0" borderId="8" xfId="0" applyFont="1" applyBorder="1" applyAlignment="1" applyProtection="1">
      <alignment horizontal="center" wrapText="1"/>
    </xf>
    <xf numFmtId="0" fontId="26" fillId="0" borderId="8" xfId="0" applyFont="1" applyFill="1" applyBorder="1" applyProtection="1"/>
    <xf numFmtId="0" fontId="26" fillId="16" borderId="8" xfId="0" applyFont="1" applyFill="1" applyBorder="1" applyProtection="1"/>
    <xf numFmtId="0" fontId="26" fillId="0" borderId="0" xfId="0" applyFont="1" applyBorder="1" applyAlignment="1" applyProtection="1">
      <alignment horizontal="center" wrapText="1"/>
    </xf>
    <xf numFmtId="2" fontId="5" fillId="0" borderId="3" xfId="0" applyNumberFormat="1" applyFont="1" applyFill="1" applyBorder="1" applyAlignment="1" applyProtection="1"/>
    <xf numFmtId="2" fontId="5" fillId="0" borderId="7" xfId="0" applyNumberFormat="1" applyFont="1" applyFill="1" applyBorder="1" applyAlignment="1" applyProtection="1"/>
    <xf numFmtId="0" fontId="39" fillId="15" borderId="8" xfId="0" applyFont="1" applyFill="1" applyBorder="1" applyAlignment="1" applyProtection="1">
      <alignment horizontal="center" wrapText="1"/>
    </xf>
    <xf numFmtId="0" fontId="26" fillId="15" borderId="8" xfId="0" applyFont="1" applyFill="1" applyBorder="1" applyAlignment="1" applyProtection="1">
      <alignment horizontal="center" wrapText="1"/>
    </xf>
    <xf numFmtId="0" fontId="26" fillId="7" borderId="0" xfId="0" applyFont="1" applyFill="1" applyBorder="1" applyAlignment="1" applyProtection="1">
      <alignment horizontal="center" wrapText="1"/>
    </xf>
    <xf numFmtId="0" fontId="26" fillId="2" borderId="0" xfId="0" applyFont="1" applyFill="1" applyBorder="1" applyAlignment="1" applyProtection="1">
      <alignment horizontal="center" wrapText="1"/>
    </xf>
    <xf numFmtId="0" fontId="26" fillId="9" borderId="0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2" fontId="64" fillId="0" borderId="0" xfId="0" applyNumberFormat="1" applyFont="1" applyFill="1" applyAlignment="1" applyProtection="1">
      <alignment horizontal="center"/>
    </xf>
    <xf numFmtId="2" fontId="64" fillId="0" borderId="5" xfId="0" applyNumberFormat="1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16" borderId="7" xfId="0" applyFont="1" applyFill="1" applyBorder="1" applyAlignment="1" applyProtection="1">
      <alignment horizontal="center"/>
    </xf>
    <xf numFmtId="0" fontId="5" fillId="14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60" fillId="0" borderId="0" xfId="0" applyFont="1" applyBorder="1" applyAlignment="1" applyProtection="1">
      <alignment horizontal="center"/>
    </xf>
    <xf numFmtId="0" fontId="60" fillId="7" borderId="8" xfId="0" applyFont="1" applyFill="1" applyBorder="1" applyAlignment="1" applyProtection="1">
      <alignment horizontal="center"/>
    </xf>
    <xf numFmtId="0" fontId="5" fillId="13" borderId="0" xfId="0" applyFont="1" applyFill="1" applyBorder="1" applyAlignment="1" applyProtection="1">
      <alignment horizontal="center"/>
    </xf>
    <xf numFmtId="0" fontId="65" fillId="0" borderId="8" xfId="0" applyFont="1" applyBorder="1" applyAlignment="1" applyProtection="1">
      <alignment horizontal="center"/>
    </xf>
    <xf numFmtId="2" fontId="41" fillId="2" borderId="5" xfId="0" applyNumberFormat="1" applyFont="1" applyFill="1" applyBorder="1" applyAlignment="1" applyProtection="1">
      <alignment horizontal="center"/>
    </xf>
    <xf numFmtId="2" fontId="41" fillId="7" borderId="15" xfId="0" applyNumberFormat="1" applyFont="1" applyFill="1" applyBorder="1" applyAlignment="1" applyProtection="1">
      <alignment horizontal="center"/>
    </xf>
    <xf numFmtId="0" fontId="60" fillId="7" borderId="0" xfId="0" applyFont="1" applyFill="1" applyBorder="1" applyAlignment="1" applyProtection="1">
      <alignment horizontal="center"/>
    </xf>
    <xf numFmtId="2" fontId="41" fillId="7" borderId="5" xfId="0" applyNumberFormat="1" applyFont="1" applyFill="1" applyBorder="1" applyAlignment="1" applyProtection="1">
      <alignment horizontal="center"/>
    </xf>
    <xf numFmtId="0" fontId="68" fillId="0" borderId="7" xfId="0" applyFont="1" applyBorder="1" applyProtection="1"/>
    <xf numFmtId="0" fontId="5" fillId="13" borderId="18" xfId="0" applyFont="1" applyFill="1" applyBorder="1" applyAlignment="1" applyProtection="1">
      <alignment horizontal="center"/>
    </xf>
    <xf numFmtId="49" fontId="3" fillId="4" borderId="18" xfId="0" applyNumberFormat="1" applyFont="1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/>
    </xf>
    <xf numFmtId="0" fontId="26" fillId="0" borderId="1" xfId="0" applyFont="1" applyBorder="1" applyProtection="1"/>
    <xf numFmtId="0" fontId="26" fillId="12" borderId="8" xfId="0" applyFont="1" applyFill="1" applyBorder="1" applyProtection="1"/>
    <xf numFmtId="0" fontId="26" fillId="0" borderId="0" xfId="0" applyFont="1" applyBorder="1" applyAlignment="1" applyProtection="1">
      <alignment horizontal="right"/>
    </xf>
    <xf numFmtId="49" fontId="41" fillId="4" borderId="5" xfId="0" applyNumberFormat="1" applyFont="1" applyFill="1" applyBorder="1" applyAlignment="1" applyProtection="1">
      <alignment horizontal="center" wrapText="1"/>
    </xf>
    <xf numFmtId="49" fontId="41" fillId="4" borderId="15" xfId="0" applyNumberFormat="1" applyFont="1" applyFill="1" applyBorder="1" applyAlignment="1" applyProtection="1">
      <alignment horizontal="center" wrapText="1"/>
    </xf>
    <xf numFmtId="49" fontId="41" fillId="4" borderId="6" xfId="0" applyNumberFormat="1" applyFont="1" applyFill="1" applyBorder="1" applyAlignment="1" applyProtection="1">
      <alignment horizontal="center" wrapText="1"/>
    </xf>
    <xf numFmtId="0" fontId="41" fillId="0" borderId="0" xfId="0" applyFont="1" applyBorder="1" applyAlignment="1" applyProtection="1">
      <alignment horizontal="center"/>
    </xf>
    <xf numFmtId="0" fontId="41" fillId="11" borderId="17" xfId="0" applyFont="1" applyFill="1" applyBorder="1" applyProtection="1"/>
    <xf numFmtId="0" fontId="41" fillId="11" borderId="0" xfId="0" applyFont="1" applyFill="1" applyBorder="1" applyProtection="1"/>
    <xf numFmtId="0" fontId="26" fillId="0" borderId="22" xfId="0" applyFont="1" applyBorder="1" applyAlignment="1" applyProtection="1">
      <alignment horizontal="center" wrapText="1"/>
    </xf>
    <xf numFmtId="49" fontId="5" fillId="4" borderId="5" xfId="0" applyNumberFormat="1" applyFont="1" applyFill="1" applyBorder="1" applyAlignment="1" applyProtection="1">
      <alignment horizontal="center" wrapText="1"/>
    </xf>
    <xf numFmtId="0" fontId="26" fillId="0" borderId="4" xfId="0" applyFont="1" applyBorder="1" applyAlignment="1" applyProtection="1">
      <alignment horizontal="center" wrapText="1"/>
    </xf>
    <xf numFmtId="0" fontId="26" fillId="0" borderId="2" xfId="0" applyFont="1" applyBorder="1" applyProtection="1"/>
    <xf numFmtId="0" fontId="26" fillId="0" borderId="3" xfId="0" applyFont="1" applyBorder="1" applyProtection="1"/>
    <xf numFmtId="0" fontId="41" fillId="2" borderId="5" xfId="0" applyFont="1" applyFill="1" applyBorder="1" applyAlignment="1" applyProtection="1">
      <alignment horizontal="center"/>
    </xf>
    <xf numFmtId="0" fontId="41" fillId="2" borderId="0" xfId="0" applyFont="1" applyFill="1" applyBorder="1" applyAlignment="1" applyProtection="1">
      <alignment horizontal="center"/>
    </xf>
    <xf numFmtId="0" fontId="65" fillId="2" borderId="8" xfId="0" applyFont="1" applyFill="1" applyBorder="1" applyAlignment="1" applyProtection="1">
      <alignment horizontal="center"/>
    </xf>
    <xf numFmtId="0" fontId="26" fillId="14" borderId="0" xfId="0" applyFont="1" applyFill="1" applyBorder="1" applyAlignment="1" applyProtection="1">
      <alignment horizontal="center" wrapText="1"/>
    </xf>
    <xf numFmtId="0" fontId="26" fillId="14" borderId="8" xfId="0" applyFont="1" applyFill="1" applyBorder="1" applyProtection="1"/>
    <xf numFmtId="0" fontId="65" fillId="14" borderId="0" xfId="0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164" fontId="80" fillId="0" borderId="0" xfId="0" applyNumberFormat="1" applyFont="1" applyFill="1" applyBorder="1" applyAlignment="1" applyProtection="1">
      <alignment horizontal="center"/>
    </xf>
    <xf numFmtId="0" fontId="90" fillId="0" borderId="9" xfId="0" applyFont="1" applyBorder="1" applyProtection="1"/>
    <xf numFmtId="0" fontId="90" fillId="0" borderId="6" xfId="0" applyFont="1" applyBorder="1" applyProtection="1"/>
    <xf numFmtId="0" fontId="91" fillId="0" borderId="8" xfId="0" applyNumberFormat="1" applyFont="1" applyFill="1" applyBorder="1" applyAlignment="1" applyProtection="1"/>
    <xf numFmtId="0" fontId="91" fillId="0" borderId="0" xfId="0" applyNumberFormat="1" applyFont="1" applyFill="1" applyBorder="1" applyAlignment="1" applyProtection="1"/>
    <xf numFmtId="0" fontId="33" fillId="0" borderId="8" xfId="0" applyNumberFormat="1" applyFont="1" applyFill="1" applyBorder="1" applyAlignment="1" applyProtection="1"/>
    <xf numFmtId="0" fontId="88" fillId="0" borderId="36" xfId="0" applyNumberFormat="1" applyFont="1" applyFill="1" applyBorder="1" applyAlignment="1" applyProtection="1"/>
    <xf numFmtId="0" fontId="50" fillId="0" borderId="8" xfId="0" applyFont="1" applyFill="1" applyBorder="1" applyProtection="1"/>
    <xf numFmtId="0" fontId="16" fillId="0" borderId="8" xfId="0" applyNumberFormat="1" applyFont="1" applyFill="1" applyBorder="1" applyAlignment="1" applyProtection="1"/>
    <xf numFmtId="0" fontId="16" fillId="0" borderId="30" xfId="0" applyNumberFormat="1" applyFont="1" applyFill="1" applyBorder="1" applyAlignment="1" applyProtection="1">
      <alignment wrapText="1"/>
    </xf>
    <xf numFmtId="0" fontId="92" fillId="0" borderId="5" xfId="0" applyNumberFormat="1" applyFont="1" applyFill="1" applyBorder="1" applyAlignment="1" applyProtection="1">
      <alignment horizontal="left"/>
    </xf>
    <xf numFmtId="0" fontId="87" fillId="0" borderId="8" xfId="0" applyNumberFormat="1" applyFont="1" applyFill="1" applyBorder="1" applyAlignment="1" applyProtection="1"/>
    <xf numFmtId="0" fontId="93" fillId="0" borderId="8" xfId="0" applyNumberFormat="1" applyFont="1" applyFill="1" applyBorder="1" applyAlignment="1" applyProtection="1"/>
    <xf numFmtId="0" fontId="87" fillId="0" borderId="30" xfId="0" applyNumberFormat="1" applyFont="1" applyFill="1" applyBorder="1" applyAlignment="1" applyProtection="1">
      <alignment wrapText="1"/>
    </xf>
    <xf numFmtId="0" fontId="92" fillId="0" borderId="36" xfId="0" applyNumberFormat="1" applyFont="1" applyFill="1" applyBorder="1" applyAlignment="1" applyProtection="1"/>
    <xf numFmtId="0" fontId="76" fillId="0" borderId="8" xfId="0" applyFont="1" applyFill="1" applyBorder="1" applyProtection="1"/>
    <xf numFmtId="0" fontId="88" fillId="0" borderId="27" xfId="0" applyNumberFormat="1" applyFont="1" applyFill="1" applyBorder="1" applyAlignment="1" applyProtection="1"/>
    <xf numFmtId="0" fontId="33" fillId="0" borderId="19" xfId="0" applyNumberFormat="1" applyFont="1" applyFill="1" applyBorder="1" applyAlignment="1" applyProtection="1"/>
    <xf numFmtId="0" fontId="50" fillId="0" borderId="19" xfId="0" applyFont="1" applyFill="1" applyBorder="1" applyProtection="1"/>
    <xf numFmtId="0" fontId="74" fillId="25" borderId="8" xfId="0" applyFont="1" applyFill="1" applyBorder="1" applyAlignment="1" applyProtection="1">
      <alignment horizontal="center"/>
    </xf>
    <xf numFmtId="0" fontId="70" fillId="25" borderId="8" xfId="0" applyFont="1" applyFill="1" applyBorder="1" applyAlignment="1" applyProtection="1">
      <alignment horizontal="center"/>
    </xf>
    <xf numFmtId="0" fontId="78" fillId="25" borderId="8" xfId="0" applyFont="1" applyFill="1" applyBorder="1" applyAlignment="1" applyProtection="1">
      <alignment horizontal="center"/>
    </xf>
    <xf numFmtId="0" fontId="72" fillId="25" borderId="8" xfId="0" applyFont="1" applyFill="1" applyBorder="1" applyAlignment="1" applyProtection="1">
      <alignment horizontal="center"/>
    </xf>
    <xf numFmtId="0" fontId="44" fillId="14" borderId="8" xfId="0" applyFont="1" applyFill="1" applyBorder="1" applyAlignment="1" applyProtection="1">
      <alignment horizontal="center"/>
    </xf>
    <xf numFmtId="0" fontId="97" fillId="25" borderId="8" xfId="0" applyFont="1" applyFill="1" applyBorder="1" applyAlignment="1" applyProtection="1">
      <alignment horizontal="center"/>
    </xf>
    <xf numFmtId="0" fontId="26" fillId="14" borderId="8" xfId="0" applyFont="1" applyFill="1" applyBorder="1" applyAlignment="1" applyProtection="1">
      <alignment horizontal="center"/>
    </xf>
    <xf numFmtId="0" fontId="0" fillId="14" borderId="0" xfId="0" applyFill="1" applyAlignment="1" applyProtection="1">
      <alignment horizontal="center"/>
    </xf>
    <xf numFmtId="0" fontId="26" fillId="14" borderId="13" xfId="0" applyFont="1" applyFill="1" applyBorder="1" applyAlignment="1" applyProtection="1">
      <alignment horizontal="center"/>
    </xf>
    <xf numFmtId="0" fontId="0" fillId="25" borderId="13" xfId="0" applyFill="1" applyBorder="1" applyAlignment="1" applyProtection="1">
      <alignment horizontal="center" wrapText="1"/>
    </xf>
    <xf numFmtId="0" fontId="34" fillId="25" borderId="1" xfId="0" applyFont="1" applyFill="1" applyBorder="1" applyAlignment="1" applyProtection="1">
      <alignment horizontal="center"/>
    </xf>
    <xf numFmtId="0" fontId="34" fillId="25" borderId="0" xfId="0" applyFont="1" applyFill="1" applyBorder="1" applyAlignment="1" applyProtection="1">
      <alignment horizontal="center"/>
    </xf>
    <xf numFmtId="0" fontId="71" fillId="14" borderId="0" xfId="0" applyFont="1" applyFill="1" applyBorder="1" applyAlignment="1" applyProtection="1">
      <alignment horizontal="center" wrapText="1"/>
    </xf>
    <xf numFmtId="0" fontId="88" fillId="25" borderId="5" xfId="0" applyNumberFormat="1" applyFont="1" applyFill="1" applyBorder="1" applyAlignment="1" applyProtection="1">
      <alignment horizontal="left"/>
    </xf>
    <xf numFmtId="0" fontId="33" fillId="25" borderId="8" xfId="0" applyNumberFormat="1" applyFont="1" applyFill="1" applyBorder="1" applyAlignment="1" applyProtection="1">
      <alignment wrapText="1"/>
    </xf>
    <xf numFmtId="164" fontId="74" fillId="25" borderId="8" xfId="0" applyNumberFormat="1" applyFont="1" applyFill="1" applyBorder="1" applyAlignment="1" applyProtection="1">
      <alignment horizontal="center"/>
    </xf>
    <xf numFmtId="0" fontId="13" fillId="25" borderId="8" xfId="0" applyNumberFormat="1" applyFont="1" applyFill="1" applyBorder="1" applyAlignment="1" applyProtection="1"/>
    <xf numFmtId="0" fontId="5" fillId="14" borderId="18" xfId="0" applyFont="1" applyFill="1" applyBorder="1" applyAlignment="1" applyProtection="1">
      <alignment horizontal="center"/>
    </xf>
    <xf numFmtId="0" fontId="5" fillId="14" borderId="5" xfId="0" applyFont="1" applyFill="1" applyBorder="1" applyAlignment="1" applyProtection="1">
      <alignment horizontal="center"/>
    </xf>
    <xf numFmtId="0" fontId="9" fillId="14" borderId="18" xfId="0" applyFont="1" applyFill="1" applyBorder="1" applyAlignment="1" applyProtection="1">
      <alignment horizontal="center"/>
    </xf>
    <xf numFmtId="0" fontId="5" fillId="14" borderId="2" xfId="0" applyFont="1" applyFill="1" applyBorder="1" applyAlignment="1" applyProtection="1">
      <alignment horizontal="center"/>
    </xf>
    <xf numFmtId="0" fontId="16" fillId="0" borderId="32" xfId="0" applyNumberFormat="1" applyFont="1" applyFill="1" applyBorder="1" applyAlignment="1" applyProtection="1"/>
    <xf numFmtId="0" fontId="91" fillId="0" borderId="26" xfId="0" applyNumberFormat="1" applyFont="1" applyFill="1" applyBorder="1" applyAlignment="1" applyProtection="1"/>
    <xf numFmtId="0" fontId="98" fillId="25" borderId="8" xfId="0" applyFont="1" applyFill="1" applyBorder="1" applyAlignment="1" applyProtection="1">
      <alignment horizontal="center"/>
    </xf>
    <xf numFmtId="0" fontId="99" fillId="0" borderId="8" xfId="0" applyFont="1" applyFill="1" applyBorder="1" applyProtection="1"/>
    <xf numFmtId="0" fontId="101" fillId="25" borderId="8" xfId="0" applyFont="1" applyFill="1" applyBorder="1" applyAlignment="1" applyProtection="1">
      <alignment horizontal="center"/>
    </xf>
    <xf numFmtId="0" fontId="85" fillId="25" borderId="8" xfId="0" applyFont="1" applyFill="1" applyBorder="1" applyAlignment="1" applyProtection="1">
      <alignment horizontal="center"/>
    </xf>
    <xf numFmtId="0" fontId="66" fillId="25" borderId="8" xfId="0" applyFont="1" applyFill="1" applyBorder="1" applyProtection="1"/>
    <xf numFmtId="0" fontId="66" fillId="14" borderId="8" xfId="0" applyFont="1" applyFill="1" applyBorder="1" applyProtection="1"/>
    <xf numFmtId="2" fontId="96" fillId="12" borderId="5" xfId="0" applyNumberFormat="1" applyFont="1" applyFill="1" applyBorder="1" applyAlignment="1" applyProtection="1">
      <alignment horizontal="center"/>
      <protection locked="0"/>
    </xf>
    <xf numFmtId="2" fontId="39" fillId="25" borderId="0" xfId="0" applyNumberFormat="1" applyFont="1" applyFill="1" applyBorder="1" applyAlignment="1" applyProtection="1">
      <alignment horizontal="center" wrapText="1"/>
    </xf>
    <xf numFmtId="0" fontId="39" fillId="25" borderId="0" xfId="0" applyNumberFormat="1" applyFont="1" applyFill="1" applyBorder="1" applyAlignment="1" applyProtection="1">
      <alignment horizontal="center" wrapText="1"/>
    </xf>
    <xf numFmtId="0" fontId="26" fillId="25" borderId="8" xfId="0" applyFont="1" applyFill="1" applyBorder="1" applyProtection="1"/>
    <xf numFmtId="0" fontId="13" fillId="25" borderId="33" xfId="0" applyNumberFormat="1" applyFont="1" applyFill="1" applyBorder="1" applyAlignment="1" applyProtection="1"/>
    <xf numFmtId="0" fontId="13" fillId="25" borderId="34" xfId="0" applyNumberFormat="1" applyFont="1" applyFill="1" applyBorder="1" applyAlignment="1" applyProtection="1"/>
    <xf numFmtId="0" fontId="17" fillId="25" borderId="8" xfId="0" applyFont="1" applyFill="1" applyBorder="1" applyProtection="1"/>
    <xf numFmtId="0" fontId="56" fillId="14" borderId="8" xfId="0" applyFont="1" applyFill="1" applyBorder="1" applyAlignment="1" applyProtection="1">
      <alignment horizontal="center"/>
    </xf>
    <xf numFmtId="0" fontId="56" fillId="14" borderId="0" xfId="0" applyFont="1" applyFill="1" applyBorder="1" applyAlignment="1" applyProtection="1">
      <alignment horizontal="center"/>
    </xf>
    <xf numFmtId="0" fontId="89" fillId="0" borderId="14" xfId="0" applyFont="1" applyBorder="1" applyAlignment="1" applyProtection="1">
      <alignment horizontal="center"/>
    </xf>
    <xf numFmtId="0" fontId="80" fillId="0" borderId="0" xfId="0" applyFont="1" applyProtection="1"/>
    <xf numFmtId="0" fontId="80" fillId="14" borderId="0" xfId="0" applyFont="1" applyFill="1" applyProtection="1"/>
    <xf numFmtId="0" fontId="90" fillId="0" borderId="9" xfId="0" applyFont="1" applyFill="1" applyBorder="1" applyAlignment="1" applyProtection="1">
      <alignment horizontal="left"/>
    </xf>
    <xf numFmtId="0" fontId="90" fillId="0" borderId="1" xfId="0" applyFont="1" applyFill="1" applyBorder="1" applyProtection="1"/>
    <xf numFmtId="0" fontId="54" fillId="0" borderId="1" xfId="0" applyFont="1" applyFill="1" applyBorder="1" applyProtection="1"/>
    <xf numFmtId="0" fontId="54" fillId="0" borderId="1" xfId="0" applyFont="1" applyFill="1" applyBorder="1" applyAlignment="1" applyProtection="1">
      <alignment horizontal="right"/>
    </xf>
    <xf numFmtId="0" fontId="51" fillId="0" borderId="1" xfId="0" applyFont="1" applyFill="1" applyBorder="1" applyProtection="1"/>
    <xf numFmtId="0" fontId="0" fillId="0" borderId="1" xfId="0" applyFill="1" applyBorder="1" applyProtection="1"/>
    <xf numFmtId="0" fontId="51" fillId="0" borderId="1" xfId="0" applyFont="1" applyFill="1" applyBorder="1" applyAlignment="1" applyProtection="1"/>
    <xf numFmtId="0" fontId="50" fillId="0" borderId="1" xfId="0" applyFont="1" applyBorder="1" applyProtection="1"/>
    <xf numFmtId="0" fontId="90" fillId="0" borderId="22" xfId="0" applyFont="1" applyFill="1" applyBorder="1" applyAlignment="1" applyProtection="1">
      <alignment horizontal="right"/>
    </xf>
    <xf numFmtId="0" fontId="54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51" fillId="0" borderId="2" xfId="0" applyFont="1" applyFill="1" applyBorder="1" applyAlignment="1" applyProtection="1">
      <alignment horizontal="center"/>
    </xf>
    <xf numFmtId="0" fontId="0" fillId="0" borderId="2" xfId="0" applyFill="1" applyBorder="1" applyProtection="1"/>
    <xf numFmtId="0" fontId="51" fillId="0" borderId="2" xfId="0" applyFont="1" applyFill="1" applyBorder="1" applyAlignment="1" applyProtection="1"/>
    <xf numFmtId="0" fontId="50" fillId="0" borderId="2" xfId="0" applyFont="1" applyBorder="1" applyProtection="1"/>
    <xf numFmtId="0" fontId="32" fillId="0" borderId="0" xfId="0" applyFont="1" applyFill="1" applyBorder="1" applyAlignment="1" applyProtection="1">
      <alignment horizontal="left"/>
    </xf>
    <xf numFmtId="0" fontId="34" fillId="25" borderId="8" xfId="0" applyFont="1" applyFill="1" applyBorder="1" applyAlignment="1" applyProtection="1">
      <alignment horizontal="center"/>
    </xf>
    <xf numFmtId="0" fontId="8" fillId="25" borderId="0" xfId="0" applyFont="1" applyFill="1" applyBorder="1" applyAlignment="1" applyProtection="1">
      <alignment horizontal="center" wrapText="1"/>
    </xf>
    <xf numFmtId="0" fontId="85" fillId="25" borderId="8" xfId="0" applyFont="1" applyFill="1" applyBorder="1" applyAlignment="1" applyProtection="1">
      <alignment horizontal="left"/>
    </xf>
    <xf numFmtId="0" fontId="26" fillId="14" borderId="8" xfId="0" applyFont="1" applyFill="1" applyBorder="1" applyAlignment="1" applyProtection="1">
      <alignment horizontal="center" wrapText="1"/>
    </xf>
    <xf numFmtId="0" fontId="41" fillId="14" borderId="8" xfId="0" applyFont="1" applyFill="1" applyBorder="1" applyProtection="1"/>
    <xf numFmtId="0" fontId="0" fillId="14" borderId="0" xfId="0" applyFill="1" applyProtection="1"/>
    <xf numFmtId="0" fontId="41" fillId="14" borderId="8" xfId="0" applyFont="1" applyFill="1" applyBorder="1" applyAlignment="1" applyProtection="1">
      <alignment horizontal="right"/>
    </xf>
    <xf numFmtId="0" fontId="5" fillId="14" borderId="0" xfId="0" applyFont="1" applyFill="1" applyProtection="1"/>
    <xf numFmtId="0" fontId="13" fillId="14" borderId="8" xfId="0" applyNumberFormat="1" applyFont="1" applyFill="1" applyBorder="1" applyAlignment="1" applyProtection="1">
      <alignment horizontal="center"/>
    </xf>
    <xf numFmtId="0" fontId="41" fillId="14" borderId="8" xfId="0" applyFont="1" applyFill="1" applyBorder="1" applyAlignment="1" applyProtection="1">
      <alignment vertical="center"/>
    </xf>
    <xf numFmtId="0" fontId="41" fillId="14" borderId="28" xfId="0" applyFont="1" applyFill="1" applyBorder="1" applyAlignment="1" applyProtection="1">
      <alignment vertical="center"/>
    </xf>
    <xf numFmtId="0" fontId="26" fillId="14" borderId="29" xfId="0" applyFont="1" applyFill="1" applyBorder="1" applyAlignment="1" applyProtection="1">
      <alignment horizontal="center"/>
    </xf>
    <xf numFmtId="0" fontId="83" fillId="14" borderId="30" xfId="0" applyFont="1" applyFill="1" applyBorder="1" applyAlignment="1" applyProtection="1">
      <alignment horizontal="center"/>
    </xf>
    <xf numFmtId="2" fontId="84" fillId="14" borderId="31" xfId="0" applyNumberFormat="1" applyFont="1" applyFill="1" applyBorder="1" applyAlignment="1" applyProtection="1">
      <alignment horizontal="center"/>
    </xf>
    <xf numFmtId="0" fontId="42" fillId="14" borderId="8" xfId="0" applyFont="1" applyFill="1" applyBorder="1" applyAlignment="1" applyProtection="1">
      <alignment wrapText="1"/>
    </xf>
    <xf numFmtId="0" fontId="42" fillId="14" borderId="8" xfId="0" applyFont="1" applyFill="1" applyBorder="1" applyAlignment="1" applyProtection="1">
      <alignment horizontal="center"/>
    </xf>
    <xf numFmtId="0" fontId="74" fillId="14" borderId="8" xfId="0" applyFont="1" applyFill="1" applyBorder="1" applyAlignment="1" applyProtection="1">
      <alignment horizontal="center"/>
    </xf>
    <xf numFmtId="0" fontId="100" fillId="14" borderId="8" xfId="0" applyFont="1" applyFill="1" applyBorder="1" applyAlignment="1" applyProtection="1">
      <alignment horizontal="center"/>
    </xf>
    <xf numFmtId="0" fontId="85" fillId="14" borderId="8" xfId="0" applyFont="1" applyFill="1" applyBorder="1" applyAlignment="1" applyProtection="1">
      <alignment horizontal="center"/>
    </xf>
    <xf numFmtId="0" fontId="5" fillId="17" borderId="7" xfId="0" applyFont="1" applyFill="1" applyBorder="1" applyAlignment="1" applyProtection="1">
      <alignment horizontal="center"/>
    </xf>
    <xf numFmtId="0" fontId="102" fillId="0" borderId="0" xfId="0" applyFont="1" applyBorder="1" applyAlignment="1" applyProtection="1">
      <alignment horizontal="center" wrapText="1"/>
    </xf>
    <xf numFmtId="0" fontId="103" fillId="11" borderId="0" xfId="0" applyFont="1" applyFill="1" applyBorder="1" applyAlignment="1" applyProtection="1">
      <alignment horizontal="center" wrapText="1"/>
    </xf>
    <xf numFmtId="0" fontId="103" fillId="7" borderId="0" xfId="0" applyFont="1" applyFill="1" applyBorder="1" applyProtection="1"/>
    <xf numFmtId="0" fontId="104" fillId="11" borderId="0" xfId="0" applyFont="1" applyFill="1" applyBorder="1" applyAlignment="1" applyProtection="1">
      <alignment horizontal="center" wrapText="1"/>
    </xf>
    <xf numFmtId="0" fontId="95" fillId="11" borderId="8" xfId="0" applyFont="1" applyFill="1" applyBorder="1" applyAlignment="1" applyProtection="1">
      <alignment horizontal="center" wrapText="1"/>
    </xf>
    <xf numFmtId="0" fontId="103" fillId="2" borderId="0" xfId="0" applyFont="1" applyFill="1" applyBorder="1" applyAlignment="1" applyProtection="1">
      <alignment horizontal="center" wrapText="1"/>
    </xf>
    <xf numFmtId="0" fontId="103" fillId="13" borderId="0" xfId="0" applyFont="1" applyFill="1" applyBorder="1" applyAlignment="1" applyProtection="1">
      <alignment horizontal="center" wrapText="1"/>
    </xf>
    <xf numFmtId="0" fontId="105" fillId="11" borderId="8" xfId="0" applyFont="1" applyFill="1" applyBorder="1" applyAlignment="1" applyProtection="1">
      <alignment horizontal="center"/>
    </xf>
    <xf numFmtId="0" fontId="103" fillId="7" borderId="8" xfId="0" applyFont="1" applyFill="1" applyBorder="1" applyProtection="1"/>
    <xf numFmtId="0" fontId="103" fillId="2" borderId="8" xfId="0" applyFont="1" applyFill="1" applyBorder="1" applyProtection="1"/>
    <xf numFmtId="0" fontId="86" fillId="14" borderId="0" xfId="0" applyFont="1" applyFill="1" applyBorder="1" applyAlignment="1" applyProtection="1">
      <alignment horizontal="center" wrapText="1"/>
    </xf>
    <xf numFmtId="0" fontId="26" fillId="17" borderId="0" xfId="0" applyFont="1" applyFill="1" applyBorder="1" applyProtection="1"/>
    <xf numFmtId="0" fontId="65" fillId="9" borderId="29" xfId="0" applyFont="1" applyFill="1" applyBorder="1" applyAlignment="1" applyProtection="1">
      <alignment horizontal="center"/>
    </xf>
    <xf numFmtId="0" fontId="65" fillId="9" borderId="12" xfId="0" applyFont="1" applyFill="1" applyBorder="1" applyAlignment="1" applyProtection="1">
      <alignment horizontal="center"/>
    </xf>
    <xf numFmtId="0" fontId="8" fillId="25" borderId="8" xfId="0" applyFont="1" applyFill="1" applyBorder="1" applyAlignment="1" applyProtection="1">
      <alignment horizontal="center" wrapText="1"/>
    </xf>
    <xf numFmtId="0" fontId="41" fillId="14" borderId="0" xfId="0" applyFont="1" applyFill="1" applyProtection="1"/>
    <xf numFmtId="0" fontId="65" fillId="14" borderId="8" xfId="0" applyFont="1" applyFill="1" applyBorder="1" applyAlignment="1" applyProtection="1">
      <alignment horizontal="center"/>
    </xf>
    <xf numFmtId="0" fontId="72" fillId="14" borderId="0" xfId="0" applyFont="1" applyFill="1" applyBorder="1" applyAlignment="1" applyProtection="1">
      <alignment horizontal="center" wrapText="1"/>
    </xf>
    <xf numFmtId="0" fontId="72" fillId="14" borderId="0" xfId="0" applyFont="1" applyFill="1" applyBorder="1" applyProtection="1"/>
    <xf numFmtId="0" fontId="80" fillId="14" borderId="8" xfId="0" applyFont="1" applyFill="1" applyBorder="1" applyAlignment="1" applyProtection="1">
      <alignment horizontal="center" wrapText="1"/>
    </xf>
    <xf numFmtId="0" fontId="70" fillId="14" borderId="8" xfId="0" applyFont="1" applyFill="1" applyBorder="1" applyAlignment="1" applyProtection="1">
      <alignment horizontal="center"/>
    </xf>
    <xf numFmtId="0" fontId="72" fillId="14" borderId="8" xfId="0" applyFont="1" applyFill="1" applyBorder="1" applyProtection="1"/>
    <xf numFmtId="0" fontId="86" fillId="14" borderId="8" xfId="0" applyFont="1" applyFill="1" applyBorder="1" applyAlignment="1" applyProtection="1">
      <alignment horizontal="center" wrapText="1"/>
    </xf>
    <xf numFmtId="0" fontId="80" fillId="14" borderId="0" xfId="0" applyFont="1" applyFill="1" applyBorder="1" applyAlignment="1" applyProtection="1">
      <alignment horizontal="center"/>
    </xf>
    <xf numFmtId="0" fontId="80" fillId="14" borderId="13" xfId="0" applyFont="1" applyFill="1" applyBorder="1" applyAlignment="1" applyProtection="1">
      <alignment horizontal="center" wrapText="1"/>
    </xf>
    <xf numFmtId="0" fontId="71" fillId="14" borderId="0" xfId="0" applyFont="1" applyFill="1" applyBorder="1" applyProtection="1"/>
    <xf numFmtId="0" fontId="86" fillId="14" borderId="13" xfId="0" applyFont="1" applyFill="1" applyBorder="1" applyAlignment="1" applyProtection="1">
      <alignment horizontal="center" wrapText="1"/>
    </xf>
    <xf numFmtId="0" fontId="80" fillId="14" borderId="1" xfId="0" applyFont="1" applyFill="1" applyBorder="1" applyAlignment="1" applyProtection="1">
      <alignment horizontal="center"/>
    </xf>
    <xf numFmtId="0" fontId="86" fillId="14" borderId="1" xfId="0" applyFont="1" applyFill="1" applyBorder="1" applyProtection="1"/>
    <xf numFmtId="0" fontId="86" fillId="14" borderId="0" xfId="0" applyFont="1" applyFill="1" applyBorder="1" applyProtection="1"/>
    <xf numFmtId="0" fontId="79" fillId="14" borderId="0" xfId="0" applyFont="1" applyFill="1" applyProtection="1"/>
    <xf numFmtId="49" fontId="5" fillId="14" borderId="36" xfId="0" applyNumberFormat="1" applyFont="1" applyFill="1" applyBorder="1" applyAlignment="1" applyProtection="1">
      <alignment horizontal="center" wrapText="1"/>
    </xf>
    <xf numFmtId="0" fontId="26" fillId="22" borderId="8" xfId="0" applyFont="1" applyFill="1" applyBorder="1" applyProtection="1"/>
    <xf numFmtId="0" fontId="26" fillId="22" borderId="20" xfId="0" applyFont="1" applyFill="1" applyBorder="1" applyProtection="1"/>
    <xf numFmtId="0" fontId="26" fillId="22" borderId="21" xfId="0" applyFont="1" applyFill="1" applyBorder="1" applyProtection="1"/>
    <xf numFmtId="0" fontId="81" fillId="22" borderId="24" xfId="0" applyFont="1" applyFill="1" applyBorder="1" applyProtection="1"/>
    <xf numFmtId="0" fontId="81" fillId="22" borderId="25" xfId="0" applyFont="1" applyFill="1" applyBorder="1" applyProtection="1"/>
    <xf numFmtId="0" fontId="41" fillId="22" borderId="0" xfId="0" applyFont="1" applyFill="1" applyBorder="1" applyProtection="1"/>
    <xf numFmtId="0" fontId="5" fillId="22" borderId="14" xfId="0" applyFont="1" applyFill="1" applyBorder="1" applyProtection="1"/>
    <xf numFmtId="49" fontId="41" fillId="11" borderId="18" xfId="0" applyNumberFormat="1" applyFont="1" applyFill="1" applyBorder="1" applyAlignment="1" applyProtection="1">
      <alignment horizontal="center" wrapText="1"/>
    </xf>
    <xf numFmtId="49" fontId="41" fillId="11" borderId="5" xfId="0" applyNumberFormat="1" applyFont="1" applyFill="1" applyBorder="1" applyAlignment="1" applyProtection="1">
      <alignment horizontal="center" wrapText="1"/>
    </xf>
    <xf numFmtId="0" fontId="87" fillId="25" borderId="8" xfId="0" applyNumberFormat="1" applyFont="1" applyFill="1" applyBorder="1" applyAlignment="1" applyProtection="1"/>
    <xf numFmtId="0" fontId="87" fillId="25" borderId="8" xfId="0" applyNumberFormat="1" applyFont="1" applyFill="1" applyBorder="1" applyAlignment="1" applyProtection="1">
      <alignment horizontal="center"/>
    </xf>
    <xf numFmtId="2" fontId="0" fillId="0" borderId="9" xfId="0" applyNumberFormat="1" applyBorder="1" applyProtection="1"/>
    <xf numFmtId="2" fontId="0" fillId="0" borderId="1" xfId="0" applyNumberFormat="1" applyBorder="1" applyProtection="1"/>
    <xf numFmtId="0" fontId="72" fillId="19" borderId="26" xfId="0" applyFont="1" applyFill="1" applyBorder="1" applyAlignment="1" applyProtection="1">
      <alignment horizontal="left"/>
    </xf>
    <xf numFmtId="0" fontId="57" fillId="0" borderId="33" xfId="0" applyNumberFormat="1" applyFont="1" applyFill="1" applyBorder="1" applyAlignment="1" applyProtection="1">
      <alignment horizontal="center"/>
    </xf>
    <xf numFmtId="0" fontId="57" fillId="0" borderId="34" xfId="0" applyNumberFormat="1" applyFont="1" applyFill="1" applyBorder="1" applyAlignment="1" applyProtection="1">
      <alignment horizontal="center"/>
    </xf>
    <xf numFmtId="0" fontId="17" fillId="25" borderId="19" xfId="0" applyFont="1" applyFill="1" applyBorder="1" applyProtection="1"/>
    <xf numFmtId="0" fontId="72" fillId="19" borderId="19" xfId="0" applyFont="1" applyFill="1" applyBorder="1" applyAlignment="1" applyProtection="1">
      <alignment horizontal="center"/>
    </xf>
    <xf numFmtId="0" fontId="8" fillId="13" borderId="19" xfId="0" applyFont="1" applyFill="1" applyBorder="1" applyProtection="1"/>
    <xf numFmtId="0" fontId="8" fillId="0" borderId="19" xfId="0" applyFont="1" applyBorder="1" applyProtection="1"/>
    <xf numFmtId="0" fontId="16" fillId="0" borderId="0" xfId="0" applyNumberFormat="1" applyFont="1" applyFill="1" applyBorder="1" applyAlignment="1" applyProtection="1">
      <alignment horizontal="center"/>
    </xf>
    <xf numFmtId="0" fontId="94" fillId="0" borderId="0" xfId="0" applyNumberFormat="1" applyFont="1" applyFill="1" applyBorder="1" applyAlignment="1" applyProtection="1"/>
    <xf numFmtId="0" fontId="89" fillId="0" borderId="0" xfId="0" applyFont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center"/>
    </xf>
    <xf numFmtId="1" fontId="55" fillId="0" borderId="0" xfId="0" applyNumberFormat="1" applyFont="1" applyFill="1" applyBorder="1" applyAlignment="1" applyProtection="1">
      <alignment horizontal="right"/>
    </xf>
    <xf numFmtId="0" fontId="80" fillId="0" borderId="0" xfId="0" applyFont="1" applyFill="1" applyBorder="1" applyProtection="1"/>
    <xf numFmtId="0" fontId="82" fillId="0" borderId="0" xfId="0" applyFont="1" applyFill="1" applyBorder="1" applyProtection="1"/>
    <xf numFmtId="0" fontId="90" fillId="0" borderId="0" xfId="0" applyFont="1" applyFill="1" applyBorder="1" applyProtection="1"/>
    <xf numFmtId="0" fontId="85" fillId="0" borderId="7" xfId="0" applyFont="1" applyBorder="1" applyAlignment="1" applyProtection="1">
      <alignment horizontal="center"/>
    </xf>
    <xf numFmtId="0" fontId="85" fillId="0" borderId="14" xfId="0" applyFont="1" applyBorder="1" applyAlignment="1" applyProtection="1">
      <alignment horizontal="center"/>
    </xf>
    <xf numFmtId="0" fontId="85" fillId="0" borderId="18" xfId="0" applyFont="1" applyBorder="1" applyAlignment="1" applyProtection="1">
      <alignment horizontal="center"/>
    </xf>
    <xf numFmtId="0" fontId="90" fillId="0" borderId="5" xfId="0" applyFont="1" applyBorder="1" applyAlignment="1" applyProtection="1">
      <alignment vertical="center" wrapText="1"/>
    </xf>
    <xf numFmtId="0" fontId="90" fillId="26" borderId="5" xfId="0" applyFont="1" applyFill="1" applyBorder="1" applyAlignment="1" applyProtection="1">
      <alignment horizontal="center" wrapText="1"/>
    </xf>
    <xf numFmtId="0" fontId="90" fillId="0" borderId="0" xfId="0" applyFont="1" applyFill="1" applyBorder="1" applyAlignment="1" applyProtection="1">
      <alignment horizontal="left" wrapText="1"/>
    </xf>
    <xf numFmtId="1" fontId="88" fillId="0" borderId="2" xfId="0" applyNumberFormat="1" applyFont="1" applyFill="1" applyBorder="1" applyAlignment="1" applyProtection="1">
      <alignment horizontal="right"/>
    </xf>
    <xf numFmtId="1" fontId="88" fillId="0" borderId="3" xfId="0" applyNumberFormat="1" applyFont="1" applyFill="1" applyBorder="1" applyAlignment="1" applyProtection="1">
      <alignment horizontal="right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1" fontId="88" fillId="0" borderId="6" xfId="0" applyNumberFormat="1" applyFont="1" applyFill="1" applyBorder="1" applyAlignment="1" applyProtection="1">
      <alignment horizontal="left"/>
    </xf>
    <xf numFmtId="1" fontId="88" fillId="0" borderId="2" xfId="0" applyNumberFormat="1" applyFont="1" applyFill="1" applyBorder="1" applyAlignment="1" applyProtection="1">
      <alignment horizontal="left"/>
    </xf>
    <xf numFmtId="0" fontId="51" fillId="10" borderId="1" xfId="0" applyFont="1" applyFill="1" applyBorder="1" applyAlignment="1" applyProtection="1">
      <alignment horizontal="center"/>
    </xf>
    <xf numFmtId="0" fontId="51" fillId="10" borderId="2" xfId="0" applyFont="1" applyFill="1" applyBorder="1" applyAlignment="1" applyProtection="1">
      <alignment horizontal="center"/>
    </xf>
    <xf numFmtId="1" fontId="22" fillId="0" borderId="0" xfId="0" applyNumberFormat="1" applyFont="1" applyBorder="1" applyAlignment="1" applyProtection="1">
      <alignment horizontal="right"/>
    </xf>
    <xf numFmtId="1" fontId="32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49" fontId="85" fillId="15" borderId="30" xfId="0" applyNumberFormat="1" applyFont="1" applyFill="1" applyBorder="1" applyAlignment="1" applyProtection="1">
      <alignment horizontal="center" vertical="center" wrapText="1"/>
    </xf>
    <xf numFmtId="49" fontId="85" fillId="15" borderId="31" xfId="0" applyNumberFormat="1" applyFont="1" applyFill="1" applyBorder="1" applyAlignment="1" applyProtection="1">
      <alignment horizontal="center" vertical="center" wrapText="1"/>
    </xf>
    <xf numFmtId="2" fontId="38" fillId="0" borderId="7" xfId="0" applyNumberFormat="1" applyFont="1" applyFill="1" applyBorder="1" applyAlignment="1" applyProtection="1">
      <alignment horizontal="center" vertical="center"/>
    </xf>
    <xf numFmtId="2" fontId="38" fillId="0" borderId="18" xfId="0" applyNumberFormat="1" applyFont="1" applyFill="1" applyBorder="1" applyAlignment="1" applyProtection="1">
      <alignment horizontal="center" vertical="center"/>
    </xf>
    <xf numFmtId="0" fontId="87" fillId="6" borderId="23" xfId="0" applyNumberFormat="1" applyFont="1" applyFill="1" applyBorder="1" applyAlignment="1" applyProtection="1">
      <alignment horizontal="center" vertical="center" wrapText="1"/>
    </xf>
    <xf numFmtId="0" fontId="87" fillId="6" borderId="15" xfId="0" applyNumberFormat="1" applyFont="1" applyFill="1" applyBorder="1" applyAlignment="1" applyProtection="1">
      <alignment horizontal="center" vertical="center" wrapText="1"/>
    </xf>
    <xf numFmtId="49" fontId="85" fillId="23" borderId="23" xfId="0" applyNumberFormat="1" applyFont="1" applyFill="1" applyBorder="1" applyAlignment="1" applyProtection="1">
      <alignment horizontal="center" vertical="center" wrapText="1"/>
    </xf>
    <xf numFmtId="49" fontId="85" fillId="23" borderId="27" xfId="0" applyNumberFormat="1" applyFont="1" applyFill="1" applyBorder="1" applyAlignment="1" applyProtection="1">
      <alignment horizontal="center" vertical="center" wrapText="1"/>
    </xf>
    <xf numFmtId="49" fontId="85" fillId="23" borderId="15" xfId="0" applyNumberFormat="1" applyFont="1" applyFill="1" applyBorder="1" applyAlignment="1" applyProtection="1">
      <alignment horizontal="center" vertical="center" wrapText="1"/>
    </xf>
    <xf numFmtId="2" fontId="38" fillId="0" borderId="9" xfId="0" applyNumberFormat="1" applyFont="1" applyFill="1" applyBorder="1" applyAlignment="1" applyProtection="1">
      <alignment horizontal="center"/>
    </xf>
    <xf numFmtId="2" fontId="38" fillId="0" borderId="22" xfId="0" applyNumberFormat="1" applyFont="1" applyFill="1" applyBorder="1" applyAlignment="1" applyProtection="1">
      <alignment horizontal="center"/>
    </xf>
    <xf numFmtId="1" fontId="88" fillId="0" borderId="2" xfId="0" applyNumberFormat="1" applyFont="1" applyBorder="1" applyAlignment="1" applyProtection="1">
      <alignment horizontal="right"/>
    </xf>
    <xf numFmtId="1" fontId="88" fillId="0" borderId="3" xfId="0" applyNumberFormat="1" applyFont="1" applyBorder="1" applyAlignment="1" applyProtection="1">
      <alignment horizontal="right"/>
    </xf>
    <xf numFmtId="1" fontId="88" fillId="0" borderId="6" xfId="0" applyNumberFormat="1" applyFont="1" applyBorder="1" applyAlignment="1" applyProtection="1">
      <alignment horizontal="left"/>
    </xf>
    <xf numFmtId="1" fontId="88" fillId="0" borderId="2" xfId="0" applyNumberFormat="1" applyFont="1" applyBorder="1" applyAlignment="1" applyProtection="1">
      <alignment horizontal="left"/>
    </xf>
    <xf numFmtId="1" fontId="22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32" fillId="5" borderId="23" xfId="0" applyNumberFormat="1" applyFont="1" applyFill="1" applyBorder="1" applyAlignment="1" applyProtection="1">
      <alignment horizontal="center" vertical="center" wrapText="1"/>
    </xf>
    <xf numFmtId="49" fontId="32" fillId="5" borderId="27" xfId="0" applyNumberFormat="1" applyFont="1" applyFill="1" applyBorder="1" applyAlignment="1" applyProtection="1">
      <alignment horizontal="center" vertical="center" wrapText="1"/>
    </xf>
    <xf numFmtId="49" fontId="32" fillId="5" borderId="15" xfId="0" applyNumberFormat="1" applyFont="1" applyFill="1" applyBorder="1" applyAlignment="1" applyProtection="1">
      <alignment horizontal="center" vertical="center" wrapText="1"/>
    </xf>
    <xf numFmtId="1" fontId="22" fillId="0" borderId="11" xfId="0" applyNumberFormat="1" applyFont="1" applyFill="1" applyBorder="1" applyAlignment="1" applyProtection="1">
      <alignment horizontal="right"/>
    </xf>
    <xf numFmtId="0" fontId="39" fillId="0" borderId="0" xfId="0" applyFont="1" applyBorder="1" applyAlignment="1" applyProtection="1">
      <alignment horizontal="right"/>
    </xf>
    <xf numFmtId="1" fontId="22" fillId="0" borderId="0" xfId="0" applyNumberFormat="1" applyFont="1" applyFill="1" applyBorder="1" applyAlignment="1" applyProtection="1">
      <alignment horizontal="left"/>
    </xf>
    <xf numFmtId="49" fontId="39" fillId="16" borderId="0" xfId="0" applyNumberFormat="1" applyFont="1" applyFill="1" applyBorder="1" applyAlignment="1" applyProtection="1">
      <alignment horizontal="center" wrapText="1"/>
    </xf>
    <xf numFmtId="2" fontId="64" fillId="0" borderId="7" xfId="0" applyNumberFormat="1" applyFont="1" applyFill="1" applyBorder="1" applyAlignment="1" applyProtection="1">
      <alignment horizontal="center"/>
    </xf>
    <xf numFmtId="2" fontId="64" fillId="0" borderId="18" xfId="0" applyNumberFormat="1" applyFont="1" applyFill="1" applyBorder="1" applyAlignment="1" applyProtection="1">
      <alignment horizontal="center"/>
    </xf>
    <xf numFmtId="0" fontId="33" fillId="6" borderId="23" xfId="0" applyNumberFormat="1" applyFont="1" applyFill="1" applyBorder="1" applyAlignment="1" applyProtection="1">
      <alignment horizontal="center" vertical="center" wrapText="1"/>
    </xf>
    <xf numFmtId="0" fontId="33" fillId="6" borderId="15" xfId="0" applyNumberFormat="1" applyFont="1" applyFill="1" applyBorder="1" applyAlignment="1" applyProtection="1">
      <alignment horizontal="center" vertical="center" wrapText="1"/>
    </xf>
  </cellXfs>
  <cellStyles count="3">
    <cellStyle name="Normal 2" xfId="2"/>
    <cellStyle name="Normal 3" xfId="1"/>
    <cellStyle name="Standard" xfId="0" builtinId="0"/>
  </cellStyles>
  <dxfs count="170"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ndense val="0"/>
        <extend val="0"/>
        <color indexed="9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FF"/>
      <color rgb="FFFF3300"/>
      <color rgb="FF00FFFF"/>
      <color rgb="FF66CCFF"/>
      <color rgb="FF99CCFF"/>
      <color rgb="FFFFFFCC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2748643</xdr:colOff>
      <xdr:row>87</xdr:row>
      <xdr:rowOff>136069</xdr:rowOff>
    </xdr:from>
    <xdr:to>
      <xdr:col>81</xdr:col>
      <xdr:colOff>176892</xdr:colOff>
      <xdr:row>96</xdr:row>
      <xdr:rowOff>40851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6" y="3252105"/>
          <a:ext cx="12545785" cy="680389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56</xdr:row>
      <xdr:rowOff>204108</xdr:rowOff>
    </xdr:from>
    <xdr:to>
      <xdr:col>3</xdr:col>
      <xdr:colOff>2258786</xdr:colOff>
      <xdr:row>89</xdr:row>
      <xdr:rowOff>107364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1360715"/>
          <a:ext cx="5102679" cy="2366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2762250</xdr:colOff>
      <xdr:row>48</xdr:row>
      <xdr:rowOff>81642</xdr:rowOff>
    </xdr:from>
    <xdr:to>
      <xdr:col>78</xdr:col>
      <xdr:colOff>149679</xdr:colOff>
      <xdr:row>55</xdr:row>
      <xdr:rowOff>129852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184071"/>
          <a:ext cx="13430250" cy="7149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15</xdr:row>
      <xdr:rowOff>95250</xdr:rowOff>
    </xdr:from>
    <xdr:to>
      <xdr:col>3</xdr:col>
      <xdr:colOff>2190750</xdr:colOff>
      <xdr:row>48</xdr:row>
      <xdr:rowOff>40823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748393"/>
          <a:ext cx="4857750" cy="2326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2200275</xdr:colOff>
      <xdr:row>59</xdr:row>
      <xdr:rowOff>136070</xdr:rowOff>
    </xdr:from>
    <xdr:to>
      <xdr:col>79</xdr:col>
      <xdr:colOff>172811</xdr:colOff>
      <xdr:row>72</xdr:row>
      <xdr:rowOff>340179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2993570"/>
          <a:ext cx="13008429" cy="721180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27</xdr:row>
      <xdr:rowOff>50347</xdr:rowOff>
    </xdr:from>
    <xdr:to>
      <xdr:col>3</xdr:col>
      <xdr:colOff>2299607</xdr:colOff>
      <xdr:row>72</xdr:row>
      <xdr:rowOff>233946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771526"/>
          <a:ext cx="5524498" cy="28369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37621</xdr:colOff>
      <xdr:row>87</xdr:row>
      <xdr:rowOff>148879</xdr:rowOff>
    </xdr:from>
    <xdr:to>
      <xdr:col>73</xdr:col>
      <xdr:colOff>33617</xdr:colOff>
      <xdr:row>90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621" y="2916732"/>
          <a:ext cx="8400408" cy="6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52</xdr:row>
      <xdr:rowOff>145677</xdr:rowOff>
    </xdr:from>
    <xdr:to>
      <xdr:col>3</xdr:col>
      <xdr:colOff>1680883</xdr:colOff>
      <xdr:row>96</xdr:row>
      <xdr:rowOff>106501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45677"/>
          <a:ext cx="3641913" cy="342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U178"/>
  <sheetViews>
    <sheetView topLeftCell="A54" zoomScale="50" zoomScaleNormal="50" workbookViewId="0">
      <selection activeCell="B102" sqref="B102"/>
    </sheetView>
  </sheetViews>
  <sheetFormatPr baseColWidth="10" defaultColWidth="9.140625" defaultRowHeight="15.75" x14ac:dyDescent="0.25"/>
  <cols>
    <col min="1" max="1" width="6" style="14" customWidth="1"/>
    <col min="2" max="2" width="39.7109375" style="11" customWidth="1"/>
    <col min="3" max="3" width="19.5703125" style="11" hidden="1" customWidth="1"/>
    <col min="4" max="4" width="34.42578125" style="13" customWidth="1"/>
    <col min="5" max="6" width="15" style="13" hidden="1" customWidth="1"/>
    <col min="7" max="7" width="8.85546875" style="13" hidden="1" customWidth="1"/>
    <col min="8" max="20" width="11.42578125" style="14" hidden="1" customWidth="1"/>
    <col min="21" max="21" width="15.85546875" style="14" hidden="1" customWidth="1"/>
    <col min="22" max="22" width="13.28515625" style="14" hidden="1" customWidth="1"/>
    <col min="23" max="23" width="37.140625" style="14" hidden="1" customWidth="1"/>
    <col min="24" max="24" width="33.85546875" style="14" hidden="1" customWidth="1"/>
    <col min="25" max="25" width="12.42578125" style="14" hidden="1" customWidth="1"/>
    <col min="26" max="26" width="14.28515625" style="14" hidden="1" customWidth="1"/>
    <col min="27" max="27" width="15.5703125" style="14" hidden="1" customWidth="1"/>
    <col min="28" max="28" width="21.5703125" style="14" hidden="1" customWidth="1"/>
    <col min="29" max="29" width="14.28515625" style="14" hidden="1" customWidth="1"/>
    <col min="30" max="30" width="15.5703125" style="14" hidden="1" customWidth="1"/>
    <col min="31" max="31" width="18.85546875" style="14" hidden="1" customWidth="1"/>
    <col min="32" max="32" width="29.7109375" style="14" hidden="1" customWidth="1"/>
    <col min="33" max="33" width="15.5703125" style="14" hidden="1" customWidth="1"/>
    <col min="34" max="34" width="16.28515625" style="14" hidden="1" customWidth="1"/>
    <col min="35" max="35" width="15.5703125" style="14" hidden="1" customWidth="1"/>
    <col min="36" max="37" width="16.28515625" style="14" hidden="1" customWidth="1"/>
    <col min="38" max="38" width="10.28515625" style="14" hidden="1" customWidth="1"/>
    <col min="39" max="39" width="9" style="14" hidden="1" customWidth="1"/>
    <col min="40" max="40" width="9.5703125" style="14" hidden="1" customWidth="1"/>
    <col min="41" max="41" width="8.85546875" style="14" hidden="1" customWidth="1"/>
    <col min="42" max="42" width="17.7109375" style="14" hidden="1" customWidth="1"/>
    <col min="43" max="43" width="17.42578125" style="14" hidden="1" customWidth="1"/>
    <col min="44" max="44" width="11.85546875" style="14" hidden="1" customWidth="1"/>
    <col min="45" max="45" width="14.85546875" style="14" hidden="1" customWidth="1"/>
    <col min="46" max="46" width="4.42578125" style="14" hidden="1" customWidth="1"/>
    <col min="47" max="47" width="6.42578125" style="14" hidden="1" customWidth="1"/>
    <col min="48" max="48" width="46.28515625" style="14" hidden="1" customWidth="1"/>
    <col min="49" max="49" width="16.28515625" style="14" hidden="1" customWidth="1"/>
    <col min="50" max="51" width="15.5703125" style="14" hidden="1" customWidth="1"/>
    <col min="52" max="52" width="8.7109375" style="14" hidden="1" customWidth="1"/>
    <col min="53" max="53" width="38.85546875" style="14" hidden="1" customWidth="1"/>
    <col min="54" max="54" width="8.85546875" style="14" hidden="1" customWidth="1"/>
    <col min="55" max="55" width="14.5703125" style="14" hidden="1" customWidth="1"/>
    <col min="56" max="56" width="33.5703125" style="14" hidden="1" customWidth="1"/>
    <col min="57" max="57" width="43.5703125" style="14" customWidth="1"/>
    <col min="58" max="58" width="7.140625" style="14" hidden="1" customWidth="1"/>
    <col min="59" max="81" width="8" style="14" customWidth="1"/>
    <col min="82" max="84" width="7.140625" style="14" customWidth="1"/>
    <col min="85" max="85" width="7.7109375" style="14" customWidth="1"/>
    <col min="86" max="86" width="16" style="14" customWidth="1"/>
    <col min="87" max="87" width="41" style="14" hidden="1" customWidth="1"/>
    <col min="88" max="88" width="18" style="14" bestFit="1" customWidth="1"/>
    <col min="89" max="89" width="11.42578125" style="14" hidden="1" customWidth="1"/>
    <col min="90" max="96" width="0" style="14" hidden="1" customWidth="1"/>
    <col min="97" max="97" width="41" style="14" hidden="1" customWidth="1"/>
    <col min="98" max="98" width="0" style="14" hidden="1" customWidth="1"/>
    <col min="99" max="99" width="11.42578125" style="14" hidden="1" customWidth="1"/>
    <col min="100" max="121" width="0" style="14" hidden="1" customWidth="1"/>
    <col min="122" max="16384" width="9.140625" style="14"/>
  </cols>
  <sheetData>
    <row r="1" spans="2:7" ht="18" hidden="1" x14ac:dyDescent="0.25">
      <c r="D1" s="12" t="s">
        <v>71</v>
      </c>
      <c r="E1" s="12" t="s">
        <v>72</v>
      </c>
      <c r="F1" s="12" t="s">
        <v>73</v>
      </c>
    </row>
    <row r="2" spans="2:7" ht="34.5" hidden="1" customHeight="1" x14ac:dyDescent="0.3">
      <c r="B2" s="15" t="s">
        <v>23</v>
      </c>
      <c r="C2" s="354">
        <v>550</v>
      </c>
      <c r="D2" s="352">
        <f>+COS(($B$102*-1)*3.14159265358979/180)*C2</f>
        <v>550</v>
      </c>
      <c r="E2" s="353">
        <f>+COS(($B$102*-1)*3.14159265358979/180)*25</f>
        <v>25</v>
      </c>
      <c r="F2" s="355">
        <f>+COS((($B$102*-1)+38.0401343)*3.14159265358979/180)*41.3818</f>
        <v>32.591449259959951</v>
      </c>
    </row>
    <row r="3" spans="2:7" ht="34.5" hidden="1" customHeight="1" x14ac:dyDescent="0.3">
      <c r="B3" s="15" t="s">
        <v>92</v>
      </c>
      <c r="C3" s="357">
        <f>+C15-32.5914</f>
        <v>222.3674449198185</v>
      </c>
      <c r="D3" s="16">
        <f>+C15-F2</f>
        <v>222.36739565985854</v>
      </c>
    </row>
    <row r="4" spans="2:7" ht="54.75" hidden="1" x14ac:dyDescent="0.3">
      <c r="B4" s="423" t="s">
        <v>75</v>
      </c>
      <c r="C4" s="424"/>
      <c r="D4" s="425"/>
    </row>
    <row r="5" spans="2:7" ht="36.75" hidden="1" x14ac:dyDescent="0.3">
      <c r="B5" s="423" t="s">
        <v>76</v>
      </c>
      <c r="C5" s="424"/>
      <c r="D5" s="425"/>
    </row>
    <row r="6" spans="2:7" s="20" customFormat="1" ht="18" hidden="1" x14ac:dyDescent="0.25">
      <c r="B6" s="18"/>
      <c r="C6" s="19"/>
      <c r="D6" s="13"/>
      <c r="E6" s="13"/>
      <c r="F6" s="13"/>
      <c r="G6" s="13"/>
    </row>
    <row r="7" spans="2:7" ht="18" hidden="1" x14ac:dyDescent="0.25">
      <c r="B7" s="412" t="s">
        <v>57</v>
      </c>
      <c r="C7" s="358">
        <v>5800</v>
      </c>
      <c r="D7" s="358">
        <v>10000</v>
      </c>
      <c r="E7" s="359"/>
    </row>
    <row r="8" spans="2:7" ht="18.75" hidden="1" thickBot="1" x14ac:dyDescent="0.3">
      <c r="B8" s="412" t="s">
        <v>59</v>
      </c>
      <c r="C8" s="360">
        <v>8000</v>
      </c>
      <c r="D8" s="360">
        <v>8000</v>
      </c>
      <c r="E8" s="358">
        <v>8000</v>
      </c>
    </row>
    <row r="9" spans="2:7" ht="18" hidden="1" x14ac:dyDescent="0.25">
      <c r="B9" s="420"/>
      <c r="C9" s="421" t="s">
        <v>18</v>
      </c>
      <c r="D9" s="421" t="s">
        <v>19</v>
      </c>
      <c r="E9" s="359"/>
    </row>
    <row r="10" spans="2:7" ht="18.75" hidden="1" thickBot="1" x14ac:dyDescent="0.3">
      <c r="B10" s="420" t="s">
        <v>16</v>
      </c>
      <c r="C10" s="422" t="e">
        <f>+((C13-C15)/C13)*C12</f>
        <v>#DIV/0!</v>
      </c>
      <c r="D10" s="422" t="e">
        <f>+(C15/C13)*C12</f>
        <v>#DIV/0!</v>
      </c>
      <c r="E10" s="359"/>
    </row>
    <row r="11" spans="2:7" s="20" customFormat="1" ht="18" hidden="1" x14ac:dyDescent="0.25">
      <c r="B11" s="18"/>
      <c r="C11" s="19"/>
      <c r="D11" s="13"/>
      <c r="E11" s="13"/>
      <c r="F11" s="13"/>
      <c r="G11" s="13"/>
    </row>
    <row r="12" spans="2:7" ht="18" hidden="1" x14ac:dyDescent="0.25">
      <c r="B12" s="21" t="s">
        <v>45</v>
      </c>
      <c r="C12" s="22">
        <f>+(B106*28)+5+5</f>
        <v>38</v>
      </c>
    </row>
    <row r="13" spans="2:7" ht="18" hidden="1" x14ac:dyDescent="0.25">
      <c r="B13" s="23" t="s">
        <v>46</v>
      </c>
      <c r="C13" s="356"/>
    </row>
    <row r="14" spans="2:7" ht="18" hidden="1" x14ac:dyDescent="0.25">
      <c r="B14" s="24">
        <f>+B106</f>
        <v>1</v>
      </c>
      <c r="C14" s="25">
        <f>IF(B14&lt;=24,B14)</f>
        <v>1</v>
      </c>
    </row>
    <row r="15" spans="2:7" ht="18" hidden="1" x14ac:dyDescent="0.25">
      <c r="B15" s="23" t="s">
        <v>47</v>
      </c>
      <c r="C15" s="21">
        <f>+X104</f>
        <v>254.95884491981849</v>
      </c>
    </row>
    <row r="16" spans="2:7" ht="18" hidden="1" x14ac:dyDescent="0.25">
      <c r="B16" s="18"/>
      <c r="C16" s="19"/>
    </row>
    <row r="17" spans="1:7" ht="18" hidden="1" x14ac:dyDescent="0.25">
      <c r="B17" s="18"/>
      <c r="C17" s="19"/>
    </row>
    <row r="18" spans="1:7" ht="18" hidden="1" x14ac:dyDescent="0.25">
      <c r="B18" s="18"/>
      <c r="C18" s="19"/>
    </row>
    <row r="19" spans="1:7" ht="18" hidden="1" x14ac:dyDescent="0.25">
      <c r="B19" s="18"/>
      <c r="C19" s="19"/>
    </row>
    <row r="20" spans="1:7" ht="18" hidden="1" x14ac:dyDescent="0.25">
      <c r="B20" s="18"/>
      <c r="C20" s="19"/>
    </row>
    <row r="21" spans="1:7" ht="18" hidden="1" x14ac:dyDescent="0.25">
      <c r="B21" s="18"/>
      <c r="C21" s="19"/>
    </row>
    <row r="22" spans="1:7" ht="18" hidden="1" x14ac:dyDescent="0.25">
      <c r="B22" s="18"/>
      <c r="C22" s="19"/>
    </row>
    <row r="23" spans="1:7" ht="18" hidden="1" x14ac:dyDescent="0.25">
      <c r="B23" s="18"/>
      <c r="C23" s="19"/>
    </row>
    <row r="24" spans="1:7" ht="18" hidden="1" x14ac:dyDescent="0.25">
      <c r="B24" s="18"/>
      <c r="C24" s="19"/>
    </row>
    <row r="25" spans="1:7" ht="18" hidden="1" x14ac:dyDescent="0.25">
      <c r="B25" s="18"/>
      <c r="C25" s="19"/>
    </row>
    <row r="26" spans="1:7" ht="18" hidden="1" x14ac:dyDescent="0.25">
      <c r="B26" s="18"/>
      <c r="C26" s="19"/>
    </row>
    <row r="27" spans="1:7" ht="18" hidden="1" x14ac:dyDescent="0.25">
      <c r="B27" s="18"/>
      <c r="C27" s="19"/>
    </row>
    <row r="28" spans="1:7" ht="18" hidden="1" x14ac:dyDescent="0.25">
      <c r="A28" s="26"/>
      <c r="B28" s="27"/>
      <c r="C28" s="28"/>
      <c r="D28" s="29"/>
      <c r="E28" s="29"/>
      <c r="F28" s="29"/>
      <c r="G28" s="29"/>
    </row>
    <row r="29" spans="1:7" ht="18" hidden="1" x14ac:dyDescent="0.25">
      <c r="A29" s="26"/>
      <c r="B29" s="27"/>
      <c r="C29" s="28"/>
      <c r="D29" s="29"/>
      <c r="E29" s="29"/>
      <c r="F29" s="29"/>
      <c r="G29" s="29"/>
    </row>
    <row r="30" spans="1:7" ht="18" hidden="1" x14ac:dyDescent="0.25">
      <c r="A30" s="26"/>
      <c r="B30" s="30"/>
      <c r="C30" s="31"/>
      <c r="D30" s="32"/>
      <c r="E30" s="29"/>
      <c r="F30" s="32"/>
      <c r="G30" s="29"/>
    </row>
    <row r="31" spans="1:7" ht="18" hidden="1" x14ac:dyDescent="0.25">
      <c r="A31" s="26"/>
      <c r="B31" s="6"/>
      <c r="C31" s="33"/>
      <c r="D31" s="34"/>
      <c r="E31" s="6"/>
      <c r="F31" s="29"/>
      <c r="G31" s="29"/>
    </row>
    <row r="32" spans="1:7" ht="30" hidden="1" x14ac:dyDescent="0.4">
      <c r="A32" s="26"/>
      <c r="B32" s="35"/>
      <c r="C32" s="31"/>
      <c r="D32" s="29"/>
      <c r="E32" s="36"/>
      <c r="F32" s="29"/>
      <c r="G32" s="29"/>
    </row>
    <row r="33" spans="1:7" ht="18" hidden="1" x14ac:dyDescent="0.2">
      <c r="A33" s="26"/>
      <c r="B33" s="497"/>
      <c r="C33" s="498"/>
      <c r="D33" s="498"/>
      <c r="E33" s="498"/>
      <c r="F33" s="29"/>
      <c r="G33" s="29"/>
    </row>
    <row r="34" spans="1:7" hidden="1" x14ac:dyDescent="0.25">
      <c r="A34" s="26"/>
      <c r="B34" s="31"/>
      <c r="C34" s="31"/>
      <c r="D34" s="31"/>
      <c r="E34" s="31"/>
      <c r="F34" s="29"/>
      <c r="G34" s="29"/>
    </row>
    <row r="35" spans="1:7" hidden="1" x14ac:dyDescent="0.25">
      <c r="A35" s="26"/>
      <c r="B35" s="31"/>
      <c r="C35" s="31"/>
      <c r="D35" s="31"/>
      <c r="E35" s="31"/>
      <c r="F35" s="29"/>
      <c r="G35" s="29"/>
    </row>
    <row r="36" spans="1:7" hidden="1" x14ac:dyDescent="0.25">
      <c r="A36" s="26"/>
      <c r="B36" s="31"/>
      <c r="C36" s="31"/>
      <c r="D36" s="31"/>
      <c r="E36" s="31"/>
      <c r="F36" s="29"/>
      <c r="G36" s="29"/>
    </row>
    <row r="37" spans="1:7" ht="18" hidden="1" x14ac:dyDescent="0.2">
      <c r="A37" s="26"/>
      <c r="B37" s="37"/>
      <c r="C37" s="38"/>
      <c r="D37" s="37"/>
      <c r="E37" s="37"/>
      <c r="F37" s="29"/>
      <c r="G37" s="29"/>
    </row>
    <row r="38" spans="1:7" ht="18" hidden="1" x14ac:dyDescent="0.2">
      <c r="A38" s="26"/>
      <c r="B38" s="37"/>
      <c r="C38" s="38"/>
      <c r="D38" s="37"/>
      <c r="E38" s="37"/>
      <c r="F38" s="29"/>
      <c r="G38" s="29"/>
    </row>
    <row r="39" spans="1:7" ht="18" hidden="1" x14ac:dyDescent="0.25">
      <c r="A39" s="26"/>
      <c r="B39" s="39"/>
      <c r="C39" s="38"/>
      <c r="D39" s="39"/>
      <c r="E39" s="40"/>
      <c r="F39" s="29"/>
      <c r="G39" s="29"/>
    </row>
    <row r="40" spans="1:7" ht="18" hidden="1" x14ac:dyDescent="0.2">
      <c r="A40" s="26"/>
      <c r="B40" s="37"/>
      <c r="C40" s="38"/>
      <c r="D40" s="37"/>
      <c r="E40" s="7"/>
      <c r="F40" s="29"/>
      <c r="G40" s="29"/>
    </row>
    <row r="41" spans="1:7" ht="18" hidden="1" x14ac:dyDescent="0.25">
      <c r="A41" s="26"/>
      <c r="B41" s="27"/>
      <c r="C41" s="28"/>
      <c r="D41" s="29"/>
      <c r="E41" s="29"/>
      <c r="F41" s="29"/>
      <c r="G41" s="29"/>
    </row>
    <row r="42" spans="1:7" ht="18" hidden="1" x14ac:dyDescent="0.25">
      <c r="A42" s="26"/>
      <c r="B42" s="27"/>
      <c r="C42" s="28"/>
      <c r="D42" s="29"/>
      <c r="E42" s="29"/>
      <c r="F42" s="29"/>
      <c r="G42" s="29"/>
    </row>
    <row r="43" spans="1:7" ht="18" hidden="1" x14ac:dyDescent="0.25">
      <c r="A43" s="26"/>
      <c r="B43" s="27"/>
      <c r="C43" s="28"/>
      <c r="D43" s="29"/>
      <c r="E43" s="29"/>
      <c r="F43" s="29"/>
      <c r="G43" s="29"/>
    </row>
    <row r="44" spans="1:7" ht="18" hidden="1" x14ac:dyDescent="0.25">
      <c r="A44" s="26"/>
      <c r="B44" s="27"/>
      <c r="C44" s="28"/>
      <c r="D44" s="29"/>
      <c r="E44" s="29"/>
      <c r="F44" s="29"/>
      <c r="G44" s="29"/>
    </row>
    <row r="45" spans="1:7" ht="18" hidden="1" x14ac:dyDescent="0.25">
      <c r="A45" s="26"/>
      <c r="B45" s="27"/>
      <c r="C45" s="28"/>
      <c r="D45" s="29"/>
      <c r="E45" s="29"/>
      <c r="F45" s="29"/>
      <c r="G45" s="29"/>
    </row>
    <row r="46" spans="1:7" ht="18" hidden="1" x14ac:dyDescent="0.25">
      <c r="A46" s="26"/>
      <c r="B46" s="27"/>
      <c r="C46" s="28"/>
      <c r="D46" s="29"/>
      <c r="E46" s="29"/>
      <c r="F46" s="29"/>
      <c r="G46" s="29"/>
    </row>
    <row r="47" spans="1:7" hidden="1" x14ac:dyDescent="0.25">
      <c r="A47" s="26"/>
      <c r="B47" s="31"/>
      <c r="C47" s="31"/>
      <c r="D47" s="29"/>
      <c r="E47" s="29"/>
      <c r="F47" s="29"/>
      <c r="G47" s="29"/>
    </row>
    <row r="48" spans="1:7" hidden="1" x14ac:dyDescent="0.25">
      <c r="A48" s="26"/>
      <c r="B48" s="31"/>
      <c r="C48" s="31"/>
      <c r="D48" s="29"/>
      <c r="E48" s="29"/>
      <c r="F48" s="29"/>
      <c r="G48" s="29"/>
    </row>
    <row r="49" spans="1:88" s="42" customFormat="1" ht="20.25" hidden="1" x14ac:dyDescent="0.3">
      <c r="A49" s="32"/>
      <c r="B49" s="41"/>
      <c r="C49" s="41"/>
      <c r="D49" s="30"/>
      <c r="E49" s="30"/>
      <c r="F49" s="30"/>
      <c r="G49" s="30"/>
      <c r="AR49" s="43"/>
      <c r="AS49" s="43"/>
      <c r="AX49" s="14"/>
      <c r="AY49" s="14"/>
      <c r="AZ49" s="14"/>
      <c r="BA49" s="14"/>
      <c r="BB49" s="14"/>
      <c r="BC49" s="14"/>
      <c r="BZ49" s="47"/>
      <c r="CA49" s="47"/>
      <c r="CB49" s="47"/>
      <c r="CC49" s="47"/>
      <c r="CD49" s="47"/>
      <c r="CE49" s="47"/>
      <c r="CF49" s="47"/>
      <c r="CG49" s="47"/>
      <c r="CH49" s="47"/>
      <c r="CI49" s="47"/>
    </row>
    <row r="50" spans="1:88" ht="30" hidden="1" x14ac:dyDescent="0.35">
      <c r="A50" s="26"/>
      <c r="B50" s="31"/>
      <c r="C50" s="31"/>
      <c r="D50" s="29"/>
      <c r="E50" s="29"/>
      <c r="F50" s="29"/>
      <c r="G50" s="29"/>
      <c r="AR50" s="20"/>
      <c r="AS50" s="48"/>
      <c r="AT50" s="49"/>
      <c r="AU50" s="49"/>
      <c r="AV50" s="49"/>
      <c r="AW50" s="49"/>
      <c r="BB50" s="50"/>
      <c r="CG50" s="47"/>
      <c r="CH50" s="47"/>
      <c r="CI50" s="47"/>
    </row>
    <row r="51" spans="1:88" ht="25.5" hidden="1" x14ac:dyDescent="0.35">
      <c r="A51" s="26"/>
      <c r="B51" s="31"/>
      <c r="C51" s="31"/>
      <c r="D51" s="29"/>
      <c r="E51" s="29"/>
      <c r="F51" s="29"/>
      <c r="G51" s="29"/>
      <c r="AR51" s="505"/>
      <c r="AS51" s="505"/>
      <c r="AT51" s="49"/>
      <c r="AU51" s="49"/>
      <c r="AV51" s="49"/>
      <c r="AW51" s="49"/>
      <c r="CG51" s="47"/>
      <c r="CH51" s="47"/>
      <c r="CI51" s="47"/>
      <c r="CJ51" s="47"/>
    </row>
    <row r="52" spans="1:88" ht="25.5" hidden="1" x14ac:dyDescent="0.35">
      <c r="AR52" s="332"/>
      <c r="AS52" s="332"/>
      <c r="AT52" s="49"/>
      <c r="AU52" s="49"/>
      <c r="AV52" s="49"/>
      <c r="AW52" s="49"/>
      <c r="CG52" s="55"/>
      <c r="CH52" s="47"/>
      <c r="CI52" s="47"/>
      <c r="CJ52" s="47"/>
    </row>
    <row r="53" spans="1:88" ht="25.5" hidden="1" x14ac:dyDescent="0.35">
      <c r="AT53" s="49"/>
      <c r="AU53" s="49"/>
      <c r="AV53" s="49"/>
      <c r="AW53" s="49"/>
      <c r="BB53" s="50"/>
      <c r="CG53" s="56"/>
      <c r="CH53" s="47"/>
      <c r="CI53" s="47"/>
      <c r="CJ53" s="47"/>
    </row>
    <row r="54" spans="1:88" ht="38.25" customHeight="1" x14ac:dyDescent="0.3">
      <c r="BF54" s="42"/>
      <c r="BG54" s="46"/>
      <c r="BH54" s="44" t="s">
        <v>22</v>
      </c>
      <c r="BI54" s="504">
        <f>+C12</f>
        <v>38</v>
      </c>
      <c r="BJ54" s="504"/>
      <c r="BK54" s="45" t="s">
        <v>16</v>
      </c>
      <c r="BL54" s="45"/>
      <c r="BM54" s="408" t="s">
        <v>98</v>
      </c>
      <c r="BN54" s="46"/>
      <c r="BO54" s="46"/>
      <c r="BP54" s="46"/>
      <c r="BQ54" s="46"/>
      <c r="BR54" s="46"/>
      <c r="BS54" s="46"/>
      <c r="BT54" s="47"/>
      <c r="BU54" s="47"/>
      <c r="BV54" s="47"/>
      <c r="BW54" s="47"/>
      <c r="BX54" s="47"/>
      <c r="BY54" s="47"/>
      <c r="CG54" s="58"/>
      <c r="CH54" s="47"/>
      <c r="CI54" s="47"/>
      <c r="CJ54" s="47"/>
    </row>
    <row r="55" spans="1:88" ht="12.75" customHeight="1" thickBot="1" x14ac:dyDescent="0.4">
      <c r="BC55" s="52"/>
      <c r="BD55" s="4"/>
      <c r="BE55" s="59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62"/>
      <c r="BU55" s="62"/>
      <c r="BV55" s="62"/>
      <c r="BW55" s="62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47"/>
      <c r="CI55" s="47"/>
      <c r="CJ55" s="47"/>
    </row>
    <row r="56" spans="1:88" ht="39.75" customHeight="1" x14ac:dyDescent="0.3">
      <c r="BB56" s="50"/>
      <c r="BE56" s="334" t="s">
        <v>24</v>
      </c>
      <c r="BF56" s="501"/>
      <c r="BG56" s="393" t="s">
        <v>25</v>
      </c>
      <c r="BH56" s="394"/>
      <c r="BI56" s="395"/>
      <c r="BJ56" s="395"/>
      <c r="BK56" s="395"/>
      <c r="BL56" s="395"/>
      <c r="BM56" s="395"/>
      <c r="BN56" s="396"/>
      <c r="BO56" s="397"/>
      <c r="BP56" s="398"/>
      <c r="BQ56" s="398"/>
      <c r="BR56" s="399"/>
      <c r="BS56" s="399"/>
      <c r="BT56" s="399"/>
      <c r="BU56" s="399"/>
      <c r="BV56" s="51"/>
      <c r="BW56" s="51"/>
      <c r="BX56" s="400"/>
      <c r="BY56" s="400"/>
      <c r="BZ56" s="400"/>
      <c r="CA56" s="400"/>
      <c r="CB56" s="394"/>
      <c r="CC56" s="401" t="s">
        <v>26</v>
      </c>
      <c r="CD56" s="87"/>
      <c r="CE56" s="87"/>
      <c r="CF56" s="87"/>
      <c r="CG56" s="55"/>
      <c r="CH56" s="47"/>
      <c r="CI56" s="47"/>
      <c r="CJ56" s="47"/>
    </row>
    <row r="57" spans="1:88" ht="39.75" customHeight="1" thickBot="1" x14ac:dyDescent="0.35">
      <c r="BE57" s="335"/>
      <c r="BF57" s="502"/>
      <c r="BG57" s="499">
        <f>+((D2-D3)/D2)*C12</f>
        <v>22.636434481682503</v>
      </c>
      <c r="BH57" s="500"/>
      <c r="BI57" s="402"/>
      <c r="BJ57" s="402"/>
      <c r="BK57" s="402"/>
      <c r="BL57" s="402"/>
      <c r="BM57" s="402"/>
      <c r="BN57" s="403"/>
      <c r="BO57" s="404"/>
      <c r="BP57" s="405"/>
      <c r="BQ57" s="405"/>
      <c r="BR57" s="406"/>
      <c r="BS57" s="406"/>
      <c r="BT57" s="406"/>
      <c r="BU57" s="406"/>
      <c r="BV57" s="57"/>
      <c r="BW57" s="57"/>
      <c r="BX57" s="407"/>
      <c r="BY57" s="407"/>
      <c r="BZ57" s="407"/>
      <c r="CA57" s="407"/>
      <c r="CB57" s="495">
        <f>+(D3/D2)*C12</f>
        <v>15.363565518317499</v>
      </c>
      <c r="CC57" s="496"/>
      <c r="CD57" s="87"/>
      <c r="CE57" s="87"/>
      <c r="CF57" s="87"/>
      <c r="CG57" s="55"/>
      <c r="CH57" s="47"/>
      <c r="CI57" s="47"/>
      <c r="CJ57" s="47"/>
    </row>
    <row r="58" spans="1:88" ht="20.25" hidden="1" x14ac:dyDescent="0.3">
      <c r="BE58" s="59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59"/>
      <c r="BQ58" s="60"/>
      <c r="BR58" s="60"/>
      <c r="BS58" s="61"/>
      <c r="BT58" s="62"/>
      <c r="BU58" s="62"/>
      <c r="BV58" s="62"/>
      <c r="BW58" s="62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47"/>
      <c r="CI58" s="47"/>
      <c r="CJ58" s="47"/>
    </row>
    <row r="59" spans="1:88" ht="25.5" hidden="1" customHeight="1" thickBot="1" x14ac:dyDescent="0.3"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Q59" s="77"/>
      <c r="AR59" s="78"/>
      <c r="AS59" s="78"/>
      <c r="AT59" s="75"/>
      <c r="AU59" s="75"/>
      <c r="AV59" s="75"/>
      <c r="AW59" s="75"/>
      <c r="BF59" s="391"/>
      <c r="BG59" s="391">
        <v>1</v>
      </c>
      <c r="BH59" s="391">
        <v>2</v>
      </c>
      <c r="BI59" s="391">
        <v>3</v>
      </c>
      <c r="BJ59" s="391">
        <v>4</v>
      </c>
      <c r="BK59" s="391">
        <v>5</v>
      </c>
      <c r="BL59" s="391">
        <v>6</v>
      </c>
      <c r="BM59" s="391">
        <v>7</v>
      </c>
      <c r="BN59" s="391">
        <v>8</v>
      </c>
      <c r="BO59" s="391">
        <v>9</v>
      </c>
      <c r="BP59" s="391">
        <v>10</v>
      </c>
      <c r="BQ59" s="392"/>
      <c r="BR59" s="392"/>
      <c r="BS59" s="392"/>
      <c r="BT59" s="391">
        <v>11</v>
      </c>
      <c r="BU59" s="391">
        <v>12</v>
      </c>
      <c r="BV59" s="391">
        <v>13</v>
      </c>
      <c r="BW59" s="391">
        <v>14</v>
      </c>
      <c r="BX59" s="391">
        <v>15</v>
      </c>
      <c r="BY59" s="391">
        <v>16</v>
      </c>
      <c r="BZ59" s="391">
        <v>17</v>
      </c>
      <c r="CA59" s="391">
        <v>18</v>
      </c>
      <c r="CB59" s="391">
        <v>19</v>
      </c>
      <c r="CC59" s="391">
        <v>20</v>
      </c>
    </row>
    <row r="60" spans="1:88" ht="25.5" hidden="1" customHeight="1" thickBot="1" x14ac:dyDescent="0.35"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Q60" s="77"/>
      <c r="AR60" s="78"/>
      <c r="AS60" s="78"/>
      <c r="AT60" s="75"/>
      <c r="AU60" s="75"/>
      <c r="AV60" s="75"/>
      <c r="AW60" s="75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2"/>
      <c r="BR60" s="392"/>
      <c r="BS60" s="392"/>
      <c r="BT60" s="391"/>
      <c r="BU60" s="391"/>
      <c r="BV60" s="391"/>
      <c r="BW60" s="391"/>
      <c r="BX60" s="391"/>
      <c r="BY60" s="391"/>
      <c r="BZ60" s="391"/>
      <c r="CA60" s="68" t="b">
        <f>IF(CB84=22,18)</f>
        <v>0</v>
      </c>
      <c r="CB60" s="391"/>
      <c r="CC60" s="63" t="b">
        <f>IF(CB84=22,20)</f>
        <v>0</v>
      </c>
    </row>
    <row r="61" spans="1:88" ht="25.5" hidden="1" customHeight="1" thickBot="1" x14ac:dyDescent="0.35"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Q61" s="77"/>
      <c r="AR61" s="78"/>
      <c r="AS61" s="78"/>
      <c r="AT61" s="75"/>
      <c r="AU61" s="75"/>
      <c r="AV61" s="75"/>
      <c r="AW61" s="75"/>
      <c r="BF61" s="391"/>
      <c r="BG61" s="391"/>
      <c r="BH61" s="391"/>
      <c r="BI61" s="391"/>
      <c r="BJ61" s="391"/>
      <c r="BK61" s="391"/>
      <c r="BL61" s="391"/>
      <c r="BM61" s="391"/>
      <c r="BN61" s="391"/>
      <c r="BO61" s="391"/>
      <c r="BP61" s="391"/>
      <c r="BQ61" s="392"/>
      <c r="BR61" s="392"/>
      <c r="BS61" s="392"/>
      <c r="BT61" s="391"/>
      <c r="BU61" s="391"/>
      <c r="BV61" s="391"/>
      <c r="BW61" s="391"/>
      <c r="BY61" s="68" t="b">
        <f>IF(CA84=21,16)</f>
        <v>0</v>
      </c>
      <c r="BZ61" s="391"/>
      <c r="CA61" s="391"/>
      <c r="CB61" s="391"/>
      <c r="CC61" s="63" t="b">
        <f>IF(CA84=21,20)</f>
        <v>0</v>
      </c>
    </row>
    <row r="62" spans="1:88" ht="25.5" hidden="1" customHeight="1" thickBot="1" x14ac:dyDescent="0.35"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Q62" s="77"/>
      <c r="AR62" s="78"/>
      <c r="AS62" s="78"/>
      <c r="AT62" s="75"/>
      <c r="AU62" s="75"/>
      <c r="AV62" s="75"/>
      <c r="AW62" s="75"/>
      <c r="BF62" s="91">
        <v>20</v>
      </c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2"/>
      <c r="BR62" s="392"/>
      <c r="BS62" s="392"/>
      <c r="BT62" s="391"/>
      <c r="BU62" s="391"/>
      <c r="BV62" s="391"/>
      <c r="BW62" s="68" t="b">
        <f>IF(BZ84=20,14)</f>
        <v>0</v>
      </c>
      <c r="BX62" s="391"/>
      <c r="BY62" s="391"/>
      <c r="BZ62" s="391"/>
      <c r="CA62" s="391"/>
      <c r="CB62" s="391"/>
      <c r="CC62" s="63" t="b">
        <f>IF(BZ84=20,20)</f>
        <v>0</v>
      </c>
    </row>
    <row r="63" spans="1:88" ht="21" hidden="1" thickBot="1" x14ac:dyDescent="0.35"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Q63" s="77"/>
      <c r="AR63" s="78"/>
      <c r="AS63" s="78"/>
      <c r="AT63" s="75"/>
      <c r="AU63" s="75"/>
      <c r="AV63" s="75"/>
      <c r="AW63" s="75"/>
      <c r="BF63" s="91">
        <v>19</v>
      </c>
      <c r="BU63" s="68" t="b">
        <f>IF(BY84=19,12)</f>
        <v>0</v>
      </c>
      <c r="CC63" s="63" t="b">
        <f>IF(BY84=19,20)</f>
        <v>0</v>
      </c>
    </row>
    <row r="64" spans="1:88" ht="21" hidden="1" thickBot="1" x14ac:dyDescent="0.35"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Q64" s="77"/>
      <c r="AR64" s="78"/>
      <c r="AS64" s="78"/>
      <c r="AT64" s="75"/>
      <c r="AU64" s="75"/>
      <c r="AV64" s="75"/>
      <c r="AW64" s="75"/>
      <c r="BE64" s="86"/>
      <c r="BF64" s="91">
        <v>18</v>
      </c>
      <c r="BG64" s="88"/>
      <c r="BH64" s="88"/>
      <c r="BI64" s="88"/>
      <c r="BJ64" s="88"/>
      <c r="BK64" s="88"/>
      <c r="BL64" s="88"/>
      <c r="BM64" s="88"/>
      <c r="BN64" s="61"/>
      <c r="BO64" s="60"/>
      <c r="BP64" s="89"/>
      <c r="BQ64" s="89"/>
      <c r="BR64" s="55"/>
      <c r="BS64" s="55"/>
      <c r="BT64" s="68" t="b">
        <f>IF(BX84=18,11)</f>
        <v>0</v>
      </c>
      <c r="BU64" s="55"/>
      <c r="BV64" s="55"/>
      <c r="BW64" s="55"/>
      <c r="BX64" s="55"/>
      <c r="BY64" s="55"/>
      <c r="BZ64" s="55"/>
      <c r="CA64" s="55"/>
      <c r="CB64" s="63" t="b">
        <f>IF(BX84=18,19)</f>
        <v>0</v>
      </c>
      <c r="CC64" s="87"/>
      <c r="CD64" s="87"/>
      <c r="CE64" s="87"/>
      <c r="CF64" s="87"/>
      <c r="CG64" s="90"/>
      <c r="CH64" s="87"/>
      <c r="CI64" s="87"/>
      <c r="CJ64" s="87"/>
    </row>
    <row r="65" spans="2:88" ht="21" hidden="1" thickBot="1" x14ac:dyDescent="0.35"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Q65" s="77"/>
      <c r="AR65" s="78"/>
      <c r="AS65" s="78"/>
      <c r="AT65" s="75"/>
      <c r="AU65" s="75"/>
      <c r="AV65" s="75"/>
      <c r="AW65" s="75"/>
      <c r="BE65" s="86"/>
      <c r="BF65" s="91">
        <v>17</v>
      </c>
      <c r="BG65" s="88"/>
      <c r="BH65" s="88"/>
      <c r="BI65" s="88"/>
      <c r="BJ65" s="88"/>
      <c r="BK65" s="88"/>
      <c r="BL65" s="88"/>
      <c r="BM65" s="88"/>
      <c r="BN65" s="61"/>
      <c r="BO65" s="60"/>
      <c r="BR65" s="55"/>
      <c r="BT65" s="68" t="b">
        <f>IF(BW84=17,11)</f>
        <v>0</v>
      </c>
      <c r="BU65" s="55"/>
      <c r="BV65" s="55"/>
      <c r="BW65" s="55"/>
      <c r="BX65" s="55"/>
      <c r="BY65" s="55"/>
      <c r="BZ65" s="63" t="b">
        <f>IF(BW84=17,17)</f>
        <v>0</v>
      </c>
      <c r="CB65" s="87"/>
      <c r="CD65" s="87"/>
      <c r="CE65" s="87"/>
      <c r="CF65" s="87"/>
      <c r="CG65" s="87"/>
      <c r="CH65" s="87"/>
      <c r="CI65" s="87"/>
      <c r="CJ65" s="87"/>
    </row>
    <row r="66" spans="2:88" ht="21" hidden="1" thickBot="1" x14ac:dyDescent="0.35"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Q66" s="77"/>
      <c r="AR66" s="78"/>
      <c r="AS66" s="78"/>
      <c r="AT66" s="75"/>
      <c r="AU66" s="75"/>
      <c r="AV66" s="75"/>
      <c r="AW66" s="75"/>
      <c r="BE66" s="86"/>
      <c r="BF66" s="91">
        <v>16</v>
      </c>
      <c r="BG66" s="88"/>
      <c r="BH66" s="88"/>
      <c r="BI66" s="88"/>
      <c r="BJ66" s="88"/>
      <c r="BK66" s="88"/>
      <c r="BL66" s="88"/>
      <c r="BM66" s="88"/>
      <c r="BN66" s="61"/>
      <c r="BO66" s="68" t="b">
        <f>IF(BV84=16,9)</f>
        <v>0</v>
      </c>
      <c r="BP66" s="89"/>
      <c r="BQ66" s="89"/>
      <c r="BR66" s="55"/>
      <c r="BS66" s="55"/>
      <c r="BT66" s="55"/>
      <c r="BV66" s="92"/>
      <c r="BX66" s="55"/>
      <c r="BY66" s="55"/>
      <c r="BZ66" s="55"/>
      <c r="CA66" s="55"/>
      <c r="CB66" s="87"/>
      <c r="CC66" s="63" t="b">
        <f>IF(BV84=16,20)</f>
        <v>0</v>
      </c>
      <c r="CD66" s="87"/>
      <c r="CE66" s="87"/>
      <c r="CF66" s="87"/>
      <c r="CG66" s="87"/>
      <c r="CH66" s="87"/>
      <c r="CI66" s="87"/>
      <c r="CJ66" s="87"/>
    </row>
    <row r="67" spans="2:88" ht="21" hidden="1" thickBot="1" x14ac:dyDescent="0.35"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Q67" s="77"/>
      <c r="AR67" s="78"/>
      <c r="AS67" s="78"/>
      <c r="AT67" s="75"/>
      <c r="AU67" s="75"/>
      <c r="AV67" s="75"/>
      <c r="AW67" s="75"/>
      <c r="BE67" s="86"/>
      <c r="BF67" s="91">
        <v>15</v>
      </c>
      <c r="BG67" s="88"/>
      <c r="BH67" s="88"/>
      <c r="BI67" s="88"/>
      <c r="BJ67" s="88"/>
      <c r="BK67" s="88"/>
      <c r="BL67" s="88"/>
      <c r="BM67" s="68" t="b">
        <f>IF(BU84=15,7)</f>
        <v>0</v>
      </c>
      <c r="BN67" s="61"/>
      <c r="BO67" s="60"/>
      <c r="BP67" s="89"/>
      <c r="BQ67" s="89"/>
      <c r="BR67" s="55"/>
      <c r="BT67" s="92"/>
      <c r="BU67" s="92"/>
      <c r="BV67" s="92"/>
      <c r="BX67" s="55"/>
      <c r="BY67" s="55"/>
      <c r="BZ67" s="55"/>
      <c r="CA67" s="55"/>
      <c r="CB67" s="87"/>
      <c r="CC67" s="63" t="b">
        <f>IF(BU84=15,20)</f>
        <v>0</v>
      </c>
      <c r="CD67" s="87"/>
      <c r="CE67" s="87"/>
      <c r="CF67" s="87"/>
      <c r="CG67" s="87"/>
      <c r="CH67" s="87"/>
      <c r="CI67" s="87"/>
      <c r="CJ67" s="87"/>
    </row>
    <row r="68" spans="2:88" ht="21" hidden="1" thickBot="1" x14ac:dyDescent="0.35"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Q68" s="77"/>
      <c r="AR68" s="78"/>
      <c r="AS68" s="78"/>
      <c r="AT68" s="75"/>
      <c r="AU68" s="75"/>
      <c r="AV68" s="75"/>
      <c r="AW68" s="75"/>
      <c r="BE68" s="86"/>
      <c r="BF68" s="91">
        <v>14</v>
      </c>
      <c r="BG68" s="88"/>
      <c r="BH68" s="88"/>
      <c r="BI68" s="88"/>
      <c r="BJ68" s="88"/>
      <c r="BK68" s="68" t="b">
        <f>IF(BT84=14,5)</f>
        <v>0</v>
      </c>
      <c r="BL68" s="88"/>
      <c r="BM68" s="88"/>
      <c r="BN68" s="61"/>
      <c r="BO68" s="60"/>
      <c r="BP68" s="89"/>
      <c r="BR68" s="92"/>
      <c r="BS68" s="93"/>
      <c r="BT68" s="93"/>
      <c r="BU68" s="93"/>
      <c r="BV68" s="93"/>
      <c r="BX68" s="55"/>
      <c r="BY68" s="55"/>
      <c r="BZ68" s="55"/>
      <c r="CA68" s="55"/>
      <c r="CB68" s="87"/>
      <c r="CC68" s="73" t="b">
        <f>IF(BT84=14,20)</f>
        <v>0</v>
      </c>
      <c r="CD68" s="87"/>
      <c r="CE68" s="87"/>
      <c r="CF68" s="87"/>
      <c r="CG68" s="87"/>
      <c r="CH68" s="87"/>
      <c r="CI68" s="87"/>
      <c r="CJ68" s="87"/>
    </row>
    <row r="69" spans="2:88" ht="21" hidden="1" thickBot="1" x14ac:dyDescent="0.35">
      <c r="D69" s="9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Q69" s="77"/>
      <c r="AR69" s="78"/>
      <c r="AS69" s="78"/>
      <c r="AT69" s="75"/>
      <c r="AU69" s="75"/>
      <c r="AV69" s="75"/>
      <c r="AW69" s="75"/>
      <c r="BE69" s="86"/>
      <c r="BF69" s="91">
        <v>13</v>
      </c>
      <c r="BG69" s="87"/>
      <c r="BH69" s="86"/>
      <c r="BI69" s="68" t="b">
        <f>IF(BS84=13,3)</f>
        <v>0</v>
      </c>
      <c r="BJ69" s="86"/>
      <c r="BK69" s="86"/>
      <c r="BL69" s="86"/>
      <c r="BM69" s="86"/>
      <c r="BN69" s="86"/>
      <c r="BP69" s="95"/>
      <c r="BQ69" s="96"/>
      <c r="BR69" s="72"/>
      <c r="BS69" s="96"/>
      <c r="BT69" s="72"/>
      <c r="BU69" s="72"/>
      <c r="BV69" s="71"/>
      <c r="BX69" s="47"/>
      <c r="BY69" s="47"/>
      <c r="BZ69" s="47"/>
      <c r="CA69" s="47"/>
      <c r="CB69" s="47"/>
      <c r="CC69" s="73" t="b">
        <f>IF(BS84=13,20)</f>
        <v>0</v>
      </c>
      <c r="CD69" s="47"/>
      <c r="CE69" s="47"/>
      <c r="CF69" s="47"/>
      <c r="CG69" s="47"/>
      <c r="CH69" s="47"/>
      <c r="CI69" s="47"/>
    </row>
    <row r="70" spans="2:88" ht="21" hidden="1" thickBot="1" x14ac:dyDescent="0.35">
      <c r="D70" s="9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Q70" s="77"/>
      <c r="AR70" s="78"/>
      <c r="AS70" s="78"/>
      <c r="AT70" s="75"/>
      <c r="AU70" s="75"/>
      <c r="AV70" s="75"/>
      <c r="AW70" s="75"/>
      <c r="BE70" s="86"/>
      <c r="BF70" s="91">
        <v>12</v>
      </c>
      <c r="BG70" s="68" t="b">
        <f>IF(BR84=12,1)</f>
        <v>0</v>
      </c>
      <c r="BH70" s="86"/>
      <c r="BI70" s="86"/>
      <c r="BJ70" s="86"/>
      <c r="BK70" s="86"/>
      <c r="BL70" s="86"/>
      <c r="BN70" s="95"/>
      <c r="BO70" s="95"/>
      <c r="BP70" s="69"/>
      <c r="BQ70" s="95"/>
      <c r="BR70" s="95"/>
      <c r="BS70" s="95"/>
      <c r="BT70" s="69"/>
      <c r="BU70" s="69"/>
      <c r="BV70" s="66"/>
      <c r="BX70" s="47"/>
      <c r="BY70" s="47"/>
      <c r="BZ70" s="47"/>
      <c r="CA70" s="47"/>
      <c r="CB70" s="47"/>
      <c r="CC70" s="63" t="b">
        <f>IF(BR84=12,20)</f>
        <v>0</v>
      </c>
      <c r="CD70" s="47"/>
      <c r="CE70" s="47"/>
      <c r="CF70" s="47"/>
      <c r="CG70" s="47"/>
      <c r="CH70" s="47"/>
      <c r="CI70" s="47"/>
    </row>
    <row r="71" spans="2:88" ht="21" hidden="1" thickBot="1" x14ac:dyDescent="0.35">
      <c r="D71" s="9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Q71" s="77"/>
      <c r="AR71" s="78"/>
      <c r="AS71" s="78"/>
      <c r="AT71" s="75"/>
      <c r="AU71" s="75"/>
      <c r="AV71" s="75"/>
      <c r="AW71" s="75"/>
      <c r="BE71" s="86"/>
      <c r="BF71" s="91">
        <v>11</v>
      </c>
      <c r="BG71" s="68" t="b">
        <f>IF(BQ84=11,1)</f>
        <v>0</v>
      </c>
      <c r="BH71" s="86"/>
      <c r="BI71" s="86"/>
      <c r="BJ71" s="86"/>
      <c r="BL71" s="95"/>
      <c r="BM71" s="95"/>
      <c r="BN71" s="69"/>
      <c r="BO71" s="95"/>
      <c r="BP71" s="69"/>
      <c r="BQ71" s="95"/>
      <c r="BR71" s="69"/>
      <c r="BS71" s="95"/>
      <c r="BT71" s="69"/>
      <c r="BU71" s="69"/>
      <c r="BV71" s="66"/>
      <c r="BX71" s="47"/>
      <c r="BY71" s="47"/>
      <c r="CA71" s="63" t="b">
        <f>IF(BQ84=11,18)</f>
        <v>0</v>
      </c>
      <c r="CB71" s="47"/>
      <c r="CC71" s="47"/>
      <c r="CD71" s="47"/>
      <c r="CE71" s="47"/>
      <c r="CF71" s="47"/>
      <c r="CG71" s="47"/>
      <c r="CH71" s="47"/>
      <c r="CI71" s="47"/>
    </row>
    <row r="72" spans="2:88" ht="21" hidden="1" thickBot="1" x14ac:dyDescent="0.35">
      <c r="D72" s="9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Q72" s="77"/>
      <c r="AR72" s="78"/>
      <c r="AS72" s="78"/>
      <c r="AT72" s="75"/>
      <c r="AU72" s="75"/>
      <c r="AV72" s="75"/>
      <c r="AW72" s="75"/>
      <c r="BE72" s="86"/>
      <c r="BF72" s="91">
        <v>10</v>
      </c>
      <c r="BG72" s="68">
        <f>IF(BP84=10,1)</f>
        <v>1</v>
      </c>
      <c r="BH72" s="86"/>
      <c r="BJ72" s="95"/>
      <c r="BK72" s="95"/>
      <c r="BL72" s="69"/>
      <c r="BM72" s="69"/>
      <c r="BN72" s="69"/>
      <c r="BO72" s="95"/>
      <c r="BP72" s="95"/>
      <c r="BQ72" s="95"/>
      <c r="BR72" s="69"/>
      <c r="BS72" s="95"/>
      <c r="BT72" s="69"/>
      <c r="BU72" s="69"/>
      <c r="BV72" s="66"/>
      <c r="BX72" s="47"/>
      <c r="BY72" s="63">
        <f>IF(BP84=10,16)</f>
        <v>16</v>
      </c>
      <c r="BZ72" s="47"/>
      <c r="CA72" s="47"/>
      <c r="CB72" s="47"/>
      <c r="CC72" s="47"/>
      <c r="CD72" s="47"/>
      <c r="CE72" s="47"/>
      <c r="CF72" s="47"/>
      <c r="CG72" s="47"/>
      <c r="CH72" s="47"/>
      <c r="CI72" s="47"/>
    </row>
    <row r="73" spans="2:88" ht="21" hidden="1" thickBot="1" x14ac:dyDescent="0.35">
      <c r="B73" s="97"/>
      <c r="C73" s="97"/>
      <c r="D73" s="9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Q73" s="77"/>
      <c r="AR73" s="78"/>
      <c r="AS73" s="78"/>
      <c r="AT73" s="75"/>
      <c r="AU73" s="75"/>
      <c r="AV73" s="75"/>
      <c r="AW73" s="75"/>
      <c r="BE73" s="86"/>
      <c r="BF73" s="91">
        <v>9</v>
      </c>
      <c r="BG73" s="68" t="b">
        <f>IF(BO84=9,1)</f>
        <v>0</v>
      </c>
      <c r="BH73" s="95"/>
      <c r="BI73" s="95"/>
      <c r="BJ73" s="69"/>
      <c r="BK73" s="95"/>
      <c r="BL73" s="95"/>
      <c r="BM73" s="95"/>
      <c r="BN73" s="95"/>
      <c r="BO73" s="95"/>
      <c r="BP73" s="95"/>
      <c r="BQ73" s="95"/>
      <c r="BR73" s="95"/>
      <c r="BS73" s="95"/>
      <c r="BT73" s="69"/>
      <c r="BU73" s="69"/>
      <c r="BV73" s="66"/>
      <c r="BW73" s="63" t="b">
        <f>IF(BO84=9,14)</f>
        <v>0</v>
      </c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</row>
    <row r="74" spans="2:88" ht="21" hidden="1" thickBot="1" x14ac:dyDescent="0.35">
      <c r="B74" s="97"/>
      <c r="C74" s="97"/>
      <c r="D74" s="9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Q74" s="77"/>
      <c r="AR74" s="78"/>
      <c r="AS74" s="78"/>
      <c r="AT74" s="75"/>
      <c r="AU74" s="75"/>
      <c r="AV74" s="75"/>
      <c r="AW74" s="75"/>
      <c r="BE74" s="86"/>
      <c r="BF74" s="91">
        <v>8</v>
      </c>
      <c r="BG74" s="70" t="b">
        <f>IF(BN84=8,1)</f>
        <v>0</v>
      </c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72"/>
      <c r="BU74" s="73" t="b">
        <f>IF(BN84=8,12)</f>
        <v>0</v>
      </c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</row>
    <row r="75" spans="2:88" ht="21" hidden="1" thickBot="1" x14ac:dyDescent="0.35"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Q75" s="77"/>
      <c r="AR75" s="78"/>
      <c r="AS75" s="78"/>
      <c r="AT75" s="75"/>
      <c r="AU75" s="75"/>
      <c r="AV75" s="75"/>
      <c r="AW75" s="75"/>
      <c r="BE75" s="86"/>
      <c r="BF75" s="91">
        <v>7</v>
      </c>
      <c r="BH75" s="96"/>
      <c r="BI75" s="96"/>
      <c r="BJ75" s="70" t="b">
        <f>IF(BM84=7,4)</f>
        <v>0</v>
      </c>
      <c r="BK75" s="96"/>
      <c r="BL75" s="96"/>
      <c r="BM75" s="96"/>
      <c r="BN75" s="96"/>
      <c r="BO75" s="96"/>
      <c r="BP75" s="73" t="b">
        <f>IF(BM84=7,10)</f>
        <v>0</v>
      </c>
      <c r="BQ75" s="96"/>
      <c r="BR75" s="96"/>
      <c r="BT75" s="8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</row>
    <row r="76" spans="2:88" ht="21" hidden="1" thickBot="1" x14ac:dyDescent="0.35"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Q76" s="77"/>
      <c r="AR76" s="78"/>
      <c r="AS76" s="78"/>
      <c r="AT76" s="75"/>
      <c r="AU76" s="75"/>
      <c r="AV76" s="75"/>
      <c r="AW76" s="75"/>
      <c r="BE76" s="86"/>
      <c r="BF76" s="91">
        <v>6</v>
      </c>
      <c r="BH76" s="70" t="b">
        <f>IF(BL84=6,2)</f>
        <v>0</v>
      </c>
      <c r="BI76" s="96"/>
      <c r="BJ76" s="96"/>
      <c r="BK76" s="96"/>
      <c r="BL76" s="96"/>
      <c r="BM76" s="96"/>
      <c r="BN76" s="96"/>
      <c r="BO76" s="96"/>
      <c r="BP76" s="73" t="b">
        <f>IF(BL84=6,10)</f>
        <v>0</v>
      </c>
      <c r="BR76" s="86"/>
      <c r="BS76" s="86"/>
      <c r="BT76" s="8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</row>
    <row r="77" spans="2:88" ht="21" hidden="1" thickBot="1" x14ac:dyDescent="0.35"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Q77" s="77"/>
      <c r="AR77" s="78"/>
      <c r="AS77" s="78"/>
      <c r="AT77" s="75"/>
      <c r="AU77" s="75"/>
      <c r="AV77" s="75"/>
      <c r="AW77" s="75"/>
      <c r="BE77" s="86"/>
      <c r="BF77" s="91">
        <v>5</v>
      </c>
      <c r="BG77" s="68" t="b">
        <f>IF(BK84=5,1)</f>
        <v>0</v>
      </c>
      <c r="BH77" s="95"/>
      <c r="BI77" s="95"/>
      <c r="BJ77" s="69"/>
      <c r="BK77" s="95"/>
      <c r="BL77" s="69"/>
      <c r="BM77" s="95"/>
      <c r="BN77" s="95"/>
      <c r="BO77" s="63" t="b">
        <f>IF(BK84=5,9)</f>
        <v>0</v>
      </c>
      <c r="BP77" s="86"/>
      <c r="BQ77" s="86"/>
      <c r="BR77" s="86"/>
      <c r="BS77" s="86"/>
      <c r="BT77" s="8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</row>
    <row r="78" spans="2:88" ht="21" hidden="1" thickBot="1" x14ac:dyDescent="0.35">
      <c r="B78" s="97"/>
      <c r="C78" s="97"/>
      <c r="D78" s="9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Q78" s="77"/>
      <c r="AR78" s="78"/>
      <c r="AS78" s="78"/>
      <c r="AT78" s="75"/>
      <c r="AU78" s="75"/>
      <c r="AV78" s="75"/>
      <c r="AW78" s="75"/>
      <c r="BE78" s="86"/>
      <c r="BF78" s="91">
        <v>4</v>
      </c>
      <c r="BG78" s="68" t="b">
        <f>IF(BJ84=4,1)</f>
        <v>0</v>
      </c>
      <c r="BH78" s="69"/>
      <c r="BI78" s="69"/>
      <c r="BJ78" s="95"/>
      <c r="BK78" s="69"/>
      <c r="BL78" s="69"/>
      <c r="BM78" s="63" t="b">
        <f>IF(BJ84=4,7)</f>
        <v>0</v>
      </c>
      <c r="BN78" s="86"/>
      <c r="BO78" s="86"/>
      <c r="BP78" s="86"/>
      <c r="BQ78" s="86"/>
      <c r="BR78" s="86"/>
      <c r="BS78" s="86"/>
      <c r="BT78" s="8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</row>
    <row r="79" spans="2:88" ht="21" hidden="1" thickBot="1" x14ac:dyDescent="0.35">
      <c r="B79" s="97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Q79" s="77"/>
      <c r="AR79" s="78"/>
      <c r="AS79" s="78"/>
      <c r="AT79" s="75"/>
      <c r="AU79" s="75"/>
      <c r="AV79" s="75"/>
      <c r="AW79" s="75"/>
      <c r="BE79" s="86"/>
      <c r="BF79" s="91">
        <v>3</v>
      </c>
      <c r="BG79" s="70" t="b">
        <f>IF(BI84=3,1)</f>
        <v>0</v>
      </c>
      <c r="BH79" s="96"/>
      <c r="BI79" s="96"/>
      <c r="BJ79" s="96"/>
      <c r="BK79" s="73" t="b">
        <f>IF(BI84=3,5)</f>
        <v>0</v>
      </c>
      <c r="BL79" s="86"/>
      <c r="BM79" s="86"/>
      <c r="BN79" s="86"/>
      <c r="BO79" s="86"/>
      <c r="BP79" s="86"/>
      <c r="BQ79" s="86"/>
      <c r="BR79" s="86"/>
      <c r="BS79" s="86"/>
      <c r="BT79" s="8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</row>
    <row r="80" spans="2:88" ht="21" hidden="1" thickBot="1" x14ac:dyDescent="0.35"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Q80" s="77"/>
      <c r="AR80" s="78"/>
      <c r="AS80" s="78"/>
      <c r="AT80" s="75"/>
      <c r="AU80" s="75"/>
      <c r="AV80" s="75"/>
      <c r="AW80" s="75"/>
      <c r="BE80" s="86"/>
      <c r="BF80" s="91">
        <v>2</v>
      </c>
      <c r="BG80" s="70" t="b">
        <f>IF(BH84=2,1)</f>
        <v>0</v>
      </c>
      <c r="BH80" s="96"/>
      <c r="BI80" s="73" t="b">
        <f>IF(BH84=2,3)</f>
        <v>0</v>
      </c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</row>
    <row r="81" spans="4:87" ht="21" thickBot="1" x14ac:dyDescent="0.35"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Q81" s="77"/>
      <c r="AR81" s="78"/>
      <c r="AS81" s="78"/>
      <c r="AT81" s="75"/>
      <c r="AU81" s="75"/>
      <c r="AV81" s="75"/>
      <c r="AW81" s="75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64"/>
      <c r="BS81" s="64"/>
      <c r="BT81" s="64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</row>
    <row r="82" spans="4:87" ht="39.75" customHeight="1" thickBot="1" x14ac:dyDescent="0.4">
      <c r="G82" s="11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Q82" s="77"/>
      <c r="AS82" s="78"/>
      <c r="AT82" s="75"/>
      <c r="AU82" s="75"/>
      <c r="AV82" s="75"/>
      <c r="AW82" s="75"/>
      <c r="AX82" s="75"/>
      <c r="AZ82" s="75"/>
      <c r="BA82" s="75"/>
      <c r="BB82" s="75"/>
      <c r="BE82" s="492" t="s">
        <v>97</v>
      </c>
      <c r="BF82" s="47"/>
      <c r="BG82" s="82">
        <f t="shared" ref="BG82:CB82" si="0">SUM(BG60:BG81)</f>
        <v>1</v>
      </c>
      <c r="BH82" s="83">
        <f t="shared" si="0"/>
        <v>0</v>
      </c>
      <c r="BI82" s="83">
        <f t="shared" si="0"/>
        <v>0</v>
      </c>
      <c r="BJ82" s="83">
        <f t="shared" si="0"/>
        <v>0</v>
      </c>
      <c r="BK82" s="83">
        <f t="shared" si="0"/>
        <v>0</v>
      </c>
      <c r="BL82" s="83">
        <f t="shared" si="0"/>
        <v>0</v>
      </c>
      <c r="BM82" s="83">
        <f t="shared" si="0"/>
        <v>0</v>
      </c>
      <c r="BN82" s="83">
        <f t="shared" si="0"/>
        <v>0</v>
      </c>
      <c r="BO82" s="83">
        <f t="shared" si="0"/>
        <v>0</v>
      </c>
      <c r="BP82" s="83">
        <f t="shared" si="0"/>
        <v>0</v>
      </c>
      <c r="BQ82" s="83">
        <f t="shared" si="0"/>
        <v>0</v>
      </c>
      <c r="BR82" s="83">
        <f t="shared" si="0"/>
        <v>0</v>
      </c>
      <c r="BS82" s="83">
        <f t="shared" si="0"/>
        <v>0</v>
      </c>
      <c r="BT82" s="83">
        <f t="shared" si="0"/>
        <v>0</v>
      </c>
      <c r="BU82" s="83">
        <f t="shared" si="0"/>
        <v>0</v>
      </c>
      <c r="BV82" s="83">
        <f t="shared" si="0"/>
        <v>0</v>
      </c>
      <c r="BW82" s="83">
        <f t="shared" si="0"/>
        <v>0</v>
      </c>
      <c r="BX82" s="83">
        <f t="shared" si="0"/>
        <v>0</v>
      </c>
      <c r="BY82" s="83">
        <f t="shared" si="0"/>
        <v>16</v>
      </c>
      <c r="BZ82" s="83">
        <f t="shared" si="0"/>
        <v>0</v>
      </c>
      <c r="CA82" s="83">
        <f t="shared" si="0"/>
        <v>0</v>
      </c>
      <c r="CB82" s="83">
        <f t="shared" si="0"/>
        <v>0</v>
      </c>
      <c r="CC82" s="84">
        <f>SUM(CC60:CC81)</f>
        <v>0</v>
      </c>
      <c r="CD82" s="47"/>
      <c r="CE82" s="47"/>
      <c r="CF82" s="47"/>
      <c r="CG82" s="47"/>
      <c r="CH82" s="47"/>
      <c r="CI82" s="47"/>
    </row>
    <row r="83" spans="4:87" ht="33.75" hidden="1" customHeight="1" x14ac:dyDescent="0.3"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Q83" s="77"/>
      <c r="AR83" s="98"/>
      <c r="AS83" s="78"/>
      <c r="AT83" s="75"/>
      <c r="AU83" s="75"/>
      <c r="AV83" s="75"/>
      <c r="AW83" s="75"/>
      <c r="AX83" s="75"/>
      <c r="AY83" s="75"/>
      <c r="AZ83" s="75"/>
      <c r="BA83" s="75"/>
      <c r="BE83" s="99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</row>
    <row r="84" spans="4:87" ht="20.25" hidden="1" x14ac:dyDescent="0.3"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Q84" s="77"/>
      <c r="AR84" s="98"/>
      <c r="AS84" s="78"/>
      <c r="AT84" s="75"/>
      <c r="AU84" s="75"/>
      <c r="AV84" s="75"/>
      <c r="AW84" s="75"/>
      <c r="AX84" s="75"/>
      <c r="AY84" s="75"/>
      <c r="AZ84" s="75"/>
      <c r="BA84" s="75"/>
      <c r="BB84" s="75"/>
      <c r="BE84" s="45"/>
      <c r="BF84" s="47"/>
      <c r="BG84" s="100" t="b">
        <f>+AZ132</f>
        <v>0</v>
      </c>
      <c r="BH84" s="100" t="b">
        <f>+AZ133</f>
        <v>0</v>
      </c>
      <c r="BI84" s="100" t="b">
        <f>+AZ134</f>
        <v>0</v>
      </c>
      <c r="BJ84" s="100" t="b">
        <f>+AZ135</f>
        <v>0</v>
      </c>
      <c r="BK84" s="100" t="b">
        <f>+AZ136</f>
        <v>0</v>
      </c>
      <c r="BL84" s="100" t="b">
        <f>+AZ137</f>
        <v>0</v>
      </c>
      <c r="BM84" s="100" t="b">
        <f>+AZ138</f>
        <v>0</v>
      </c>
      <c r="BN84" s="100" t="b">
        <f>+AZ139</f>
        <v>0</v>
      </c>
      <c r="BO84" s="100" t="b">
        <f>+AZ140</f>
        <v>0</v>
      </c>
      <c r="BP84" s="100">
        <f>+AZ141</f>
        <v>10</v>
      </c>
      <c r="BQ84" s="388" t="b">
        <f>+AZ142</f>
        <v>0</v>
      </c>
      <c r="BR84" s="388" t="b">
        <f>+AZ143</f>
        <v>0</v>
      </c>
      <c r="BS84" s="388" t="b">
        <f>+AZ144</f>
        <v>0</v>
      </c>
      <c r="BT84" s="100" t="b">
        <f>+AZ145</f>
        <v>0</v>
      </c>
      <c r="BU84" s="100" t="b">
        <f>+AZ146</f>
        <v>0</v>
      </c>
      <c r="BV84" s="100" t="b">
        <f>+AZ147</f>
        <v>0</v>
      </c>
      <c r="BW84" s="100" t="b">
        <f>+AZ148</f>
        <v>0</v>
      </c>
      <c r="BX84" s="100" t="b">
        <f>+AZ149</f>
        <v>0</v>
      </c>
      <c r="BY84" s="100" t="b">
        <f>+AZ150</f>
        <v>0</v>
      </c>
      <c r="BZ84" s="100" t="b">
        <f>+AZ151</f>
        <v>0</v>
      </c>
      <c r="CA84" s="100" t="b">
        <f>+AZ152</f>
        <v>0</v>
      </c>
      <c r="CB84" s="100" t="b">
        <f>+AZ153</f>
        <v>0</v>
      </c>
      <c r="CC84" s="100" t="b">
        <f>+AZ154</f>
        <v>0</v>
      </c>
      <c r="CD84" s="47"/>
      <c r="CE84" s="47"/>
      <c r="CF84" s="47"/>
      <c r="CG84" s="47"/>
      <c r="CH84" s="47"/>
      <c r="CI84" s="47"/>
    </row>
    <row r="85" spans="4:87" ht="20.25" hidden="1" x14ac:dyDescent="0.3"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Q85" s="77"/>
      <c r="AR85" s="98"/>
      <c r="AS85" s="78"/>
      <c r="AT85" s="75"/>
      <c r="AU85" s="75"/>
      <c r="AV85" s="75"/>
      <c r="AW85" s="75"/>
      <c r="AX85" s="75"/>
      <c r="AY85" s="75"/>
      <c r="AZ85" s="75"/>
      <c r="BA85" s="75"/>
      <c r="BB85" s="75"/>
      <c r="BE85" s="46"/>
      <c r="BF85" s="101"/>
      <c r="BG85" s="101" t="b">
        <f>+BG84</f>
        <v>0</v>
      </c>
      <c r="BH85" s="101" t="b">
        <f>+BH84</f>
        <v>0</v>
      </c>
      <c r="BI85" s="101" t="b">
        <f>+BI84</f>
        <v>0</v>
      </c>
      <c r="BJ85" s="101" t="b">
        <f>+BJ84</f>
        <v>0</v>
      </c>
      <c r="BK85" s="101" t="b">
        <f>+BK84</f>
        <v>0</v>
      </c>
      <c r="BL85" s="101" t="b">
        <f t="shared" ref="BL85:BN85" si="1">+BL84</f>
        <v>0</v>
      </c>
      <c r="BM85" s="101" t="b">
        <f t="shared" si="1"/>
        <v>0</v>
      </c>
      <c r="BN85" s="101" t="b">
        <f t="shared" si="1"/>
        <v>0</v>
      </c>
      <c r="BO85" s="101" t="b">
        <f>+BO84</f>
        <v>0</v>
      </c>
      <c r="BP85" s="101">
        <f>+BP84</f>
        <v>10</v>
      </c>
      <c r="BQ85" s="389" t="b">
        <f t="shared" ref="BQ85:CC85" si="2">+BQ84</f>
        <v>0</v>
      </c>
      <c r="BR85" s="389" t="b">
        <f t="shared" si="2"/>
        <v>0</v>
      </c>
      <c r="BS85" s="389" t="b">
        <f t="shared" si="2"/>
        <v>0</v>
      </c>
      <c r="BT85" s="101" t="b">
        <f t="shared" si="2"/>
        <v>0</v>
      </c>
      <c r="BU85" s="101" t="b">
        <f t="shared" si="2"/>
        <v>0</v>
      </c>
      <c r="BV85" s="101" t="b">
        <f t="shared" si="2"/>
        <v>0</v>
      </c>
      <c r="BW85" s="101" t="b">
        <f t="shared" si="2"/>
        <v>0</v>
      </c>
      <c r="BX85" s="101" t="b">
        <f t="shared" si="2"/>
        <v>0</v>
      </c>
      <c r="BY85" s="101" t="b">
        <f t="shared" si="2"/>
        <v>0</v>
      </c>
      <c r="BZ85" s="101" t="b">
        <f t="shared" si="2"/>
        <v>0</v>
      </c>
      <c r="CA85" s="101" t="b">
        <f t="shared" si="2"/>
        <v>0</v>
      </c>
      <c r="CB85" s="101" t="b">
        <f t="shared" si="2"/>
        <v>0</v>
      </c>
      <c r="CC85" s="101" t="b">
        <f t="shared" si="2"/>
        <v>0</v>
      </c>
      <c r="CD85" s="47"/>
      <c r="CE85" s="47"/>
      <c r="CF85" s="47"/>
      <c r="CG85" s="47"/>
      <c r="CH85" s="47"/>
      <c r="CI85" s="47"/>
    </row>
    <row r="86" spans="4:87" ht="12.75" customHeight="1" thickBot="1" x14ac:dyDescent="0.35"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Q86" s="77"/>
      <c r="AR86" s="98"/>
      <c r="AS86" s="78"/>
      <c r="AT86" s="75"/>
      <c r="AU86" s="75"/>
      <c r="AV86" s="75"/>
      <c r="AW86" s="75"/>
      <c r="AX86" s="75"/>
      <c r="AY86" s="75"/>
      <c r="AZ86" s="75"/>
      <c r="BA86" s="75"/>
      <c r="BB86" s="75"/>
      <c r="BE86" s="46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47"/>
      <c r="CI86" s="47"/>
    </row>
    <row r="87" spans="4:87" ht="39.75" customHeight="1" thickBot="1" x14ac:dyDescent="0.4"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Q87" s="77"/>
      <c r="AS87" s="78"/>
      <c r="AT87" s="75"/>
      <c r="AU87" s="75"/>
      <c r="AV87" s="75"/>
      <c r="AW87" s="75"/>
      <c r="AX87" s="75"/>
      <c r="AY87" s="75"/>
      <c r="AZ87" s="75"/>
      <c r="BA87" s="75"/>
      <c r="BB87" s="75"/>
      <c r="BE87" s="102" t="s">
        <v>80</v>
      </c>
      <c r="BF87" s="14" t="str">
        <f>IF(BF85=11,"7","")</f>
        <v/>
      </c>
      <c r="BG87" s="489" t="str">
        <f>IF(BG85=1,"1","")</f>
        <v/>
      </c>
      <c r="BH87" s="490" t="str">
        <f>IF(BH85=2,"2","")</f>
        <v/>
      </c>
      <c r="BI87" s="490" t="str">
        <f>IF(BI85=3,"3","")</f>
        <v/>
      </c>
      <c r="BJ87" s="490" t="str">
        <f>IF(BJ85=4,"4","")</f>
        <v/>
      </c>
      <c r="BK87" s="490" t="str">
        <f>IF(BK85=5,"5","")</f>
        <v/>
      </c>
      <c r="BL87" s="490" t="str">
        <f>IF(BL85=6,"6","")</f>
        <v/>
      </c>
      <c r="BM87" s="490" t="str">
        <f>IF(BM85=7,"7","")</f>
        <v/>
      </c>
      <c r="BN87" s="490" t="str">
        <f>IF(BN85=8,"8","")</f>
        <v/>
      </c>
      <c r="BO87" s="490" t="str">
        <f>IF(BO85=9,"9","")</f>
        <v/>
      </c>
      <c r="BP87" s="490" t="str">
        <f>IF(BP85=10,"10","")</f>
        <v>10</v>
      </c>
      <c r="BQ87" s="490" t="str">
        <f>IF(BQ85=11,"X","")</f>
        <v/>
      </c>
      <c r="BR87" s="490" t="str">
        <f>IF(BR85=12,"X","")</f>
        <v/>
      </c>
      <c r="BS87" s="490" t="str">
        <f>IF(BS85=13,"X","")</f>
        <v/>
      </c>
      <c r="BT87" s="490" t="str">
        <f>IF(BT85=14,"11","")</f>
        <v/>
      </c>
      <c r="BU87" s="490" t="str">
        <f>IF(BU85=15,"12","")</f>
        <v/>
      </c>
      <c r="BV87" s="490" t="str">
        <f>IF(BV85=16,"13","")</f>
        <v/>
      </c>
      <c r="BW87" s="490" t="str">
        <f>IF(BW85=17,"14","")</f>
        <v/>
      </c>
      <c r="BX87" s="490" t="str">
        <f>IF(BX85=18,"15","")</f>
        <v/>
      </c>
      <c r="BY87" s="490" t="str">
        <f>IF(BY85=19,"16","")</f>
        <v/>
      </c>
      <c r="BZ87" s="490" t="str">
        <f>IF(BZ85=20,"17","")</f>
        <v/>
      </c>
      <c r="CA87" s="490" t="str">
        <f>IF(CA85=21,"18","")</f>
        <v/>
      </c>
      <c r="CB87" s="490" t="str">
        <f>IF(CB85=22,"19","")</f>
        <v/>
      </c>
      <c r="CC87" s="491" t="str">
        <f>IF(CC85=23,"20","")</f>
        <v/>
      </c>
      <c r="CH87" s="47"/>
      <c r="CI87" s="47"/>
    </row>
    <row r="88" spans="4:87" ht="20.25" x14ac:dyDescent="0.3"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Q88" s="77"/>
      <c r="AS88" s="78"/>
      <c r="AT88" s="75"/>
      <c r="AU88" s="75"/>
      <c r="AV88" s="75"/>
      <c r="AW88" s="75"/>
      <c r="AX88" s="75"/>
      <c r="AY88" s="75"/>
      <c r="AZ88" s="75"/>
      <c r="BA88" s="75"/>
      <c r="CH88" s="47"/>
      <c r="CI88" s="47"/>
    </row>
    <row r="89" spans="4:87" ht="20.25" x14ac:dyDescent="0.3"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Q89" s="77"/>
      <c r="AR89" s="78"/>
      <c r="AS89" s="78"/>
      <c r="AT89" s="75"/>
      <c r="AU89" s="75"/>
      <c r="AV89" s="75"/>
      <c r="AW89" s="75"/>
      <c r="AX89" s="75"/>
      <c r="AY89" s="75"/>
      <c r="AZ89" s="75"/>
      <c r="BA89" s="75"/>
      <c r="BB89" s="75"/>
      <c r="CH89" s="47"/>
      <c r="CI89" s="47"/>
    </row>
    <row r="90" spans="4:87" ht="20.25" x14ac:dyDescent="0.3"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Q90" s="77"/>
      <c r="AR90" s="78"/>
      <c r="AS90" s="78"/>
      <c r="AT90" s="75"/>
      <c r="AU90" s="75"/>
      <c r="AV90" s="75"/>
      <c r="AW90" s="75"/>
      <c r="CH90" s="47"/>
      <c r="CI90" s="47"/>
    </row>
    <row r="91" spans="4:87" ht="20.25" hidden="1" x14ac:dyDescent="0.3"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Q91" s="77"/>
      <c r="AR91" s="78"/>
      <c r="AS91" s="78"/>
      <c r="AT91" s="75"/>
      <c r="AU91" s="75"/>
      <c r="AV91" s="75"/>
      <c r="AW91" s="75"/>
      <c r="CH91" s="47"/>
      <c r="CI91" s="47"/>
    </row>
    <row r="92" spans="4:87" ht="157.5" hidden="1" customHeight="1" x14ac:dyDescent="0.3"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Q92" s="77"/>
      <c r="AR92" s="78"/>
      <c r="AS92" s="78"/>
      <c r="AT92" s="75"/>
      <c r="AU92" s="75"/>
      <c r="AV92" s="75"/>
      <c r="AW92" s="75"/>
      <c r="BE92" s="79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47"/>
      <c r="CH92" s="47"/>
      <c r="CI92" s="47"/>
    </row>
    <row r="93" spans="4:87" ht="20.25" hidden="1" x14ac:dyDescent="0.3"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Q93" s="77"/>
      <c r="AR93" s="78"/>
      <c r="AS93" s="78"/>
      <c r="AT93" s="75"/>
      <c r="AU93" s="75"/>
      <c r="AV93" s="75"/>
      <c r="AW93" s="75"/>
      <c r="CH93" s="47"/>
      <c r="CI93" s="47"/>
    </row>
    <row r="94" spans="4:87" ht="33.75" hidden="1" customHeight="1" x14ac:dyDescent="0.3"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Q94" s="77"/>
      <c r="AR94" s="78"/>
      <c r="AS94" s="78"/>
      <c r="AT94" s="75"/>
      <c r="AU94" s="75"/>
      <c r="AV94" s="75"/>
      <c r="AW94" s="75"/>
      <c r="CH94" s="47"/>
      <c r="CI94" s="47"/>
    </row>
    <row r="95" spans="4:87" ht="25.5" hidden="1" x14ac:dyDescent="0.35"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4"/>
      <c r="AT95" s="75"/>
      <c r="AU95" s="75"/>
      <c r="AV95" s="75"/>
      <c r="AW95" s="75"/>
      <c r="AX95" s="75"/>
      <c r="AY95" s="75"/>
      <c r="AZ95" s="75"/>
      <c r="BA95" s="75"/>
      <c r="BB95" s="75"/>
    </row>
    <row r="96" spans="4:87" ht="30" hidden="1" x14ac:dyDescent="0.3">
      <c r="D96" s="105"/>
      <c r="E96" s="105"/>
      <c r="F96" s="105"/>
      <c r="G96" s="105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T96" s="75"/>
      <c r="AU96" s="75"/>
      <c r="AV96" s="75"/>
      <c r="AW96" s="75"/>
      <c r="AX96" s="75"/>
      <c r="AY96" s="75"/>
      <c r="AZ96" s="75"/>
      <c r="BA96" s="75"/>
      <c r="BB96" s="75"/>
      <c r="CH96" s="47"/>
      <c r="CI96" s="47"/>
    </row>
    <row r="97" spans="2:87" x14ac:dyDescent="0.25">
      <c r="D97" s="105"/>
      <c r="E97" s="105"/>
      <c r="F97" s="105"/>
      <c r="G97" s="105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7"/>
      <c r="AQ97" s="77"/>
      <c r="AR97" s="78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M97" s="109"/>
      <c r="BN97" s="109"/>
      <c r="BO97" s="107"/>
    </row>
    <row r="98" spans="2:87" ht="18.75" thickBot="1" x14ac:dyDescent="0.3">
      <c r="D98" s="105"/>
      <c r="E98" s="105"/>
      <c r="F98" s="105"/>
      <c r="G98" s="105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7"/>
      <c r="AQ98" s="77"/>
      <c r="AR98" s="78"/>
      <c r="AS98" s="78"/>
      <c r="AT98" s="75"/>
      <c r="AU98" s="75"/>
      <c r="AV98" s="75"/>
      <c r="AW98" s="75"/>
      <c r="AX98" s="75"/>
      <c r="AY98" s="75"/>
      <c r="BA98" s="110" t="s">
        <v>49</v>
      </c>
      <c r="BB98" s="75"/>
      <c r="BC98" s="111"/>
      <c r="BD98" s="75"/>
      <c r="BM98" s="109"/>
      <c r="BN98" s="109"/>
      <c r="BO98" s="107"/>
      <c r="BW98" s="112"/>
      <c r="CI98" s="110" t="s">
        <v>48</v>
      </c>
    </row>
    <row r="99" spans="2:87" ht="50.25" customHeight="1" x14ac:dyDescent="0.35">
      <c r="B99" s="512" t="s">
        <v>95</v>
      </c>
      <c r="C99" s="114"/>
      <c r="D99" s="510" t="str">
        <f>IF(BA99&gt;0," ","change the angle of frame")</f>
        <v xml:space="preserve"> </v>
      </c>
      <c r="E99" s="115"/>
      <c r="F99" s="115"/>
      <c r="G99" s="115"/>
      <c r="H99" s="116"/>
      <c r="I99" s="116"/>
      <c r="J99" s="116"/>
      <c r="K99" s="116"/>
      <c r="L99" s="116"/>
      <c r="M99" s="116"/>
      <c r="N99" s="116"/>
      <c r="O99" s="116"/>
      <c r="P99" s="116"/>
      <c r="T99" s="341" t="s">
        <v>94</v>
      </c>
      <c r="U99" s="336"/>
      <c r="V99" s="336"/>
      <c r="W99" s="336"/>
      <c r="X99" s="342" t="s">
        <v>89</v>
      </c>
      <c r="Y99" s="116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6"/>
      <c r="AQ99" s="117"/>
      <c r="AR99" s="117"/>
      <c r="AS99" s="118"/>
      <c r="AT99" s="75"/>
      <c r="AU99" s="75"/>
      <c r="AV99" s="75"/>
      <c r="AW99" s="75"/>
      <c r="AX99" s="75"/>
      <c r="AY99" s="75"/>
      <c r="AZ99" s="119"/>
      <c r="BA99" s="110">
        <f>-+AW132</f>
        <v>222.36739565985854</v>
      </c>
      <c r="BB99" s="75"/>
      <c r="BC99" s="111"/>
      <c r="BD99" s="75"/>
      <c r="BM99" s="109"/>
      <c r="BN99" s="109"/>
      <c r="BO99" s="107"/>
      <c r="BU99" s="119"/>
      <c r="BW99" s="112"/>
      <c r="CI99" s="110">
        <f>+-AW154</f>
        <v>-327.63260434014148</v>
      </c>
    </row>
    <row r="100" spans="2:87" ht="50.25" customHeight="1" thickBot="1" x14ac:dyDescent="0.35">
      <c r="B100" s="513"/>
      <c r="C100" s="31"/>
      <c r="D100" s="511"/>
      <c r="E100" s="115"/>
      <c r="F100" s="115"/>
      <c r="G100" s="115"/>
      <c r="H100" s="116"/>
      <c r="I100" s="116"/>
      <c r="J100" s="116"/>
      <c r="K100" s="116"/>
      <c r="L100" s="116"/>
      <c r="M100" s="116"/>
      <c r="N100" s="116"/>
      <c r="O100" s="116"/>
      <c r="P100" s="116"/>
      <c r="T100" s="368" t="s">
        <v>86</v>
      </c>
      <c r="U100" s="338" t="s">
        <v>87</v>
      </c>
      <c r="V100" s="338" t="s">
        <v>88</v>
      </c>
      <c r="W100" s="366" t="s">
        <v>91</v>
      </c>
      <c r="X100" s="339" t="s">
        <v>90</v>
      </c>
      <c r="Y100" s="116"/>
      <c r="Z100" s="116"/>
      <c r="AA100" s="116"/>
      <c r="AB100" s="116"/>
      <c r="AC100" s="116"/>
      <c r="AD100" s="116"/>
      <c r="AE100" s="116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6"/>
      <c r="AQ100" s="117"/>
      <c r="AR100" s="117"/>
      <c r="AS100" s="118"/>
      <c r="BB100" s="75"/>
      <c r="BC100" s="75"/>
      <c r="BD100" s="75"/>
      <c r="BM100" s="109"/>
      <c r="BN100" s="109"/>
      <c r="BO100" s="107"/>
    </row>
    <row r="101" spans="2:87" ht="50.25" customHeight="1" thickBot="1" x14ac:dyDescent="0.35">
      <c r="B101" s="514"/>
      <c r="C101" s="31"/>
      <c r="D101" s="510" t="str">
        <f>IF(CI99&lt;0," ","change the angle of frame")</f>
        <v xml:space="preserve"> </v>
      </c>
      <c r="E101" s="115"/>
      <c r="F101" s="115"/>
      <c r="G101" s="115"/>
      <c r="H101" s="116"/>
      <c r="I101" s="116"/>
      <c r="J101" s="116"/>
      <c r="K101" s="116"/>
      <c r="L101" s="116"/>
      <c r="M101" s="116"/>
      <c r="N101" s="116"/>
      <c r="O101" s="116"/>
      <c r="P101" s="116"/>
      <c r="T101" s="368"/>
      <c r="U101" s="338"/>
      <c r="V101" s="338"/>
      <c r="W101" s="366"/>
      <c r="X101" s="349"/>
      <c r="Y101" s="116"/>
      <c r="Z101" s="116"/>
      <c r="AA101" s="116"/>
      <c r="AB101" s="116"/>
      <c r="AC101" s="116"/>
      <c r="AD101" s="116"/>
      <c r="AE101" s="116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6"/>
      <c r="AQ101" s="117"/>
      <c r="AR101" s="117"/>
      <c r="AS101" s="118"/>
      <c r="BB101" s="75"/>
      <c r="BC101" s="75"/>
      <c r="BD101" s="75"/>
      <c r="BM101" s="109"/>
      <c r="BN101" s="109"/>
      <c r="BO101" s="107"/>
    </row>
    <row r="102" spans="2:87" ht="50.25" customHeight="1" thickBot="1" x14ac:dyDescent="0.45">
      <c r="B102" s="2">
        <v>0</v>
      </c>
      <c r="C102" s="31"/>
      <c r="D102" s="511"/>
      <c r="E102" s="115"/>
      <c r="F102" s="115"/>
      <c r="G102" s="115"/>
      <c r="H102" s="116"/>
      <c r="I102" s="116"/>
      <c r="J102" s="116"/>
      <c r="K102" s="116"/>
      <c r="L102" s="116"/>
      <c r="M102" s="116"/>
      <c r="N102" s="116"/>
      <c r="O102" s="116"/>
      <c r="P102" s="116"/>
      <c r="T102" s="368"/>
      <c r="U102" s="338"/>
      <c r="V102" s="338"/>
      <c r="W102" s="366"/>
      <c r="X102" s="349"/>
      <c r="Y102" s="116"/>
      <c r="Z102" s="116"/>
      <c r="AA102" s="116"/>
      <c r="AB102" s="116"/>
      <c r="AC102" s="116"/>
      <c r="AD102" s="116"/>
      <c r="AE102" s="116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6"/>
      <c r="AQ102" s="117"/>
      <c r="AR102" s="117"/>
      <c r="AS102" s="118"/>
      <c r="BB102" s="75"/>
      <c r="BC102" s="75"/>
      <c r="BD102" s="75"/>
      <c r="BM102" s="109"/>
      <c r="BN102" s="109"/>
      <c r="BO102" s="107"/>
    </row>
    <row r="103" spans="2:87" ht="28.5" customHeight="1" thickBot="1" x14ac:dyDescent="0.35">
      <c r="B103" s="14"/>
      <c r="C103" s="14"/>
      <c r="D103" s="14"/>
      <c r="E103" s="115"/>
      <c r="F103" s="115"/>
      <c r="G103" s="115"/>
      <c r="H103" s="116"/>
      <c r="I103" s="116"/>
      <c r="J103" s="116"/>
      <c r="K103" s="116"/>
      <c r="L103" s="116"/>
      <c r="M103" s="116"/>
      <c r="N103" s="116"/>
      <c r="O103" s="116"/>
      <c r="P103" s="116"/>
      <c r="T103" s="368"/>
      <c r="U103" s="338"/>
      <c r="V103" s="338"/>
      <c r="W103" s="366"/>
      <c r="X103" s="349"/>
      <c r="Y103" s="116"/>
      <c r="Z103" s="116"/>
      <c r="AA103" s="116"/>
      <c r="AB103" s="116"/>
      <c r="AC103" s="116"/>
      <c r="AD103" s="116"/>
      <c r="AE103" s="116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6"/>
      <c r="AQ103" s="117"/>
      <c r="AR103" s="117"/>
      <c r="AS103" s="118"/>
      <c r="BB103" s="75"/>
      <c r="BC103" s="75"/>
      <c r="BD103" s="75"/>
      <c r="BM103" s="109"/>
      <c r="BN103" s="109"/>
      <c r="BO103" s="107"/>
    </row>
    <row r="104" spans="2:87" ht="45.75" customHeight="1" thickBot="1" x14ac:dyDescent="0.45">
      <c r="B104" s="506" t="s">
        <v>114</v>
      </c>
      <c r="C104" s="120"/>
      <c r="D104" s="14"/>
      <c r="E104" s="115"/>
      <c r="F104" s="115"/>
      <c r="G104" s="115"/>
      <c r="H104" s="116"/>
      <c r="I104" s="116"/>
      <c r="J104" s="116"/>
      <c r="K104" s="116"/>
      <c r="L104" s="116"/>
      <c r="M104" s="116"/>
      <c r="N104" s="116"/>
      <c r="O104" s="116"/>
      <c r="P104" s="116"/>
      <c r="T104" s="368">
        <v>3.9983525000000002</v>
      </c>
      <c r="U104" s="338">
        <f>+$B$102-T104</f>
        <v>-3.9983525000000002</v>
      </c>
      <c r="V104" s="340">
        <f>COS(U104*3.14159265358979/180)</f>
        <v>0.99756605564595913</v>
      </c>
      <c r="W104" s="367">
        <f>+V104*308.3419</f>
        <v>307.59141297338078</v>
      </c>
      <c r="X104" s="365">
        <f>+((X109*AF109)+(W104*5))/(AF109+5)</f>
        <v>254.95884491981849</v>
      </c>
      <c r="Y104" s="116"/>
      <c r="Z104" s="116"/>
      <c r="AA104" s="239"/>
      <c r="AB104" s="333"/>
      <c r="AC104" s="116"/>
      <c r="AD104" s="116"/>
      <c r="AE104" s="116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6"/>
      <c r="AQ104" s="121"/>
      <c r="AR104" s="117"/>
      <c r="BB104" s="122"/>
      <c r="BC104" s="122"/>
      <c r="BD104" s="122"/>
      <c r="BM104" s="109"/>
      <c r="BN104" s="109"/>
      <c r="BO104" s="107"/>
    </row>
    <row r="105" spans="2:87" ht="45.75" customHeight="1" thickBot="1" x14ac:dyDescent="0.45">
      <c r="B105" s="507"/>
      <c r="C105" s="120"/>
      <c r="D105" s="14"/>
      <c r="E105" s="115"/>
      <c r="F105" s="115"/>
      <c r="G105" s="115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6"/>
      <c r="AQ105" s="121"/>
      <c r="AR105" s="117"/>
      <c r="BB105" s="122"/>
      <c r="BC105" s="122"/>
      <c r="BD105" s="122"/>
      <c r="BM105" s="109"/>
      <c r="BN105" s="109"/>
      <c r="BO105" s="107"/>
    </row>
    <row r="106" spans="2:87" ht="44.25" customHeight="1" thickBot="1" x14ac:dyDescent="0.45">
      <c r="B106" s="9">
        <v>1</v>
      </c>
      <c r="C106" s="123"/>
      <c r="D106" s="14"/>
      <c r="E106" s="125"/>
      <c r="F106" s="126"/>
      <c r="G106" s="126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5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508" t="s">
        <v>44</v>
      </c>
      <c r="AO106" s="509"/>
      <c r="AP106" s="129"/>
      <c r="AQ106" s="130"/>
      <c r="BB106" s="122"/>
      <c r="BC106" s="122"/>
      <c r="BD106" s="122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</row>
    <row r="107" spans="2:87" ht="42" hidden="1" thickBot="1" x14ac:dyDescent="0.45">
      <c r="B107" s="131"/>
      <c r="C107" s="132"/>
      <c r="D107" s="133"/>
      <c r="F107" s="134"/>
      <c r="H107" s="135" t="s">
        <v>4</v>
      </c>
      <c r="I107" s="135" t="s">
        <v>1</v>
      </c>
      <c r="J107" s="136" t="s">
        <v>0</v>
      </c>
      <c r="K107" s="136" t="s">
        <v>2</v>
      </c>
      <c r="L107" s="136" t="s">
        <v>3</v>
      </c>
      <c r="M107" s="136" t="s">
        <v>8</v>
      </c>
      <c r="N107" s="136" t="s">
        <v>5</v>
      </c>
      <c r="O107" s="136" t="s">
        <v>6</v>
      </c>
      <c r="P107" s="136" t="s">
        <v>7</v>
      </c>
      <c r="Q107" s="136" t="s">
        <v>9</v>
      </c>
      <c r="R107" s="137" t="s">
        <v>10</v>
      </c>
      <c r="S107" s="136" t="s">
        <v>11</v>
      </c>
      <c r="T107" s="138" t="s">
        <v>12</v>
      </c>
      <c r="U107" s="139"/>
      <c r="V107" s="139"/>
      <c r="W107" s="140"/>
      <c r="X107" s="139"/>
      <c r="Y107" s="139"/>
      <c r="Z107" s="364" t="s">
        <v>93</v>
      </c>
      <c r="AA107" s="364"/>
      <c r="AB107" s="364" t="s">
        <v>93</v>
      </c>
      <c r="AC107" s="364" t="s">
        <v>93</v>
      </c>
      <c r="AD107" s="364"/>
      <c r="AE107" s="364" t="s">
        <v>93</v>
      </c>
      <c r="AF107" s="139"/>
      <c r="AG107" s="139"/>
      <c r="AH107" s="139"/>
      <c r="AI107" s="139"/>
      <c r="AJ107" s="139"/>
      <c r="AK107" s="139"/>
      <c r="AL107" s="140" t="s">
        <v>39</v>
      </c>
      <c r="AM107" s="140" t="s">
        <v>39</v>
      </c>
      <c r="AN107" s="141"/>
      <c r="AO107" s="142"/>
      <c r="AP107" s="107"/>
      <c r="AQ107" s="143"/>
      <c r="BB107" s="122"/>
      <c r="BC107" s="122"/>
      <c r="BD107" s="122"/>
      <c r="BN107" s="144"/>
      <c r="BO107" s="144"/>
      <c r="BP107" s="144"/>
      <c r="BQ107" s="144"/>
      <c r="BR107" s="144"/>
      <c r="BS107" s="144"/>
    </row>
    <row r="108" spans="2:87" ht="42" hidden="1" customHeight="1" thickBot="1" x14ac:dyDescent="0.45">
      <c r="B108" s="145"/>
      <c r="C108" s="146"/>
      <c r="D108" s="460" t="s">
        <v>107</v>
      </c>
      <c r="E108" s="125"/>
      <c r="F108" s="147"/>
      <c r="H108" s="148"/>
      <c r="I108" s="149"/>
      <c r="J108" s="53"/>
      <c r="K108" s="53"/>
      <c r="L108" s="53"/>
      <c r="M108" s="53"/>
      <c r="N108" s="53"/>
      <c r="O108" s="53"/>
      <c r="P108" s="53"/>
      <c r="Q108" s="53"/>
      <c r="R108" s="150"/>
      <c r="S108" s="53"/>
      <c r="T108" s="151"/>
      <c r="U108" s="152"/>
      <c r="V108" s="152"/>
      <c r="W108" s="152"/>
      <c r="X108" s="139" t="s">
        <v>34</v>
      </c>
      <c r="Y108" s="153" t="s">
        <v>27</v>
      </c>
      <c r="Z108" s="453" t="s">
        <v>77</v>
      </c>
      <c r="AA108" s="454" t="s">
        <v>28</v>
      </c>
      <c r="AB108" s="453" t="s">
        <v>29</v>
      </c>
      <c r="AC108" s="453" t="s">
        <v>78</v>
      </c>
      <c r="AD108" s="364" t="s">
        <v>30</v>
      </c>
      <c r="AE108" s="455" t="s">
        <v>31</v>
      </c>
      <c r="AF108" s="361" t="s">
        <v>32</v>
      </c>
      <c r="AG108" s="364" t="s">
        <v>33</v>
      </c>
      <c r="AH108" s="364" t="s">
        <v>35</v>
      </c>
      <c r="AI108" s="364" t="s">
        <v>36</v>
      </c>
      <c r="AJ108" s="459" t="s">
        <v>37</v>
      </c>
      <c r="AK108" s="459" t="s">
        <v>38</v>
      </c>
      <c r="AL108" s="154" t="s">
        <v>20</v>
      </c>
      <c r="AM108" s="154" t="s">
        <v>21</v>
      </c>
      <c r="AN108" s="155" t="s">
        <v>20</v>
      </c>
      <c r="AO108" s="155" t="s">
        <v>21</v>
      </c>
      <c r="AP108" s="107"/>
      <c r="AR108" s="156"/>
      <c r="BB108" s="122"/>
      <c r="BC108" s="122"/>
      <c r="BD108" s="122"/>
    </row>
    <row r="109" spans="2:87" ht="21" hidden="1" thickBot="1" x14ac:dyDescent="0.45">
      <c r="B109" s="157">
        <v>1</v>
      </c>
      <c r="C109" s="158">
        <f>+($B$102*-1)+D109</f>
        <v>10</v>
      </c>
      <c r="D109" s="8">
        <v>10</v>
      </c>
      <c r="E109" s="369"/>
      <c r="F109" s="370"/>
      <c r="G109" s="160">
        <f>+D109</f>
        <v>10</v>
      </c>
      <c r="H109" s="161">
        <v>270.8836</v>
      </c>
      <c r="I109" s="162">
        <v>69.943711899999997</v>
      </c>
      <c r="J109" s="76">
        <f>+I109-C109</f>
        <v>59.943711899999997</v>
      </c>
      <c r="K109" s="76">
        <f t="shared" ref="K109:K128" si="3">+J109/2</f>
        <v>29.971855949999998</v>
      </c>
      <c r="L109" s="76">
        <f t="shared" ref="L109:L128" si="4">SIN(K109*3.14159265358979/180)</f>
        <v>0.49957454252954964</v>
      </c>
      <c r="M109" s="76">
        <f t="shared" ref="M109:M128" si="5">+L109*H109</f>
        <v>135.32655054875752</v>
      </c>
      <c r="N109" s="76">
        <f t="shared" ref="N109:N128" si="6">+M109*2</f>
        <v>270.65310109751505</v>
      </c>
      <c r="O109" s="76">
        <f>+C109/2</f>
        <v>5</v>
      </c>
      <c r="P109" s="76">
        <f t="shared" ref="P109:P128" si="7">SIN(O109*3.14159265358979/180)</f>
        <v>8.7155742747658083E-2</v>
      </c>
      <c r="Q109" s="76">
        <f t="shared" ref="Q109:Q128" si="8">+P109*N109</f>
        <v>23.588972053110918</v>
      </c>
      <c r="R109" s="163">
        <v>221.97120000000001</v>
      </c>
      <c r="S109" s="76">
        <f>+R109+Q109</f>
        <v>245.56017205311093</v>
      </c>
      <c r="T109" s="164">
        <f t="shared" ref="T109:T128" si="9">+S109</f>
        <v>245.56017205311093</v>
      </c>
      <c r="U109" s="51"/>
      <c r="V109" s="165">
        <f t="shared" ref="V109:V128" si="10">IF(B109&lt;($B$106+1),T109,0)</f>
        <v>245.56017205311093</v>
      </c>
      <c r="W109" s="160"/>
      <c r="X109" s="165">
        <f>SUM(V109:V128)/($B$106)</f>
        <v>245.56017205311093</v>
      </c>
      <c r="Y109" s="166">
        <f>+C109</f>
        <v>10</v>
      </c>
      <c r="Z109" s="456">
        <f>66.2555484-Y109</f>
        <v>56.255548399999995</v>
      </c>
      <c r="AA109" s="457">
        <f t="shared" ref="AA109:AA128" si="11">SIN(Z109*3.14159265358979/180)</f>
        <v>0.83152340862977814</v>
      </c>
      <c r="AB109" s="456">
        <f>+AA109*304.3209</f>
        <v>253.04995208528186</v>
      </c>
      <c r="AC109" s="456">
        <f>50.0185497+Y109</f>
        <v>60.018549700000001</v>
      </c>
      <c r="AD109" s="457">
        <f>SIN(AC109*3.14159265358979/180)</f>
        <v>0.8661872350649823</v>
      </c>
      <c r="AE109" s="456">
        <f>+AD109*279.0605</f>
        <v>241.71864291085149</v>
      </c>
      <c r="AF109" s="362">
        <f>28*B106</f>
        <v>28</v>
      </c>
      <c r="AG109" s="456">
        <f>+AE109+AB109</f>
        <v>494.76859499613334</v>
      </c>
      <c r="AH109" s="456">
        <f>+V109-AE109</f>
        <v>3.8415291422594464</v>
      </c>
      <c r="AI109" s="456">
        <f>+X109-AH109</f>
        <v>241.71864291085149</v>
      </c>
      <c r="AJ109" s="456">
        <f>+((AG109-AI109)/AG109)*AF109</f>
        <v>14.320631361906198</v>
      </c>
      <c r="AK109" s="456">
        <f>+(AI109/AG109)*AF109</f>
        <v>13.679368638093804</v>
      </c>
      <c r="AL109" s="167">
        <f t="shared" ref="AL109:AL128" si="12">2*$C$7/AJ109</f>
        <v>810.02015252321542</v>
      </c>
      <c r="AM109" s="168">
        <f t="shared" ref="AM109:AM128" si="13">$D$7/AK109</f>
        <v>731.02789058205269</v>
      </c>
      <c r="AN109" s="169">
        <f>ABS(AL109)</f>
        <v>810.02015252321542</v>
      </c>
      <c r="AO109" s="169">
        <f>ABS(AM109)</f>
        <v>731.02789058205269</v>
      </c>
      <c r="AP109" s="57"/>
      <c r="AR109" s="170"/>
      <c r="BB109" s="122"/>
      <c r="BC109" s="122"/>
      <c r="BD109" s="122"/>
    </row>
    <row r="110" spans="2:87" ht="20.25" hidden="1" thickBot="1" x14ac:dyDescent="0.45">
      <c r="B110" s="171">
        <v>2</v>
      </c>
      <c r="C110" s="172"/>
      <c r="D110" s="8">
        <v>20</v>
      </c>
      <c r="E110" s="371"/>
      <c r="F110" s="298"/>
      <c r="G110" s="175">
        <f t="shared" ref="G110:G128" si="14">+D110+AP110</f>
        <v>20</v>
      </c>
      <c r="H110" s="161">
        <v>270.8836</v>
      </c>
      <c r="I110" s="176">
        <v>69.943711899999997</v>
      </c>
      <c r="J110" s="57">
        <f t="shared" ref="J110:J128" si="15">+I110-D110</f>
        <v>49.943711899999997</v>
      </c>
      <c r="K110" s="57">
        <f t="shared" si="3"/>
        <v>24.971855949999998</v>
      </c>
      <c r="L110" s="57">
        <f>SIN(K110*3.14159265358979/180)</f>
        <v>0.42217302664458256</v>
      </c>
      <c r="M110" s="57">
        <f t="shared" si="5"/>
        <v>114.35974928038044</v>
      </c>
      <c r="N110" s="57">
        <f t="shared" si="6"/>
        <v>228.71949856076088</v>
      </c>
      <c r="O110" s="57">
        <f>+C109+(D110/2)</f>
        <v>20</v>
      </c>
      <c r="P110" s="57">
        <f t="shared" si="7"/>
        <v>0.34202014332566838</v>
      </c>
      <c r="Q110" s="57">
        <f t="shared" si="8"/>
        <v>78.226675679126444</v>
      </c>
      <c r="R110" s="57">
        <f t="shared" ref="R110:R128" si="16">+T109</f>
        <v>245.56017205311093</v>
      </c>
      <c r="S110" s="57">
        <f>+R110+Q110</f>
        <v>323.78684773223739</v>
      </c>
      <c r="T110" s="177">
        <f t="shared" si="9"/>
        <v>323.78684773223739</v>
      </c>
      <c r="U110" s="107"/>
      <c r="V110" s="178">
        <f t="shared" si="10"/>
        <v>0</v>
      </c>
      <c r="W110" s="160"/>
      <c r="X110" s="178" t="e">
        <f t="shared" ref="X110:X128" si="17">SUM(V110:V129)/($B$106-B109)</f>
        <v>#DIV/0!</v>
      </c>
      <c r="Y110" s="179">
        <f>SUM(D110)+$C$109</f>
        <v>30</v>
      </c>
      <c r="Z110" s="452">
        <f t="shared" ref="Z110:Z128" si="18">66.2555484-Y110</f>
        <v>36.255548399999995</v>
      </c>
      <c r="AA110" s="458">
        <f t="shared" si="11"/>
        <v>0.59138773995112026</v>
      </c>
      <c r="AB110" s="452">
        <f t="shared" ref="AB110:AB128" si="19">+AA110*304.3209</f>
        <v>179.97164927089088</v>
      </c>
      <c r="AC110" s="452">
        <f t="shared" ref="AC110:AC128" si="20">50.0185497+Y110</f>
        <v>80.018549699999994</v>
      </c>
      <c r="AD110" s="458">
        <f t="shared" ref="AD110:AD128" si="21">SIN(AC110*3.14159265358979/180)</f>
        <v>0.98486392057685967</v>
      </c>
      <c r="AE110" s="452">
        <f t="shared" ref="AE110:AE128" si="22">+AD110*279.0605</f>
        <v>274.83661810813874</v>
      </c>
      <c r="AF110" s="363">
        <f>28*($B$106-B109)</f>
        <v>0</v>
      </c>
      <c r="AG110" s="452">
        <f t="shared" ref="AG110:AG128" si="23">+AE110+AB110</f>
        <v>454.80826737902964</v>
      </c>
      <c r="AH110" s="452">
        <f>+V110-AE110</f>
        <v>-274.83661810813874</v>
      </c>
      <c r="AI110" s="452" t="e">
        <f>+X110-AH110</f>
        <v>#DIV/0!</v>
      </c>
      <c r="AJ110" s="452" t="e">
        <f t="shared" ref="AJ110:AJ128" si="24">+((AG110-AI110)/AG110)*AF110</f>
        <v>#DIV/0!</v>
      </c>
      <c r="AK110" s="452" t="e">
        <f t="shared" ref="AK110:AK128" si="25">+(AI110/AG110)*AF110</f>
        <v>#DIV/0!</v>
      </c>
      <c r="AL110" s="167" t="e">
        <f t="shared" si="12"/>
        <v>#DIV/0!</v>
      </c>
      <c r="AM110" s="168" t="e">
        <f t="shared" si="13"/>
        <v>#DIV/0!</v>
      </c>
      <c r="AN110" s="182" t="e">
        <f t="shared" ref="AN110:AN128" si="26">ABS(AL110)</f>
        <v>#DIV/0!</v>
      </c>
      <c r="AO110" s="169" t="e">
        <f t="shared" ref="AO110:AO128" si="27">ABS(AM110)</f>
        <v>#DIV/0!</v>
      </c>
      <c r="AR110" s="107"/>
      <c r="BB110" s="122"/>
      <c r="BC110" s="122"/>
      <c r="BD110" s="122"/>
    </row>
    <row r="111" spans="2:87" ht="20.25" hidden="1" thickBot="1" x14ac:dyDescent="0.45">
      <c r="B111" s="171">
        <v>3</v>
      </c>
      <c r="C111" s="172"/>
      <c r="D111" s="8">
        <v>20</v>
      </c>
      <c r="E111" s="369"/>
      <c r="F111" s="372"/>
      <c r="G111" s="175">
        <f t="shared" si="14"/>
        <v>20</v>
      </c>
      <c r="H111" s="176">
        <v>270.8836</v>
      </c>
      <c r="I111" s="176">
        <v>69.943711899999997</v>
      </c>
      <c r="J111" s="57">
        <f t="shared" si="15"/>
        <v>49.943711899999997</v>
      </c>
      <c r="K111" s="57">
        <f t="shared" si="3"/>
        <v>24.971855949999998</v>
      </c>
      <c r="L111" s="57">
        <f t="shared" si="4"/>
        <v>0.42217302664458256</v>
      </c>
      <c r="M111" s="57">
        <f t="shared" si="5"/>
        <v>114.35974928038044</v>
      </c>
      <c r="N111" s="57">
        <f t="shared" si="6"/>
        <v>228.71949856076088</v>
      </c>
      <c r="O111" s="57">
        <f>+C109+D110+(D111/2)</f>
        <v>40</v>
      </c>
      <c r="P111" s="57">
        <f t="shared" si="7"/>
        <v>0.64278760968653881</v>
      </c>
      <c r="Q111" s="57">
        <f t="shared" si="8"/>
        <v>147.01805976857523</v>
      </c>
      <c r="R111" s="57">
        <f t="shared" si="16"/>
        <v>323.78684773223739</v>
      </c>
      <c r="S111" s="57">
        <f t="shared" ref="S111:S128" si="28">+S110+Q111</f>
        <v>470.80490750081265</v>
      </c>
      <c r="T111" s="177">
        <f t="shared" si="9"/>
        <v>470.80490750081265</v>
      </c>
      <c r="U111" s="107"/>
      <c r="V111" s="178">
        <f t="shared" si="10"/>
        <v>0</v>
      </c>
      <c r="W111" s="160"/>
      <c r="X111" s="178">
        <f t="shared" si="17"/>
        <v>0</v>
      </c>
      <c r="Y111" s="179">
        <f>SUM(D110:D111)+$C$109</f>
        <v>50</v>
      </c>
      <c r="Z111" s="452">
        <f t="shared" si="18"/>
        <v>16.255548399999995</v>
      </c>
      <c r="AA111" s="458">
        <f t="shared" si="11"/>
        <v>0.27992198188086886</v>
      </c>
      <c r="AB111" s="452">
        <f t="shared" si="19"/>
        <v>85.18610945576971</v>
      </c>
      <c r="AC111" s="452">
        <f t="shared" si="20"/>
        <v>100.01854969999999</v>
      </c>
      <c r="AD111" s="458">
        <f t="shared" si="21"/>
        <v>0.98475148222372599</v>
      </c>
      <c r="AE111" s="452">
        <f t="shared" si="22"/>
        <v>274.8052410050941</v>
      </c>
      <c r="AF111" s="363">
        <f t="shared" ref="AF111:AF128" si="29">28*($B$106-B110)</f>
        <v>-28</v>
      </c>
      <c r="AG111" s="452">
        <f t="shared" si="23"/>
        <v>359.99135046086383</v>
      </c>
      <c r="AH111" s="452">
        <f>+V111-AE111</f>
        <v>-274.8052410050941</v>
      </c>
      <c r="AI111" s="452">
        <f>+X111-AH111</f>
        <v>274.8052410050941</v>
      </c>
      <c r="AJ111" s="452">
        <f t="shared" si="24"/>
        <v>-6.6257454844622963</v>
      </c>
      <c r="AK111" s="452">
        <f t="shared" si="25"/>
        <v>-21.374254515537704</v>
      </c>
      <c r="AL111" s="167">
        <f t="shared" si="12"/>
        <v>-1750.7463918139595</v>
      </c>
      <c r="AM111" s="168">
        <f t="shared" si="13"/>
        <v>-467.85257435437785</v>
      </c>
      <c r="AN111" s="169">
        <f t="shared" si="26"/>
        <v>1750.7463918139595</v>
      </c>
      <c r="AO111" s="169">
        <f t="shared" si="27"/>
        <v>467.85257435437785</v>
      </c>
      <c r="BB111" s="122"/>
      <c r="BC111" s="122"/>
      <c r="BD111" s="122"/>
    </row>
    <row r="112" spans="2:87" ht="20.25" hidden="1" thickBot="1" x14ac:dyDescent="0.45">
      <c r="B112" s="171">
        <v>4</v>
      </c>
      <c r="C112" s="172"/>
      <c r="D112" s="8">
        <v>20</v>
      </c>
      <c r="E112" s="369"/>
      <c r="F112" s="372"/>
      <c r="G112" s="175">
        <f t="shared" si="14"/>
        <v>20</v>
      </c>
      <c r="H112" s="176">
        <v>270.8836</v>
      </c>
      <c r="I112" s="176">
        <v>69.943711899999997</v>
      </c>
      <c r="J112" s="57">
        <f t="shared" si="15"/>
        <v>49.943711899999997</v>
      </c>
      <c r="K112" s="57">
        <f t="shared" si="3"/>
        <v>24.971855949999998</v>
      </c>
      <c r="L112" s="57">
        <f t="shared" si="4"/>
        <v>0.42217302664458256</v>
      </c>
      <c r="M112" s="57">
        <f t="shared" si="5"/>
        <v>114.35974928038044</v>
      </c>
      <c r="N112" s="57">
        <f t="shared" si="6"/>
        <v>228.71949856076088</v>
      </c>
      <c r="O112" s="57">
        <f>+C109+D110+D111+(D112/2)</f>
        <v>60</v>
      </c>
      <c r="P112" s="57">
        <f t="shared" si="7"/>
        <v>0.86602540378443815</v>
      </c>
      <c r="Q112" s="57">
        <f t="shared" si="8"/>
        <v>198.07689609445717</v>
      </c>
      <c r="R112" s="57">
        <f t="shared" si="16"/>
        <v>470.80490750081265</v>
      </c>
      <c r="S112" s="57">
        <f t="shared" si="28"/>
        <v>668.88180359526984</v>
      </c>
      <c r="T112" s="177">
        <f t="shared" si="9"/>
        <v>668.88180359526984</v>
      </c>
      <c r="U112" s="107"/>
      <c r="V112" s="178">
        <f t="shared" si="10"/>
        <v>0</v>
      </c>
      <c r="W112" s="160"/>
      <c r="X112" s="178">
        <f t="shared" si="17"/>
        <v>0</v>
      </c>
      <c r="Y112" s="179">
        <f>SUM(D110:D112)+$C$109</f>
        <v>70</v>
      </c>
      <c r="Z112" s="452">
        <f t="shared" si="18"/>
        <v>-3.744451600000005</v>
      </c>
      <c r="AA112" s="458">
        <f t="shared" si="11"/>
        <v>-6.5306498412681727E-2</v>
      </c>
      <c r="AB112" s="452">
        <f t="shared" si="19"/>
        <v>-19.874132372795874</v>
      </c>
      <c r="AC112" s="452">
        <f t="shared" si="20"/>
        <v>120.01854969999999</v>
      </c>
      <c r="AD112" s="458">
        <f t="shared" si="21"/>
        <v>0.86586348173038241</v>
      </c>
      <c r="AE112" s="452">
        <f t="shared" si="22"/>
        <v>241.62829614342138</v>
      </c>
      <c r="AF112" s="363">
        <f t="shared" si="29"/>
        <v>-56</v>
      </c>
      <c r="AG112" s="452">
        <f t="shared" si="23"/>
        <v>221.7541637706255</v>
      </c>
      <c r="AH112" s="452">
        <f>+V112-AE112</f>
        <v>-241.62829614342138</v>
      </c>
      <c r="AI112" s="452">
        <f t="shared" ref="AI112:AI128" si="30">+X112-AH112</f>
        <v>241.62829614342138</v>
      </c>
      <c r="AJ112" s="452">
        <f t="shared" si="24"/>
        <v>5.0188523811790349</v>
      </c>
      <c r="AK112" s="452">
        <f t="shared" si="25"/>
        <v>-61.018852381179038</v>
      </c>
      <c r="AL112" s="167">
        <f t="shared" si="12"/>
        <v>2311.2853535004579</v>
      </c>
      <c r="AM112" s="168">
        <f t="shared" si="13"/>
        <v>-163.88377705845627</v>
      </c>
      <c r="AN112" s="169">
        <f t="shared" si="26"/>
        <v>2311.2853535004579</v>
      </c>
      <c r="AO112" s="169">
        <f t="shared" si="27"/>
        <v>163.88377705845627</v>
      </c>
      <c r="BB112" s="122"/>
      <c r="BC112" s="122"/>
      <c r="BD112" s="122"/>
    </row>
    <row r="113" spans="1:56" ht="20.25" hidden="1" thickBot="1" x14ac:dyDescent="0.45">
      <c r="B113" s="171">
        <v>5</v>
      </c>
      <c r="C113" s="172"/>
      <c r="D113" s="8">
        <v>20</v>
      </c>
      <c r="E113" s="369"/>
      <c r="F113" s="372"/>
      <c r="G113" s="175">
        <f t="shared" si="14"/>
        <v>20</v>
      </c>
      <c r="H113" s="176">
        <v>270.8836</v>
      </c>
      <c r="I113" s="176">
        <v>69.943711899999997</v>
      </c>
      <c r="J113" s="57">
        <f t="shared" si="15"/>
        <v>49.943711899999997</v>
      </c>
      <c r="K113" s="57">
        <f t="shared" si="3"/>
        <v>24.971855949999998</v>
      </c>
      <c r="L113" s="57">
        <f t="shared" si="4"/>
        <v>0.42217302664458256</v>
      </c>
      <c r="M113" s="57">
        <f t="shared" si="5"/>
        <v>114.35974928038044</v>
      </c>
      <c r="N113" s="57">
        <f t="shared" si="6"/>
        <v>228.71949856076088</v>
      </c>
      <c r="O113" s="57">
        <f>+C109+D110+D111+D112+(D113/2)</f>
        <v>80</v>
      </c>
      <c r="P113" s="57">
        <f t="shared" si="7"/>
        <v>0.9848077530122078</v>
      </c>
      <c r="Q113" s="57">
        <f t="shared" si="8"/>
        <v>225.24473544770183</v>
      </c>
      <c r="R113" s="57">
        <f t="shared" si="16"/>
        <v>668.88180359526984</v>
      </c>
      <c r="S113" s="57">
        <f t="shared" si="28"/>
        <v>894.12653904297167</v>
      </c>
      <c r="T113" s="177">
        <f t="shared" si="9"/>
        <v>894.12653904297167</v>
      </c>
      <c r="U113" s="107"/>
      <c r="V113" s="178">
        <f t="shared" si="10"/>
        <v>0</v>
      </c>
      <c r="W113" s="160"/>
      <c r="X113" s="178">
        <f t="shared" si="17"/>
        <v>0</v>
      </c>
      <c r="Y113" s="179">
        <f>SUM(D110:D113)+$C$109</f>
        <v>90</v>
      </c>
      <c r="Z113" s="452">
        <f t="shared" si="18"/>
        <v>-23.744451600000005</v>
      </c>
      <c r="AA113" s="458">
        <f t="shared" si="11"/>
        <v>-0.40265805117639619</v>
      </c>
      <c r="AB113" s="452">
        <f t="shared" si="19"/>
        <v>-122.53726052624694</v>
      </c>
      <c r="AC113" s="452">
        <f t="shared" si="20"/>
        <v>140.01854969999999</v>
      </c>
      <c r="AD113" s="458">
        <f t="shared" si="21"/>
        <v>0.6425395665563437</v>
      </c>
      <c r="AE113" s="452">
        <f t="shared" si="22"/>
        <v>179.30741271299655</v>
      </c>
      <c r="AF113" s="363">
        <f t="shared" si="29"/>
        <v>-84</v>
      </c>
      <c r="AG113" s="452">
        <f t="shared" si="23"/>
        <v>56.770152186749613</v>
      </c>
      <c r="AH113" s="452">
        <f t="shared" ref="AH113:AH128" si="31">+V113-AE113</f>
        <v>-179.30741271299655</v>
      </c>
      <c r="AI113" s="452">
        <f t="shared" si="30"/>
        <v>179.30741271299655</v>
      </c>
      <c r="AJ113" s="452">
        <f t="shared" si="24"/>
        <v>181.31235319476917</v>
      </c>
      <c r="AK113" s="452">
        <f t="shared" si="25"/>
        <v>-265.31235319476917</v>
      </c>
      <c r="AL113" s="167">
        <f t="shared" si="12"/>
        <v>63.977990443591338</v>
      </c>
      <c r="AM113" s="168">
        <f t="shared" si="13"/>
        <v>-37.691422504774486</v>
      </c>
      <c r="AN113" s="169">
        <f t="shared" si="26"/>
        <v>63.977990443591338</v>
      </c>
      <c r="AO113" s="169">
        <f t="shared" si="27"/>
        <v>37.691422504774486</v>
      </c>
      <c r="AR113" s="183"/>
      <c r="BB113" s="122"/>
      <c r="BC113" s="122"/>
      <c r="BD113" s="122"/>
    </row>
    <row r="114" spans="1:56" ht="20.25" hidden="1" thickBot="1" x14ac:dyDescent="0.45">
      <c r="B114" s="171">
        <v>6</v>
      </c>
      <c r="C114" s="172"/>
      <c r="D114" s="8">
        <v>20</v>
      </c>
      <c r="E114" s="369"/>
      <c r="F114" s="372"/>
      <c r="G114" s="175">
        <f t="shared" si="14"/>
        <v>20</v>
      </c>
      <c r="H114" s="176">
        <v>270.8836</v>
      </c>
      <c r="I114" s="176">
        <v>69.943711899999997</v>
      </c>
      <c r="J114" s="57">
        <f t="shared" si="15"/>
        <v>49.943711899999997</v>
      </c>
      <c r="K114" s="57">
        <f t="shared" si="3"/>
        <v>24.971855949999998</v>
      </c>
      <c r="L114" s="57">
        <f t="shared" si="4"/>
        <v>0.42217302664458256</v>
      </c>
      <c r="M114" s="57">
        <f t="shared" si="5"/>
        <v>114.35974928038044</v>
      </c>
      <c r="N114" s="57">
        <f t="shared" si="6"/>
        <v>228.71949856076088</v>
      </c>
      <c r="O114" s="57">
        <f>+C109+D110+D111+D112+D113+(D114/2)</f>
        <v>100</v>
      </c>
      <c r="P114" s="57">
        <f t="shared" si="7"/>
        <v>0.98480775301220835</v>
      </c>
      <c r="Q114" s="57">
        <f t="shared" si="8"/>
        <v>225.24473544770194</v>
      </c>
      <c r="R114" s="57">
        <f t="shared" si="16"/>
        <v>894.12653904297167</v>
      </c>
      <c r="S114" s="57">
        <f t="shared" si="28"/>
        <v>1119.3712744906736</v>
      </c>
      <c r="T114" s="177">
        <f t="shared" si="9"/>
        <v>1119.3712744906736</v>
      </c>
      <c r="U114" s="107"/>
      <c r="V114" s="178">
        <f t="shared" si="10"/>
        <v>0</v>
      </c>
      <c r="W114" s="160"/>
      <c r="X114" s="178">
        <f t="shared" si="17"/>
        <v>0</v>
      </c>
      <c r="Y114" s="179">
        <f>SUM(D110:D114)+$C$109</f>
        <v>110</v>
      </c>
      <c r="Z114" s="452">
        <f t="shared" si="18"/>
        <v>-43.744451600000005</v>
      </c>
      <c r="AA114" s="458">
        <f t="shared" si="11"/>
        <v>-0.6914431003683067</v>
      </c>
      <c r="AB114" s="452">
        <f t="shared" si="19"/>
        <v>-210.42058660287341</v>
      </c>
      <c r="AC114" s="452">
        <f t="shared" si="20"/>
        <v>160.01854969999999</v>
      </c>
      <c r="AD114" s="458">
        <f t="shared" si="21"/>
        <v>0.34171589678156161</v>
      </c>
      <c r="AE114" s="452">
        <f t="shared" si="22"/>
        <v>95.359409013810975</v>
      </c>
      <c r="AF114" s="363">
        <f t="shared" si="29"/>
        <v>-112</v>
      </c>
      <c r="AG114" s="452">
        <f t="shared" si="23"/>
        <v>-115.06117758906244</v>
      </c>
      <c r="AH114" s="452">
        <f t="shared" si="31"/>
        <v>-95.359409013810975</v>
      </c>
      <c r="AI114" s="452">
        <f t="shared" si="30"/>
        <v>95.359409013810975</v>
      </c>
      <c r="AJ114" s="452">
        <f t="shared" si="24"/>
        <v>-204.82239269000911</v>
      </c>
      <c r="AK114" s="452">
        <f t="shared" si="25"/>
        <v>92.82239269000911</v>
      </c>
      <c r="AL114" s="167">
        <f t="shared" si="12"/>
        <v>-56.63443263040169</v>
      </c>
      <c r="AM114" s="168">
        <f t="shared" si="13"/>
        <v>107.73262474924701</v>
      </c>
      <c r="AN114" s="169">
        <f t="shared" si="26"/>
        <v>56.63443263040169</v>
      </c>
      <c r="AO114" s="169">
        <f t="shared" si="27"/>
        <v>107.73262474924701</v>
      </c>
      <c r="BB114" s="122"/>
      <c r="BC114" s="122"/>
      <c r="BD114" s="122"/>
    </row>
    <row r="115" spans="1:56" ht="20.25" hidden="1" thickBot="1" x14ac:dyDescent="0.45">
      <c r="B115" s="171">
        <v>7</v>
      </c>
      <c r="C115" s="172"/>
      <c r="D115" s="8">
        <v>20</v>
      </c>
      <c r="E115" s="369"/>
      <c r="F115" s="372"/>
      <c r="G115" s="175">
        <f t="shared" si="14"/>
        <v>20</v>
      </c>
      <c r="H115" s="176">
        <v>270.8836</v>
      </c>
      <c r="I115" s="176">
        <v>69.943711899999997</v>
      </c>
      <c r="J115" s="57">
        <f t="shared" si="15"/>
        <v>49.943711899999997</v>
      </c>
      <c r="K115" s="57">
        <f t="shared" si="3"/>
        <v>24.971855949999998</v>
      </c>
      <c r="L115" s="57">
        <f t="shared" si="4"/>
        <v>0.42217302664458256</v>
      </c>
      <c r="M115" s="57">
        <f t="shared" si="5"/>
        <v>114.35974928038044</v>
      </c>
      <c r="N115" s="57">
        <f t="shared" si="6"/>
        <v>228.71949856076088</v>
      </c>
      <c r="O115" s="57">
        <f>+C109+D110+D111+D112+D113+D114+(D115/2)</f>
        <v>120</v>
      </c>
      <c r="P115" s="57">
        <f t="shared" si="7"/>
        <v>0.8660254037844396</v>
      </c>
      <c r="Q115" s="57">
        <f t="shared" si="8"/>
        <v>198.07689609445748</v>
      </c>
      <c r="R115" s="57">
        <f t="shared" si="16"/>
        <v>1119.3712744906736</v>
      </c>
      <c r="S115" s="57">
        <f t="shared" si="28"/>
        <v>1317.448170585131</v>
      </c>
      <c r="T115" s="177">
        <f t="shared" si="9"/>
        <v>1317.448170585131</v>
      </c>
      <c r="U115" s="107"/>
      <c r="V115" s="178">
        <f t="shared" si="10"/>
        <v>0</v>
      </c>
      <c r="W115" s="160"/>
      <c r="X115" s="178">
        <f t="shared" si="17"/>
        <v>0</v>
      </c>
      <c r="Y115" s="179">
        <f>SUM(D110:D115)+$C$109</f>
        <v>130</v>
      </c>
      <c r="Z115" s="452">
        <f t="shared" si="18"/>
        <v>-63.744451600000005</v>
      </c>
      <c r="AA115" s="458">
        <f t="shared" si="11"/>
        <v>-0.89682990704246002</v>
      </c>
      <c r="AB115" s="452">
        <f t="shared" si="19"/>
        <v>-272.92408445807774</v>
      </c>
      <c r="AC115" s="452">
        <f t="shared" si="20"/>
        <v>180.01854969999999</v>
      </c>
      <c r="AD115" s="458">
        <f t="shared" si="21"/>
        <v>-3.2375333459769561E-4</v>
      </c>
      <c r="AE115" s="452">
        <f t="shared" si="22"/>
        <v>-9.0346767429500235E-2</v>
      </c>
      <c r="AF115" s="363">
        <f t="shared" si="29"/>
        <v>-140</v>
      </c>
      <c r="AG115" s="452">
        <f t="shared" si="23"/>
        <v>-273.01443122550722</v>
      </c>
      <c r="AH115" s="452">
        <f t="shared" si="31"/>
        <v>9.0346767429500235E-2</v>
      </c>
      <c r="AI115" s="452">
        <f t="shared" si="30"/>
        <v>-9.0346767429500235E-2</v>
      </c>
      <c r="AJ115" s="452">
        <f t="shared" si="24"/>
        <v>-139.95367077343366</v>
      </c>
      <c r="AK115" s="452">
        <f t="shared" si="25"/>
        <v>-4.632922656635121E-2</v>
      </c>
      <c r="AL115" s="167">
        <f t="shared" si="12"/>
        <v>-82.884571272009396</v>
      </c>
      <c r="AM115" s="168">
        <f t="shared" si="13"/>
        <v>-215846.46973716095</v>
      </c>
      <c r="AN115" s="169">
        <f t="shared" si="26"/>
        <v>82.884571272009396</v>
      </c>
      <c r="AO115" s="169">
        <f t="shared" si="27"/>
        <v>215846.46973716095</v>
      </c>
      <c r="BB115" s="122"/>
      <c r="BC115" s="122"/>
      <c r="BD115" s="122"/>
    </row>
    <row r="116" spans="1:56" ht="20.25" hidden="1" thickBot="1" x14ac:dyDescent="0.45">
      <c r="B116" s="171">
        <v>8</v>
      </c>
      <c r="C116" s="172"/>
      <c r="D116" s="8">
        <v>20</v>
      </c>
      <c r="E116" s="369"/>
      <c r="F116" s="372"/>
      <c r="G116" s="175">
        <f t="shared" si="14"/>
        <v>20</v>
      </c>
      <c r="H116" s="176">
        <v>270.8836</v>
      </c>
      <c r="I116" s="176">
        <v>69.943711899999997</v>
      </c>
      <c r="J116" s="57">
        <f t="shared" si="15"/>
        <v>49.943711899999997</v>
      </c>
      <c r="K116" s="57">
        <f t="shared" si="3"/>
        <v>24.971855949999998</v>
      </c>
      <c r="L116" s="57">
        <f t="shared" si="4"/>
        <v>0.42217302664458256</v>
      </c>
      <c r="M116" s="57">
        <f t="shared" si="5"/>
        <v>114.35974928038044</v>
      </c>
      <c r="N116" s="57">
        <f t="shared" si="6"/>
        <v>228.71949856076088</v>
      </c>
      <c r="O116" s="57">
        <f>+C109+D110+D111+D112+D113+D114+D115+(D116/2)</f>
        <v>140</v>
      </c>
      <c r="P116" s="57">
        <f t="shared" si="7"/>
        <v>0.64278760968654114</v>
      </c>
      <c r="Q116" s="57">
        <f t="shared" si="8"/>
        <v>147.01805976857577</v>
      </c>
      <c r="R116" s="57">
        <f t="shared" si="16"/>
        <v>1317.448170585131</v>
      </c>
      <c r="S116" s="57">
        <f t="shared" si="28"/>
        <v>1464.4662303537068</v>
      </c>
      <c r="T116" s="177">
        <f t="shared" si="9"/>
        <v>1464.4662303537068</v>
      </c>
      <c r="U116" s="107"/>
      <c r="V116" s="178">
        <f t="shared" si="10"/>
        <v>0</v>
      </c>
      <c r="W116" s="160"/>
      <c r="X116" s="178">
        <f t="shared" si="17"/>
        <v>0</v>
      </c>
      <c r="Y116" s="179">
        <f>SUM(D110:D116)+$C$109</f>
        <v>150</v>
      </c>
      <c r="Z116" s="452">
        <f t="shared" si="18"/>
        <v>-83.744451600000005</v>
      </c>
      <c r="AA116" s="458">
        <f t="shared" si="11"/>
        <v>-0.99404579112751723</v>
      </c>
      <c r="AB116" s="452">
        <f t="shared" si="19"/>
        <v>-302.50890979713807</v>
      </c>
      <c r="AC116" s="452">
        <f t="shared" si="20"/>
        <v>200.01854969999999</v>
      </c>
      <c r="AD116" s="458">
        <f t="shared" si="21"/>
        <v>-0.34232435402051542</v>
      </c>
      <c r="AE116" s="452">
        <f t="shared" si="22"/>
        <v>-95.529205395142043</v>
      </c>
      <c r="AF116" s="363">
        <f t="shared" si="29"/>
        <v>-168</v>
      </c>
      <c r="AG116" s="452">
        <f t="shared" si="23"/>
        <v>-398.03811519228009</v>
      </c>
      <c r="AH116" s="452">
        <f t="shared" si="31"/>
        <v>95.529205395142043</v>
      </c>
      <c r="AI116" s="452">
        <f t="shared" si="30"/>
        <v>-95.529205395142043</v>
      </c>
      <c r="AJ116" s="452">
        <f t="shared" si="24"/>
        <v>-127.67997562587411</v>
      </c>
      <c r="AK116" s="452">
        <f t="shared" si="25"/>
        <v>-40.320024374125893</v>
      </c>
      <c r="AL116" s="167">
        <f t="shared" si="12"/>
        <v>-90.852147669499416</v>
      </c>
      <c r="AM116" s="168">
        <f t="shared" si="13"/>
        <v>-248.01572308614936</v>
      </c>
      <c r="AN116" s="169">
        <f t="shared" si="26"/>
        <v>90.852147669499416</v>
      </c>
      <c r="AO116" s="169">
        <f t="shared" si="27"/>
        <v>248.01572308614936</v>
      </c>
      <c r="BB116" s="122"/>
      <c r="BC116" s="122"/>
      <c r="BD116" s="122"/>
    </row>
    <row r="117" spans="1:56" ht="20.25" hidden="1" thickBot="1" x14ac:dyDescent="0.45">
      <c r="B117" s="171">
        <v>9</v>
      </c>
      <c r="C117" s="172"/>
      <c r="D117" s="8">
        <v>20</v>
      </c>
      <c r="E117" s="369"/>
      <c r="F117" s="372"/>
      <c r="G117" s="175">
        <f t="shared" si="14"/>
        <v>20</v>
      </c>
      <c r="H117" s="176">
        <v>270.8836</v>
      </c>
      <c r="I117" s="176">
        <v>69.943711899999997</v>
      </c>
      <c r="J117" s="57">
        <f t="shared" si="15"/>
        <v>49.943711899999997</v>
      </c>
      <c r="K117" s="57">
        <f t="shared" si="3"/>
        <v>24.971855949999998</v>
      </c>
      <c r="L117" s="57">
        <f t="shared" si="4"/>
        <v>0.42217302664458256</v>
      </c>
      <c r="M117" s="57">
        <f t="shared" si="5"/>
        <v>114.35974928038044</v>
      </c>
      <c r="N117" s="57">
        <f t="shared" si="6"/>
        <v>228.71949856076088</v>
      </c>
      <c r="O117" s="57">
        <f>+C109+D110+D111+D112+D113+D114+D115+D116+(D117/2)</f>
        <v>160</v>
      </c>
      <c r="P117" s="57">
        <f t="shared" si="7"/>
        <v>0.34202014332567138</v>
      </c>
      <c r="Q117" s="57">
        <f t="shared" si="8"/>
        <v>78.226675679127126</v>
      </c>
      <c r="R117" s="57">
        <f t="shared" si="16"/>
        <v>1464.4662303537068</v>
      </c>
      <c r="S117" s="57">
        <f t="shared" si="28"/>
        <v>1542.6929060328339</v>
      </c>
      <c r="T117" s="177">
        <f t="shared" si="9"/>
        <v>1542.6929060328339</v>
      </c>
      <c r="U117" s="107"/>
      <c r="V117" s="178">
        <f t="shared" si="10"/>
        <v>0</v>
      </c>
      <c r="W117" s="160"/>
      <c r="X117" s="178">
        <f t="shared" si="17"/>
        <v>0</v>
      </c>
      <c r="Y117" s="179">
        <f>SUM(D110:D117)+$C$109</f>
        <v>170</v>
      </c>
      <c r="Z117" s="452">
        <f t="shared" si="18"/>
        <v>-103.7444516</v>
      </c>
      <c r="AA117" s="458">
        <f t="shared" si="11"/>
        <v>-0.97136508224917684</v>
      </c>
      <c r="AB117" s="452">
        <f t="shared" si="19"/>
        <v>-295.60669605864354</v>
      </c>
      <c r="AC117" s="452">
        <f t="shared" si="20"/>
        <v>220.01854969999999</v>
      </c>
      <c r="AD117" s="458">
        <f t="shared" si="21"/>
        <v>-0.64303558544216366</v>
      </c>
      <c r="AE117" s="452">
        <f t="shared" si="22"/>
        <v>-179.44583199128292</v>
      </c>
      <c r="AF117" s="363">
        <f t="shared" si="29"/>
        <v>-196</v>
      </c>
      <c r="AG117" s="452">
        <f t="shared" si="23"/>
        <v>-475.05252804992642</v>
      </c>
      <c r="AH117" s="452">
        <f t="shared" si="31"/>
        <v>179.44583199128292</v>
      </c>
      <c r="AI117" s="452">
        <f t="shared" si="30"/>
        <v>-179.44583199128292</v>
      </c>
      <c r="AJ117" s="452">
        <f t="shared" si="24"/>
        <v>-121.9631703999793</v>
      </c>
      <c r="AK117" s="452">
        <f t="shared" si="25"/>
        <v>-74.036829600020681</v>
      </c>
      <c r="AL117" s="167">
        <f t="shared" si="12"/>
        <v>-95.1106794121348</v>
      </c>
      <c r="AM117" s="168">
        <f t="shared" si="13"/>
        <v>-135.06791220024374</v>
      </c>
      <c r="AN117" s="169">
        <f t="shared" si="26"/>
        <v>95.1106794121348</v>
      </c>
      <c r="AO117" s="169">
        <f t="shared" si="27"/>
        <v>135.06791220024374</v>
      </c>
      <c r="BB117" s="122"/>
      <c r="BC117" s="122"/>
      <c r="BD117" s="122"/>
    </row>
    <row r="118" spans="1:56" ht="20.25" hidden="1" thickBot="1" x14ac:dyDescent="0.45">
      <c r="B118" s="171">
        <v>10</v>
      </c>
      <c r="C118" s="172"/>
      <c r="D118" s="8">
        <v>20</v>
      </c>
      <c r="E118" s="369"/>
      <c r="F118" s="372"/>
      <c r="G118" s="175">
        <f t="shared" si="14"/>
        <v>20</v>
      </c>
      <c r="H118" s="176">
        <v>270.8836</v>
      </c>
      <c r="I118" s="176">
        <v>69.943711899999997</v>
      </c>
      <c r="J118" s="57">
        <f t="shared" si="15"/>
        <v>49.943711899999997</v>
      </c>
      <c r="K118" s="57">
        <f t="shared" si="3"/>
        <v>24.971855949999998</v>
      </c>
      <c r="L118" s="57">
        <f t="shared" si="4"/>
        <v>0.42217302664458256</v>
      </c>
      <c r="M118" s="57">
        <f t="shared" si="5"/>
        <v>114.35974928038044</v>
      </c>
      <c r="N118" s="57">
        <f t="shared" si="6"/>
        <v>228.71949856076088</v>
      </c>
      <c r="O118" s="57">
        <f>+C109+D110+D111+D112+D113+D114+D115+D116+D117+(D118/2)</f>
        <v>180</v>
      </c>
      <c r="P118" s="57">
        <f t="shared" si="7"/>
        <v>3.2311393144413003E-15</v>
      </c>
      <c r="Q118" s="57">
        <f t="shared" si="8"/>
        <v>7.3902456377897493E-13</v>
      </c>
      <c r="R118" s="57">
        <f t="shared" si="16"/>
        <v>1542.6929060328339</v>
      </c>
      <c r="S118" s="57">
        <f t="shared" si="28"/>
        <v>1542.6929060328346</v>
      </c>
      <c r="T118" s="177">
        <f t="shared" si="9"/>
        <v>1542.6929060328346</v>
      </c>
      <c r="U118" s="107"/>
      <c r="V118" s="178">
        <f t="shared" si="10"/>
        <v>0</v>
      </c>
      <c r="W118" s="160"/>
      <c r="X118" s="178">
        <f t="shared" si="17"/>
        <v>0</v>
      </c>
      <c r="Y118" s="179">
        <f>SUM(D110:D118)+$C$109</f>
        <v>190</v>
      </c>
      <c r="Z118" s="452">
        <f t="shared" si="18"/>
        <v>-123.7444516</v>
      </c>
      <c r="AA118" s="458">
        <f t="shared" si="11"/>
        <v>-0.83152340862977991</v>
      </c>
      <c r="AB118" s="452">
        <f t="shared" si="19"/>
        <v>-253.0499520852824</v>
      </c>
      <c r="AC118" s="452">
        <f t="shared" si="20"/>
        <v>240.01854969999999</v>
      </c>
      <c r="AD118" s="458">
        <f t="shared" si="21"/>
        <v>-0.86618723506498052</v>
      </c>
      <c r="AE118" s="452">
        <f t="shared" si="22"/>
        <v>-241.71864291085097</v>
      </c>
      <c r="AF118" s="363">
        <f t="shared" si="29"/>
        <v>-224</v>
      </c>
      <c r="AG118" s="452">
        <f t="shared" si="23"/>
        <v>-494.7685949961334</v>
      </c>
      <c r="AH118" s="452">
        <f t="shared" si="31"/>
        <v>241.71864291085097</v>
      </c>
      <c r="AI118" s="452">
        <f t="shared" si="30"/>
        <v>-241.71864291085097</v>
      </c>
      <c r="AJ118" s="452">
        <f t="shared" si="24"/>
        <v>-114.5650508952498</v>
      </c>
      <c r="AK118" s="452">
        <f t="shared" si="25"/>
        <v>-109.43494910475019</v>
      </c>
      <c r="AL118" s="167">
        <f t="shared" si="12"/>
        <v>-101.25251906540173</v>
      </c>
      <c r="AM118" s="168">
        <f t="shared" si="13"/>
        <v>-91.378486322756785</v>
      </c>
      <c r="AN118" s="169">
        <f t="shared" si="26"/>
        <v>101.25251906540173</v>
      </c>
      <c r="AO118" s="169">
        <f t="shared" si="27"/>
        <v>91.378486322756785</v>
      </c>
      <c r="BB118" s="122"/>
      <c r="BC118" s="122"/>
      <c r="BD118" s="122"/>
    </row>
    <row r="119" spans="1:56" ht="20.25" hidden="1" thickBot="1" x14ac:dyDescent="0.45">
      <c r="A119" s="184"/>
      <c r="B119" s="171">
        <v>11</v>
      </c>
      <c r="C119" s="172"/>
      <c r="D119" s="8">
        <v>20</v>
      </c>
      <c r="E119" s="369"/>
      <c r="F119" s="372"/>
      <c r="G119" s="175">
        <f t="shared" si="14"/>
        <v>20</v>
      </c>
      <c r="H119" s="176">
        <v>270.8836</v>
      </c>
      <c r="I119" s="176">
        <v>69.943711899999997</v>
      </c>
      <c r="J119" s="57">
        <f t="shared" si="15"/>
        <v>49.943711899999997</v>
      </c>
      <c r="K119" s="57">
        <f t="shared" si="3"/>
        <v>24.971855949999998</v>
      </c>
      <c r="L119" s="57">
        <f t="shared" si="4"/>
        <v>0.42217302664458256</v>
      </c>
      <c r="M119" s="57">
        <f t="shared" si="5"/>
        <v>114.35974928038044</v>
      </c>
      <c r="N119" s="57">
        <f t="shared" si="6"/>
        <v>228.71949856076088</v>
      </c>
      <c r="O119" s="57">
        <f>+C109+D110+D111+D112+D113+D114+D115+D116+D117+D118+(D119/2)</f>
        <v>200</v>
      </c>
      <c r="P119" s="57">
        <f t="shared" si="7"/>
        <v>-0.34202014332566533</v>
      </c>
      <c r="Q119" s="57">
        <f t="shared" si="8"/>
        <v>-78.226675679125748</v>
      </c>
      <c r="R119" s="57">
        <f t="shared" si="16"/>
        <v>1542.6929060328346</v>
      </c>
      <c r="S119" s="57">
        <f t="shared" si="28"/>
        <v>1464.4662303537089</v>
      </c>
      <c r="T119" s="177">
        <f t="shared" si="9"/>
        <v>1464.4662303537089</v>
      </c>
      <c r="U119" s="107"/>
      <c r="V119" s="178">
        <f t="shared" si="10"/>
        <v>0</v>
      </c>
      <c r="W119" s="160"/>
      <c r="X119" s="178">
        <f t="shared" si="17"/>
        <v>0</v>
      </c>
      <c r="Y119" s="179">
        <f>SUM(D110:D119)+$C$109</f>
        <v>210</v>
      </c>
      <c r="Z119" s="452">
        <f t="shared" si="18"/>
        <v>-143.74445159999999</v>
      </c>
      <c r="AA119" s="458">
        <f t="shared" si="11"/>
        <v>-0.59138773995112282</v>
      </c>
      <c r="AB119" s="452">
        <f t="shared" si="19"/>
        <v>-179.97164927089165</v>
      </c>
      <c r="AC119" s="452">
        <f t="shared" si="20"/>
        <v>260.01854969999999</v>
      </c>
      <c r="AD119" s="458">
        <f t="shared" si="21"/>
        <v>-0.98486392057685912</v>
      </c>
      <c r="AE119" s="452">
        <f t="shared" si="22"/>
        <v>-274.83661810813857</v>
      </c>
      <c r="AF119" s="363">
        <f t="shared" si="29"/>
        <v>-252</v>
      </c>
      <c r="AG119" s="452">
        <f t="shared" si="23"/>
        <v>-454.80826737903021</v>
      </c>
      <c r="AH119" s="452">
        <f t="shared" si="31"/>
        <v>274.83661810813857</v>
      </c>
      <c r="AI119" s="452">
        <f t="shared" si="30"/>
        <v>-274.83661810813857</v>
      </c>
      <c r="AJ119" s="452">
        <f t="shared" si="24"/>
        <v>-99.718626219404939</v>
      </c>
      <c r="AK119" s="452">
        <f t="shared" si="25"/>
        <v>-152.28137378059506</v>
      </c>
      <c r="AL119" s="167">
        <f t="shared" si="12"/>
        <v>-116.3273145628502</v>
      </c>
      <c r="AM119" s="168">
        <f t="shared" si="13"/>
        <v>-65.667912967529858</v>
      </c>
      <c r="AN119" s="169">
        <f t="shared" si="26"/>
        <v>116.3273145628502</v>
      </c>
      <c r="AO119" s="169">
        <f t="shared" si="27"/>
        <v>65.667912967529858</v>
      </c>
      <c r="BB119" s="122"/>
      <c r="BC119" s="122"/>
      <c r="BD119" s="122"/>
    </row>
    <row r="120" spans="1:56" ht="20.25" hidden="1" thickBot="1" x14ac:dyDescent="0.45">
      <c r="A120" s="184"/>
      <c r="B120" s="171">
        <v>12</v>
      </c>
      <c r="C120" s="172"/>
      <c r="D120" s="8">
        <v>20</v>
      </c>
      <c r="E120" s="369"/>
      <c r="F120" s="372"/>
      <c r="G120" s="175">
        <f t="shared" si="14"/>
        <v>20</v>
      </c>
      <c r="H120" s="176">
        <v>270.8836</v>
      </c>
      <c r="I120" s="176">
        <v>69.943711899999997</v>
      </c>
      <c r="J120" s="57">
        <f t="shared" si="15"/>
        <v>49.943711899999997</v>
      </c>
      <c r="K120" s="57">
        <f t="shared" si="3"/>
        <v>24.971855949999998</v>
      </c>
      <c r="L120" s="57">
        <f t="shared" si="4"/>
        <v>0.42217302664458256</v>
      </c>
      <c r="M120" s="57">
        <f t="shared" si="5"/>
        <v>114.35974928038044</v>
      </c>
      <c r="N120" s="57">
        <f t="shared" si="6"/>
        <v>228.71949856076088</v>
      </c>
      <c r="O120" s="57">
        <f>+C109+D110+D111+D112+D113+D114+D115+D116+D117+D118+D119+(D120/2)</f>
        <v>220</v>
      </c>
      <c r="P120" s="57">
        <f t="shared" si="7"/>
        <v>-0.64278760968653659</v>
      </c>
      <c r="Q120" s="57">
        <f t="shared" si="8"/>
        <v>-147.01805976857474</v>
      </c>
      <c r="R120" s="57">
        <f t="shared" si="16"/>
        <v>1464.4662303537089</v>
      </c>
      <c r="S120" s="57">
        <f t="shared" si="28"/>
        <v>1317.448170585134</v>
      </c>
      <c r="T120" s="177">
        <f t="shared" si="9"/>
        <v>1317.448170585134</v>
      </c>
      <c r="U120" s="107"/>
      <c r="V120" s="178">
        <f t="shared" si="10"/>
        <v>0</v>
      </c>
      <c r="W120" s="160"/>
      <c r="X120" s="178">
        <f t="shared" si="17"/>
        <v>0</v>
      </c>
      <c r="Y120" s="179">
        <f>SUM(D110:D120)+$C$109</f>
        <v>230</v>
      </c>
      <c r="Z120" s="452">
        <f t="shared" si="18"/>
        <v>-163.74445159999999</v>
      </c>
      <c r="AA120" s="458">
        <f t="shared" si="11"/>
        <v>-0.27992198188087192</v>
      </c>
      <c r="AB120" s="452">
        <f t="shared" si="19"/>
        <v>-85.186109455770634</v>
      </c>
      <c r="AC120" s="452">
        <f t="shared" si="20"/>
        <v>280.01854969999999</v>
      </c>
      <c r="AD120" s="458">
        <f t="shared" si="21"/>
        <v>-0.98475148222372666</v>
      </c>
      <c r="AE120" s="452">
        <f t="shared" si="22"/>
        <v>-274.80524100509427</v>
      </c>
      <c r="AF120" s="363">
        <f t="shared" si="29"/>
        <v>-280</v>
      </c>
      <c r="AG120" s="452">
        <f t="shared" si="23"/>
        <v>-359.99135046086491</v>
      </c>
      <c r="AH120" s="452">
        <f t="shared" si="31"/>
        <v>274.80524100509427</v>
      </c>
      <c r="AI120" s="452">
        <f t="shared" si="30"/>
        <v>-274.80524100509427</v>
      </c>
      <c r="AJ120" s="452">
        <f t="shared" si="24"/>
        <v>-66.257454844623467</v>
      </c>
      <c r="AK120" s="452">
        <f t="shared" si="25"/>
        <v>-213.74254515537655</v>
      </c>
      <c r="AL120" s="167">
        <f t="shared" si="12"/>
        <v>-175.07463918139462</v>
      </c>
      <c r="AM120" s="168">
        <f t="shared" si="13"/>
        <v>-46.785257435437892</v>
      </c>
      <c r="AN120" s="169">
        <f t="shared" si="26"/>
        <v>175.07463918139462</v>
      </c>
      <c r="AO120" s="169">
        <f t="shared" si="27"/>
        <v>46.785257435437892</v>
      </c>
      <c r="BB120" s="122"/>
      <c r="BC120" s="122"/>
      <c r="BD120" s="122"/>
    </row>
    <row r="121" spans="1:56" ht="20.25" hidden="1" thickBot="1" x14ac:dyDescent="0.45">
      <c r="B121" s="171">
        <v>13</v>
      </c>
      <c r="C121" s="172"/>
      <c r="D121" s="8">
        <v>20</v>
      </c>
      <c r="E121" s="369"/>
      <c r="F121" s="372"/>
      <c r="G121" s="175">
        <f t="shared" si="14"/>
        <v>20</v>
      </c>
      <c r="H121" s="176">
        <v>270.8836</v>
      </c>
      <c r="I121" s="176">
        <v>69.943711899999997</v>
      </c>
      <c r="J121" s="57">
        <f t="shared" si="15"/>
        <v>49.943711899999997</v>
      </c>
      <c r="K121" s="57">
        <f t="shared" si="3"/>
        <v>24.971855949999998</v>
      </c>
      <c r="L121" s="57">
        <f t="shared" si="4"/>
        <v>0.42217302664458256</v>
      </c>
      <c r="M121" s="57">
        <f t="shared" si="5"/>
        <v>114.35974928038044</v>
      </c>
      <c r="N121" s="57">
        <f t="shared" si="6"/>
        <v>228.71949856076088</v>
      </c>
      <c r="O121" s="57">
        <f>+C109+D110+D111+D112+D113+D114+D115+D116+D117+D118+D119+D120+(D121/2)</f>
        <v>240</v>
      </c>
      <c r="P121" s="57">
        <f t="shared" si="7"/>
        <v>-0.8660254037844366</v>
      </c>
      <c r="Q121" s="57">
        <f t="shared" si="8"/>
        <v>-198.0768960944568</v>
      </c>
      <c r="R121" s="57">
        <f t="shared" si="16"/>
        <v>1317.448170585134</v>
      </c>
      <c r="S121" s="57">
        <f t="shared" si="28"/>
        <v>1119.3712744906773</v>
      </c>
      <c r="T121" s="177">
        <f t="shared" si="9"/>
        <v>1119.3712744906773</v>
      </c>
      <c r="U121" s="107"/>
      <c r="V121" s="178">
        <f t="shared" si="10"/>
        <v>0</v>
      </c>
      <c r="W121" s="160"/>
      <c r="X121" s="178">
        <f t="shared" si="17"/>
        <v>0</v>
      </c>
      <c r="Y121" s="179">
        <f>SUM(D110:D121)+$C$109</f>
        <v>250</v>
      </c>
      <c r="Z121" s="452">
        <f t="shared" si="18"/>
        <v>-183.74445159999999</v>
      </c>
      <c r="AA121" s="458">
        <f t="shared" si="11"/>
        <v>6.5306498412678493E-2</v>
      </c>
      <c r="AB121" s="452">
        <f t="shared" si="19"/>
        <v>19.87413237279489</v>
      </c>
      <c r="AC121" s="452">
        <f t="shared" si="20"/>
        <v>300.01854969999999</v>
      </c>
      <c r="AD121" s="458">
        <f t="shared" si="21"/>
        <v>-0.8658634817303843</v>
      </c>
      <c r="AE121" s="452">
        <f t="shared" si="22"/>
        <v>-241.62829614342189</v>
      </c>
      <c r="AF121" s="363">
        <f t="shared" si="29"/>
        <v>-308</v>
      </c>
      <c r="AG121" s="452">
        <f t="shared" si="23"/>
        <v>-221.754163770627</v>
      </c>
      <c r="AH121" s="452">
        <f t="shared" si="31"/>
        <v>241.62829614342189</v>
      </c>
      <c r="AI121" s="452">
        <f t="shared" si="30"/>
        <v>-241.62829614342189</v>
      </c>
      <c r="AJ121" s="452">
        <f t="shared" si="24"/>
        <v>27.603688096483125</v>
      </c>
      <c r="AK121" s="452">
        <f t="shared" si="25"/>
        <v>-335.6036880964831</v>
      </c>
      <c r="AL121" s="167">
        <f t="shared" si="12"/>
        <v>420.2337006364707</v>
      </c>
      <c r="AM121" s="168">
        <f t="shared" si="13"/>
        <v>-29.797050374264924</v>
      </c>
      <c r="AN121" s="169">
        <f t="shared" si="26"/>
        <v>420.2337006364707</v>
      </c>
      <c r="AO121" s="169">
        <f t="shared" si="27"/>
        <v>29.797050374264924</v>
      </c>
      <c r="BB121" s="122"/>
      <c r="BC121" s="122"/>
      <c r="BD121" s="122"/>
    </row>
    <row r="122" spans="1:56" ht="20.25" hidden="1" thickBot="1" x14ac:dyDescent="0.45">
      <c r="B122" s="171">
        <v>14</v>
      </c>
      <c r="C122" s="172"/>
      <c r="D122" s="8">
        <v>20</v>
      </c>
      <c r="E122" s="369"/>
      <c r="F122" s="372"/>
      <c r="G122" s="175">
        <f t="shared" si="14"/>
        <v>20</v>
      </c>
      <c r="H122" s="176">
        <v>270.8836</v>
      </c>
      <c r="I122" s="176">
        <v>69.943711899999997</v>
      </c>
      <c r="J122" s="57">
        <f t="shared" si="15"/>
        <v>49.943711899999997</v>
      </c>
      <c r="K122" s="57">
        <f t="shared" si="3"/>
        <v>24.971855949999998</v>
      </c>
      <c r="L122" s="57">
        <f t="shared" si="4"/>
        <v>0.42217302664458256</v>
      </c>
      <c r="M122" s="57">
        <f t="shared" si="5"/>
        <v>114.35974928038044</v>
      </c>
      <c r="N122" s="57">
        <f t="shared" si="6"/>
        <v>228.71949856076088</v>
      </c>
      <c r="O122" s="57">
        <f>+C109+D110+D111+D112+D113+D114+D115+D116+D117+D118+D119+D120+D121+(D122/2)</f>
        <v>260</v>
      </c>
      <c r="P122" s="57">
        <f t="shared" si="7"/>
        <v>-0.98480775301220724</v>
      </c>
      <c r="Q122" s="57">
        <f t="shared" si="8"/>
        <v>-225.24473544770169</v>
      </c>
      <c r="R122" s="57">
        <f t="shared" si="16"/>
        <v>1119.3712744906773</v>
      </c>
      <c r="S122" s="57">
        <f t="shared" si="28"/>
        <v>894.12653904297554</v>
      </c>
      <c r="T122" s="177">
        <f t="shared" si="9"/>
        <v>894.12653904297554</v>
      </c>
      <c r="U122" s="107"/>
      <c r="V122" s="178">
        <f t="shared" si="10"/>
        <v>0</v>
      </c>
      <c r="W122" s="160"/>
      <c r="X122" s="178">
        <f t="shared" si="17"/>
        <v>0</v>
      </c>
      <c r="Y122" s="179">
        <f>SUM(D110:D122)+$C$109</f>
        <v>270</v>
      </c>
      <c r="Z122" s="452">
        <f t="shared" si="18"/>
        <v>-203.74445159999999</v>
      </c>
      <c r="AA122" s="458">
        <f t="shared" si="11"/>
        <v>0.40265805117639281</v>
      </c>
      <c r="AB122" s="452">
        <f t="shared" si="19"/>
        <v>122.53726052624592</v>
      </c>
      <c r="AC122" s="452">
        <f t="shared" si="20"/>
        <v>320.01854969999999</v>
      </c>
      <c r="AD122" s="458">
        <f t="shared" si="21"/>
        <v>-0.64253956655634548</v>
      </c>
      <c r="AE122" s="452">
        <f t="shared" si="22"/>
        <v>-179.30741271299703</v>
      </c>
      <c r="AF122" s="363">
        <f t="shared" si="29"/>
        <v>-336</v>
      </c>
      <c r="AG122" s="452">
        <f t="shared" si="23"/>
        <v>-56.770152186751119</v>
      </c>
      <c r="AH122" s="452">
        <f t="shared" si="31"/>
        <v>179.30741271299703</v>
      </c>
      <c r="AI122" s="452">
        <f t="shared" si="30"/>
        <v>-179.30741271299703</v>
      </c>
      <c r="AJ122" s="452">
        <f t="shared" si="24"/>
        <v>725.24941277905134</v>
      </c>
      <c r="AK122" s="452">
        <f t="shared" si="25"/>
        <v>-1061.2494127790515</v>
      </c>
      <c r="AL122" s="167">
        <f t="shared" si="12"/>
        <v>15.994497610898394</v>
      </c>
      <c r="AM122" s="168">
        <f t="shared" si="13"/>
        <v>-9.4228556261938454</v>
      </c>
      <c r="AN122" s="169">
        <f t="shared" si="26"/>
        <v>15.994497610898394</v>
      </c>
      <c r="AO122" s="169">
        <f t="shared" si="27"/>
        <v>9.4228556261938454</v>
      </c>
      <c r="BB122" s="122"/>
      <c r="BC122" s="122"/>
      <c r="BD122" s="122"/>
    </row>
    <row r="123" spans="1:56" ht="20.25" hidden="1" thickBot="1" x14ac:dyDescent="0.45">
      <c r="B123" s="171">
        <v>15</v>
      </c>
      <c r="C123" s="172"/>
      <c r="D123" s="8">
        <v>20</v>
      </c>
      <c r="E123" s="369"/>
      <c r="F123" s="372"/>
      <c r="G123" s="175">
        <f t="shared" si="14"/>
        <v>20</v>
      </c>
      <c r="H123" s="176">
        <v>270.8836</v>
      </c>
      <c r="I123" s="176">
        <v>69.943711899999997</v>
      </c>
      <c r="J123" s="57">
        <f t="shared" si="15"/>
        <v>49.943711899999997</v>
      </c>
      <c r="K123" s="57">
        <f t="shared" si="3"/>
        <v>24.971855949999998</v>
      </c>
      <c r="L123" s="57">
        <f t="shared" si="4"/>
        <v>0.42217302664458256</v>
      </c>
      <c r="M123" s="57">
        <f t="shared" si="5"/>
        <v>114.35974928038044</v>
      </c>
      <c r="N123" s="57">
        <f t="shared" si="6"/>
        <v>228.71949856076088</v>
      </c>
      <c r="O123" s="57">
        <f>+C109+D110+D111+D112+D113+D114+D115+D116+D117+D118+D119+D120+D121+D122+(D123/2)</f>
        <v>280</v>
      </c>
      <c r="P123" s="57">
        <f t="shared" si="7"/>
        <v>-0.98480775301220891</v>
      </c>
      <c r="Q123" s="57">
        <f t="shared" si="8"/>
        <v>-225.24473544770208</v>
      </c>
      <c r="R123" s="57">
        <f t="shared" si="16"/>
        <v>894.12653904297554</v>
      </c>
      <c r="S123" s="57">
        <f t="shared" si="28"/>
        <v>668.88180359527348</v>
      </c>
      <c r="T123" s="177">
        <f t="shared" si="9"/>
        <v>668.88180359527348</v>
      </c>
      <c r="U123" s="107"/>
      <c r="V123" s="178">
        <f t="shared" si="10"/>
        <v>0</v>
      </c>
      <c r="W123" s="160"/>
      <c r="X123" s="178">
        <f t="shared" si="17"/>
        <v>0</v>
      </c>
      <c r="Y123" s="179">
        <f>SUM(D110:D123)+$C$109</f>
        <v>290</v>
      </c>
      <c r="Z123" s="452">
        <f t="shared" si="18"/>
        <v>-223.74445159999999</v>
      </c>
      <c r="AA123" s="458">
        <f t="shared" si="11"/>
        <v>0.69144310036830425</v>
      </c>
      <c r="AB123" s="452">
        <f t="shared" si="19"/>
        <v>210.42058660287267</v>
      </c>
      <c r="AC123" s="452">
        <f t="shared" si="20"/>
        <v>340.01854969999999</v>
      </c>
      <c r="AD123" s="458">
        <f t="shared" si="21"/>
        <v>-0.34171589678156505</v>
      </c>
      <c r="AE123" s="452">
        <f t="shared" si="22"/>
        <v>-95.359409013811927</v>
      </c>
      <c r="AF123" s="363">
        <f t="shared" si="29"/>
        <v>-364</v>
      </c>
      <c r="AG123" s="452">
        <f t="shared" si="23"/>
        <v>115.06117758906075</v>
      </c>
      <c r="AH123" s="452">
        <f t="shared" si="31"/>
        <v>95.359409013811927</v>
      </c>
      <c r="AI123" s="452">
        <f t="shared" si="30"/>
        <v>-95.359409013811927</v>
      </c>
      <c r="AJ123" s="452">
        <f t="shared" si="24"/>
        <v>-665.67277624253711</v>
      </c>
      <c r="AK123" s="452">
        <f t="shared" si="25"/>
        <v>301.67277624253705</v>
      </c>
      <c r="AL123" s="167">
        <f t="shared" si="12"/>
        <v>-17.425979270892629</v>
      </c>
      <c r="AM123" s="168">
        <f t="shared" si="13"/>
        <v>33.148499922844415</v>
      </c>
      <c r="AN123" s="169">
        <f t="shared" si="26"/>
        <v>17.425979270892629</v>
      </c>
      <c r="AO123" s="169">
        <f t="shared" si="27"/>
        <v>33.148499922844415</v>
      </c>
      <c r="BB123" s="122"/>
      <c r="BC123" s="122"/>
      <c r="BD123" s="122"/>
    </row>
    <row r="124" spans="1:56" ht="20.25" hidden="1" thickBot="1" x14ac:dyDescent="0.45">
      <c r="B124" s="171">
        <v>16</v>
      </c>
      <c r="C124" s="172"/>
      <c r="D124" s="8">
        <v>20</v>
      </c>
      <c r="E124" s="369"/>
      <c r="F124" s="372"/>
      <c r="G124" s="175">
        <f t="shared" si="14"/>
        <v>20</v>
      </c>
      <c r="H124" s="176">
        <v>270.8836</v>
      </c>
      <c r="I124" s="176">
        <v>69.943711899999997</v>
      </c>
      <c r="J124" s="57">
        <f t="shared" si="15"/>
        <v>49.943711899999997</v>
      </c>
      <c r="K124" s="57">
        <f t="shared" si="3"/>
        <v>24.971855949999998</v>
      </c>
      <c r="L124" s="57">
        <f t="shared" si="4"/>
        <v>0.42217302664458256</v>
      </c>
      <c r="M124" s="57">
        <f t="shared" si="5"/>
        <v>114.35974928038044</v>
      </c>
      <c r="N124" s="57">
        <f t="shared" si="6"/>
        <v>228.71949856076088</v>
      </c>
      <c r="O124" s="57">
        <f>+C109+D110+D111+D112+D113+D114+D115+D116+D117+D118+D119+D120+D121+D122+D123+(D124/2)</f>
        <v>300</v>
      </c>
      <c r="P124" s="57">
        <f t="shared" si="7"/>
        <v>-0.86602540378444126</v>
      </c>
      <c r="Q124" s="57">
        <f t="shared" si="8"/>
        <v>-198.07689609445788</v>
      </c>
      <c r="R124" s="57">
        <f t="shared" si="16"/>
        <v>668.88180359527348</v>
      </c>
      <c r="S124" s="57">
        <f t="shared" si="28"/>
        <v>470.8049075008156</v>
      </c>
      <c r="T124" s="177">
        <f t="shared" si="9"/>
        <v>470.8049075008156</v>
      </c>
      <c r="U124" s="107"/>
      <c r="V124" s="178">
        <f t="shared" si="10"/>
        <v>0</v>
      </c>
      <c r="W124" s="160"/>
      <c r="X124" s="178">
        <f t="shared" si="17"/>
        <v>0</v>
      </c>
      <c r="Y124" s="179">
        <f>SUM(D110:D124)+$C$109</f>
        <v>310</v>
      </c>
      <c r="Z124" s="452">
        <f t="shared" si="18"/>
        <v>-243.74445159999999</v>
      </c>
      <c r="AA124" s="458">
        <f t="shared" si="11"/>
        <v>0.89682990704245857</v>
      </c>
      <c r="AB124" s="452">
        <f t="shared" si="19"/>
        <v>272.92408445807735</v>
      </c>
      <c r="AC124" s="452">
        <f t="shared" si="20"/>
        <v>360.01854969999999</v>
      </c>
      <c r="AD124" s="458">
        <f t="shared" si="21"/>
        <v>3.2375333459535265E-4</v>
      </c>
      <c r="AE124" s="452">
        <f t="shared" si="22"/>
        <v>9.0346767428846411E-2</v>
      </c>
      <c r="AF124" s="363">
        <f t="shared" si="29"/>
        <v>-392</v>
      </c>
      <c r="AG124" s="452">
        <f t="shared" si="23"/>
        <v>273.0144312255062</v>
      </c>
      <c r="AH124" s="452">
        <f t="shared" si="31"/>
        <v>-9.0346767428846411E-2</v>
      </c>
      <c r="AI124" s="452">
        <f t="shared" si="30"/>
        <v>9.0346767428846411E-2</v>
      </c>
      <c r="AJ124" s="452">
        <f t="shared" si="24"/>
        <v>-391.8702781656151</v>
      </c>
      <c r="AK124" s="452">
        <f t="shared" si="25"/>
        <v>-0.12972183438484508</v>
      </c>
      <c r="AL124" s="167">
        <f t="shared" si="12"/>
        <v>-29.601632597146146</v>
      </c>
      <c r="AM124" s="168">
        <f t="shared" si="13"/>
        <v>-77088.024906686507</v>
      </c>
      <c r="AN124" s="169">
        <f t="shared" si="26"/>
        <v>29.601632597146146</v>
      </c>
      <c r="AO124" s="169">
        <f t="shared" si="27"/>
        <v>77088.024906686507</v>
      </c>
      <c r="BB124" s="122"/>
      <c r="BC124" s="122"/>
      <c r="BD124" s="122"/>
    </row>
    <row r="125" spans="1:56" ht="20.25" hidden="1" thickBot="1" x14ac:dyDescent="0.45">
      <c r="B125" s="171">
        <v>17</v>
      </c>
      <c r="C125" s="172"/>
      <c r="D125" s="8">
        <v>20</v>
      </c>
      <c r="E125" s="369"/>
      <c r="F125" s="372"/>
      <c r="G125" s="175">
        <f t="shared" si="14"/>
        <v>20</v>
      </c>
      <c r="H125" s="176">
        <v>270.8836</v>
      </c>
      <c r="I125" s="176">
        <v>69.943711899999997</v>
      </c>
      <c r="J125" s="57">
        <f t="shared" si="15"/>
        <v>49.943711899999997</v>
      </c>
      <c r="K125" s="57">
        <f t="shared" si="3"/>
        <v>24.971855949999998</v>
      </c>
      <c r="L125" s="57">
        <f t="shared" si="4"/>
        <v>0.42217302664458256</v>
      </c>
      <c r="M125" s="57">
        <f t="shared" si="5"/>
        <v>114.35974928038044</v>
      </c>
      <c r="N125" s="57">
        <f t="shared" si="6"/>
        <v>228.71949856076088</v>
      </c>
      <c r="O125" s="57">
        <f>+C109+D110+D111+D112+D113+D114+D115+D116+D117+D118+D119+D120+D121+D122+D123+D124+(D125/2)</f>
        <v>320</v>
      </c>
      <c r="P125" s="57">
        <f t="shared" si="7"/>
        <v>-0.64278760968654369</v>
      </c>
      <c r="Q125" s="57">
        <f t="shared" si="8"/>
        <v>-147.01805976857636</v>
      </c>
      <c r="R125" s="57">
        <f t="shared" si="16"/>
        <v>470.8049075008156</v>
      </c>
      <c r="S125" s="57">
        <f t="shared" si="28"/>
        <v>323.78684773223927</v>
      </c>
      <c r="T125" s="177">
        <f t="shared" si="9"/>
        <v>323.78684773223927</v>
      </c>
      <c r="U125" s="107"/>
      <c r="V125" s="178">
        <f t="shared" si="10"/>
        <v>0</v>
      </c>
      <c r="W125" s="160"/>
      <c r="X125" s="178">
        <f t="shared" si="17"/>
        <v>0</v>
      </c>
      <c r="Y125" s="179">
        <f>SUM(D110:D125)+$C$109</f>
        <v>330</v>
      </c>
      <c r="Z125" s="452">
        <f t="shared" si="18"/>
        <v>-263.74445159999999</v>
      </c>
      <c r="AA125" s="458">
        <f t="shared" si="11"/>
        <v>0.9940457911275169</v>
      </c>
      <c r="AB125" s="452">
        <f t="shared" si="19"/>
        <v>302.50890979713796</v>
      </c>
      <c r="AC125" s="452">
        <f t="shared" si="20"/>
        <v>380.01854969999999</v>
      </c>
      <c r="AD125" s="458">
        <f t="shared" si="21"/>
        <v>0.34232435402051153</v>
      </c>
      <c r="AE125" s="452">
        <f t="shared" si="22"/>
        <v>95.529205395140963</v>
      </c>
      <c r="AF125" s="363">
        <f t="shared" si="29"/>
        <v>-420</v>
      </c>
      <c r="AG125" s="452">
        <f t="shared" si="23"/>
        <v>398.03811519227895</v>
      </c>
      <c r="AH125" s="452">
        <f t="shared" si="31"/>
        <v>-95.529205395140963</v>
      </c>
      <c r="AI125" s="452">
        <f t="shared" si="30"/>
        <v>95.529205395140963</v>
      </c>
      <c r="AJ125" s="452">
        <f t="shared" si="24"/>
        <v>-319.19993906468613</v>
      </c>
      <c r="AK125" s="452">
        <f t="shared" si="25"/>
        <v>-100.80006093531388</v>
      </c>
      <c r="AL125" s="167">
        <f t="shared" si="12"/>
        <v>-36.340859067799663</v>
      </c>
      <c r="AM125" s="168">
        <f t="shared" si="13"/>
        <v>-99.206289234460584</v>
      </c>
      <c r="AN125" s="169">
        <f t="shared" si="26"/>
        <v>36.340859067799663</v>
      </c>
      <c r="AO125" s="169">
        <f t="shared" si="27"/>
        <v>99.206289234460584</v>
      </c>
      <c r="BB125" s="122"/>
      <c r="BC125" s="122"/>
      <c r="BD125" s="122"/>
    </row>
    <row r="126" spans="1:56" ht="20.25" hidden="1" thickBot="1" x14ac:dyDescent="0.45">
      <c r="B126" s="171">
        <v>18</v>
      </c>
      <c r="C126" s="172"/>
      <c r="D126" s="8">
        <v>20</v>
      </c>
      <c r="E126" s="369"/>
      <c r="F126" s="372"/>
      <c r="G126" s="175">
        <f t="shared" si="14"/>
        <v>20</v>
      </c>
      <c r="H126" s="176">
        <v>270.8836</v>
      </c>
      <c r="I126" s="176">
        <v>69.943711899999997</v>
      </c>
      <c r="J126" s="57">
        <f t="shared" si="15"/>
        <v>49.943711899999997</v>
      </c>
      <c r="K126" s="57">
        <f t="shared" si="3"/>
        <v>24.971855949999998</v>
      </c>
      <c r="L126" s="57">
        <f t="shared" si="4"/>
        <v>0.42217302664458256</v>
      </c>
      <c r="M126" s="57">
        <f t="shared" si="5"/>
        <v>114.35974928038044</v>
      </c>
      <c r="N126" s="57">
        <f t="shared" si="6"/>
        <v>228.71949856076088</v>
      </c>
      <c r="O126" s="57">
        <f>+C109+D110+D111+D112+D113+D114+D115+D116+D117+D118+D119+D120+D121+D122+D123+D124+D125+(D126/2)</f>
        <v>340</v>
      </c>
      <c r="P126" s="57">
        <f t="shared" si="7"/>
        <v>-0.34202014332567443</v>
      </c>
      <c r="Q126" s="57">
        <f t="shared" si="8"/>
        <v>-78.226675679127823</v>
      </c>
      <c r="R126" s="57">
        <f t="shared" si="16"/>
        <v>323.78684773223927</v>
      </c>
      <c r="S126" s="57">
        <f t="shared" si="28"/>
        <v>245.56017205311144</v>
      </c>
      <c r="T126" s="177">
        <f t="shared" si="9"/>
        <v>245.56017205311144</v>
      </c>
      <c r="U126" s="107"/>
      <c r="V126" s="178">
        <f t="shared" si="10"/>
        <v>0</v>
      </c>
      <c r="W126" s="160"/>
      <c r="X126" s="178">
        <f t="shared" si="17"/>
        <v>0</v>
      </c>
      <c r="Y126" s="179">
        <f>SUM(D110:D126)+$C$109</f>
        <v>350</v>
      </c>
      <c r="Z126" s="452">
        <f t="shared" si="18"/>
        <v>-283.74445159999999</v>
      </c>
      <c r="AA126" s="458">
        <f t="shared" si="11"/>
        <v>0.97136508224917772</v>
      </c>
      <c r="AB126" s="452">
        <f t="shared" si="19"/>
        <v>295.60669605864376</v>
      </c>
      <c r="AC126" s="452">
        <f t="shared" si="20"/>
        <v>400.01854969999999</v>
      </c>
      <c r="AD126" s="458">
        <f t="shared" si="21"/>
        <v>0.64303558544216155</v>
      </c>
      <c r="AE126" s="452">
        <f t="shared" si="22"/>
        <v>179.44583199128232</v>
      </c>
      <c r="AF126" s="363">
        <f t="shared" si="29"/>
        <v>-448</v>
      </c>
      <c r="AG126" s="452">
        <f t="shared" si="23"/>
        <v>475.05252804992608</v>
      </c>
      <c r="AH126" s="452">
        <f t="shared" si="31"/>
        <v>-179.44583199128232</v>
      </c>
      <c r="AI126" s="452">
        <f t="shared" si="30"/>
        <v>179.44583199128232</v>
      </c>
      <c r="AJ126" s="452">
        <f t="shared" si="24"/>
        <v>-278.77296091423887</v>
      </c>
      <c r="AK126" s="452">
        <f t="shared" si="25"/>
        <v>-169.22703908576113</v>
      </c>
      <c r="AL126" s="167">
        <f t="shared" si="12"/>
        <v>-41.610922242808904</v>
      </c>
      <c r="AM126" s="168">
        <f t="shared" si="13"/>
        <v>-59.092211587606783</v>
      </c>
      <c r="AN126" s="169">
        <f t="shared" si="26"/>
        <v>41.610922242808904</v>
      </c>
      <c r="AO126" s="169">
        <f t="shared" si="27"/>
        <v>59.092211587606783</v>
      </c>
      <c r="BB126" s="122"/>
      <c r="BC126" s="122"/>
      <c r="BD126" s="122"/>
    </row>
    <row r="127" spans="1:56" ht="20.25" hidden="1" thickBot="1" x14ac:dyDescent="0.45">
      <c r="B127" s="171">
        <v>19</v>
      </c>
      <c r="C127" s="172"/>
      <c r="D127" s="8">
        <v>20</v>
      </c>
      <c r="E127" s="369"/>
      <c r="F127" s="372"/>
      <c r="G127" s="175">
        <f t="shared" si="14"/>
        <v>20</v>
      </c>
      <c r="H127" s="176">
        <v>270.8836</v>
      </c>
      <c r="I127" s="176">
        <v>69.943711899999997</v>
      </c>
      <c r="J127" s="57">
        <f t="shared" si="15"/>
        <v>49.943711899999997</v>
      </c>
      <c r="K127" s="57">
        <f t="shared" si="3"/>
        <v>24.971855949999998</v>
      </c>
      <c r="L127" s="57">
        <f t="shared" si="4"/>
        <v>0.42217302664458256</v>
      </c>
      <c r="M127" s="57">
        <f t="shared" si="5"/>
        <v>114.35974928038044</v>
      </c>
      <c r="N127" s="57">
        <f t="shared" si="6"/>
        <v>228.71949856076088</v>
      </c>
      <c r="O127" s="57">
        <f>+C109+D110+D111+D112+D113+D114+D115+D116+D117+D118+D119+D120+D121+D122+D123+D124+D125+D126+(D127/2)</f>
        <v>360</v>
      </c>
      <c r="P127" s="57">
        <f t="shared" si="7"/>
        <v>-6.4622786288826006E-15</v>
      </c>
      <c r="Q127" s="57">
        <f t="shared" si="8"/>
        <v>-1.4780491275579499E-12</v>
      </c>
      <c r="R127" s="57">
        <f t="shared" si="16"/>
        <v>245.56017205311144</v>
      </c>
      <c r="S127" s="57">
        <f t="shared" si="28"/>
        <v>245.56017205310997</v>
      </c>
      <c r="T127" s="177">
        <f t="shared" si="9"/>
        <v>245.56017205310997</v>
      </c>
      <c r="U127" s="107"/>
      <c r="V127" s="178">
        <f t="shared" si="10"/>
        <v>0</v>
      </c>
      <c r="W127" s="160"/>
      <c r="X127" s="178">
        <f t="shared" si="17"/>
        <v>0</v>
      </c>
      <c r="Y127" s="179">
        <f>SUM(D110:D127)+$C$109</f>
        <v>370</v>
      </c>
      <c r="Z127" s="452">
        <f t="shared" si="18"/>
        <v>-303.74445159999999</v>
      </c>
      <c r="AA127" s="458">
        <f t="shared" si="11"/>
        <v>0.83152340862978191</v>
      </c>
      <c r="AB127" s="452">
        <f t="shared" si="19"/>
        <v>253.049952085283</v>
      </c>
      <c r="AC127" s="452">
        <f t="shared" si="20"/>
        <v>420.01854969999999</v>
      </c>
      <c r="AD127" s="458">
        <f t="shared" si="21"/>
        <v>0.86618723506497919</v>
      </c>
      <c r="AE127" s="452">
        <f t="shared" si="22"/>
        <v>241.7186429108506</v>
      </c>
      <c r="AF127" s="363">
        <f t="shared" si="29"/>
        <v>-476</v>
      </c>
      <c r="AG127" s="452">
        <f t="shared" si="23"/>
        <v>494.76859499613363</v>
      </c>
      <c r="AH127" s="452">
        <f t="shared" si="31"/>
        <v>-241.7186429108506</v>
      </c>
      <c r="AI127" s="452">
        <f t="shared" si="30"/>
        <v>241.7186429108506</v>
      </c>
      <c r="AJ127" s="452">
        <f t="shared" si="24"/>
        <v>-243.45073315240631</v>
      </c>
      <c r="AK127" s="452">
        <f t="shared" si="25"/>
        <v>-232.54926684759369</v>
      </c>
      <c r="AL127" s="167">
        <f t="shared" si="12"/>
        <v>-47.648244266071309</v>
      </c>
      <c r="AM127" s="168">
        <f t="shared" si="13"/>
        <v>-43.001640622473865</v>
      </c>
      <c r="AN127" s="169">
        <f t="shared" si="26"/>
        <v>47.648244266071309</v>
      </c>
      <c r="AO127" s="169">
        <f t="shared" si="27"/>
        <v>43.001640622473865</v>
      </c>
      <c r="BB127" s="122"/>
      <c r="BC127" s="122"/>
      <c r="BD127" s="122"/>
    </row>
    <row r="128" spans="1:56" ht="20.25" hidden="1" thickBot="1" x14ac:dyDescent="0.45">
      <c r="B128" s="171">
        <v>20</v>
      </c>
      <c r="C128" s="172"/>
      <c r="D128" s="8">
        <v>20</v>
      </c>
      <c r="E128" s="369"/>
      <c r="F128" s="372"/>
      <c r="G128" s="175">
        <f t="shared" si="14"/>
        <v>20</v>
      </c>
      <c r="H128" s="176">
        <v>270.8836</v>
      </c>
      <c r="I128" s="176">
        <v>69.943711899999997</v>
      </c>
      <c r="J128" s="57">
        <f t="shared" si="15"/>
        <v>49.943711899999997</v>
      </c>
      <c r="K128" s="57">
        <f t="shared" si="3"/>
        <v>24.971855949999998</v>
      </c>
      <c r="L128" s="57">
        <f t="shared" si="4"/>
        <v>0.42217302664458256</v>
      </c>
      <c r="M128" s="57">
        <f t="shared" si="5"/>
        <v>114.35974928038044</v>
      </c>
      <c r="N128" s="57">
        <f t="shared" si="6"/>
        <v>228.71949856076088</v>
      </c>
      <c r="O128" s="57">
        <f>+C109+D110+D111+D112+D113+D114+D115+D116+D117+D118+D119+D120+D121+D122+D123+D124+D125+D126+D127+(D128/2)</f>
        <v>380</v>
      </c>
      <c r="P128" s="57">
        <f t="shared" si="7"/>
        <v>0.34202014332566311</v>
      </c>
      <c r="Q128" s="57">
        <f t="shared" si="8"/>
        <v>78.226675679125236</v>
      </c>
      <c r="R128" s="57">
        <f t="shared" si="16"/>
        <v>245.56017205310997</v>
      </c>
      <c r="S128" s="57">
        <f t="shared" si="28"/>
        <v>323.78684773223517</v>
      </c>
      <c r="T128" s="177">
        <f t="shared" si="9"/>
        <v>323.78684773223517</v>
      </c>
      <c r="U128" s="107"/>
      <c r="V128" s="178">
        <f t="shared" si="10"/>
        <v>0</v>
      </c>
      <c r="W128" s="160"/>
      <c r="X128" s="178">
        <f t="shared" si="17"/>
        <v>0</v>
      </c>
      <c r="Y128" s="179">
        <f>SUM(D110:D128)+$C$109</f>
        <v>390</v>
      </c>
      <c r="Z128" s="452">
        <f t="shared" si="18"/>
        <v>-323.74445159999999</v>
      </c>
      <c r="AA128" s="458">
        <f t="shared" si="11"/>
        <v>0.59138773995112581</v>
      </c>
      <c r="AB128" s="452">
        <f t="shared" si="19"/>
        <v>179.97164927089256</v>
      </c>
      <c r="AC128" s="452">
        <f t="shared" si="20"/>
        <v>440.01854969999999</v>
      </c>
      <c r="AD128" s="458">
        <f t="shared" si="21"/>
        <v>0.98486392057685845</v>
      </c>
      <c r="AE128" s="452">
        <f t="shared" si="22"/>
        <v>274.8366181081384</v>
      </c>
      <c r="AF128" s="363">
        <f t="shared" si="29"/>
        <v>-504</v>
      </c>
      <c r="AG128" s="452">
        <f t="shared" si="23"/>
        <v>454.80826737903095</v>
      </c>
      <c r="AH128" s="452">
        <f t="shared" si="31"/>
        <v>-274.8366181081384</v>
      </c>
      <c r="AI128" s="452">
        <f t="shared" si="30"/>
        <v>274.8366181081384</v>
      </c>
      <c r="AJ128" s="452">
        <f t="shared" si="24"/>
        <v>-199.43725243881056</v>
      </c>
      <c r="AK128" s="452">
        <f t="shared" si="25"/>
        <v>-304.56274756118944</v>
      </c>
      <c r="AL128" s="167">
        <f t="shared" si="12"/>
        <v>-58.163657281424904</v>
      </c>
      <c r="AM128" s="168">
        <f t="shared" si="13"/>
        <v>-32.833956483765</v>
      </c>
      <c r="AN128" s="169">
        <f t="shared" si="26"/>
        <v>58.163657281424904</v>
      </c>
      <c r="AO128" s="169">
        <f t="shared" si="27"/>
        <v>32.833956483765</v>
      </c>
      <c r="BB128" s="122"/>
      <c r="BC128" s="122"/>
      <c r="BD128" s="122"/>
    </row>
    <row r="129" spans="42:56" ht="19.5" hidden="1" x14ac:dyDescent="0.4">
      <c r="BB129" s="122"/>
      <c r="BC129" s="122"/>
      <c r="BD129" s="122"/>
    </row>
    <row r="130" spans="42:56" ht="19.5" hidden="1" x14ac:dyDescent="0.4">
      <c r="BB130" s="122"/>
      <c r="BC130" s="122"/>
      <c r="BD130" s="122"/>
    </row>
    <row r="131" spans="42:56" ht="20.25" hidden="1" x14ac:dyDescent="0.4">
      <c r="AT131" s="75"/>
      <c r="AU131" s="75"/>
      <c r="AV131" s="185" t="s">
        <v>79</v>
      </c>
      <c r="AW131" s="75"/>
      <c r="AX131" s="75"/>
      <c r="AY131" s="75"/>
      <c r="AZ131" s="75"/>
      <c r="BA131" s="75"/>
      <c r="BB131" s="122"/>
      <c r="BC131" s="122"/>
      <c r="BD131" s="122"/>
    </row>
    <row r="132" spans="42:56" ht="20.25" hidden="1" x14ac:dyDescent="0.4">
      <c r="AT132" s="186">
        <v>1</v>
      </c>
      <c r="AU132" s="387">
        <v>0</v>
      </c>
      <c r="AV132" s="188">
        <f>+COS(($B$102*-1)*3.14159265358979/180)*AU132</f>
        <v>0</v>
      </c>
      <c r="AW132" s="189">
        <f t="shared" ref="AW132:AW154" si="32">+AV132-D$3</f>
        <v>-222.36739565985854</v>
      </c>
      <c r="AX132" s="190">
        <f t="shared" ref="AX132:AX154" si="33">ABS(AW132)</f>
        <v>222.36739565985854</v>
      </c>
      <c r="AY132" s="191">
        <f>MIN(AX132:AX156)</f>
        <v>2.6326043401414552</v>
      </c>
      <c r="AZ132" s="190" t="b">
        <f>IF(AY132=AX132,AT132)</f>
        <v>0</v>
      </c>
      <c r="BA132" s="192">
        <v>1</v>
      </c>
      <c r="BB132" s="122"/>
      <c r="BC132" s="122"/>
      <c r="BD132" s="122"/>
    </row>
    <row r="133" spans="42:56" ht="20.25" hidden="1" x14ac:dyDescent="0.4">
      <c r="AT133" s="186">
        <v>2</v>
      </c>
      <c r="AU133" s="387">
        <f>+AU132+25</f>
        <v>25</v>
      </c>
      <c r="AV133" s="17">
        <f>+AV132+$E$2</f>
        <v>25</v>
      </c>
      <c r="AW133" s="189">
        <f t="shared" si="32"/>
        <v>-197.36739565985854</v>
      </c>
      <c r="AX133" s="190">
        <f t="shared" si="33"/>
        <v>197.36739565985854</v>
      </c>
      <c r="AY133" s="190">
        <f>+AY132</f>
        <v>2.6326043401414552</v>
      </c>
      <c r="AZ133" s="190" t="b">
        <f t="shared" ref="AZ133:AZ154" si="34">IF(AY133=AX133,AT133)</f>
        <v>0</v>
      </c>
      <c r="BA133" s="192">
        <v>2</v>
      </c>
      <c r="BB133" s="122"/>
      <c r="BC133" s="122"/>
      <c r="BD133" s="122"/>
    </row>
    <row r="134" spans="42:56" ht="20.25" hidden="1" x14ac:dyDescent="0.4">
      <c r="AT134" s="186">
        <v>3</v>
      </c>
      <c r="AU134" s="387">
        <f t="shared" ref="AU134:AU154" si="35">+AU133+25</f>
        <v>50</v>
      </c>
      <c r="AV134" s="17">
        <f t="shared" ref="AV134:AV154" si="36">+AV133+$E$2</f>
        <v>50</v>
      </c>
      <c r="AW134" s="189">
        <f t="shared" si="32"/>
        <v>-172.36739565985854</v>
      </c>
      <c r="AX134" s="190">
        <f t="shared" si="33"/>
        <v>172.36739565985854</v>
      </c>
      <c r="AY134" s="190">
        <f t="shared" ref="AY134:AY154" si="37">+AY133</f>
        <v>2.6326043401414552</v>
      </c>
      <c r="AZ134" s="190" t="b">
        <f t="shared" si="34"/>
        <v>0</v>
      </c>
      <c r="BA134" s="192">
        <v>3</v>
      </c>
      <c r="BB134" s="122"/>
      <c r="BC134" s="122"/>
      <c r="BD134" s="122"/>
    </row>
    <row r="135" spans="42:56" ht="20.25" hidden="1" x14ac:dyDescent="0.4">
      <c r="AT135" s="186">
        <v>4</v>
      </c>
      <c r="AU135" s="387">
        <f t="shared" si="35"/>
        <v>75</v>
      </c>
      <c r="AV135" s="17">
        <f t="shared" si="36"/>
        <v>75</v>
      </c>
      <c r="AW135" s="189">
        <f t="shared" si="32"/>
        <v>-147.36739565985854</v>
      </c>
      <c r="AX135" s="190">
        <f t="shared" si="33"/>
        <v>147.36739565985854</v>
      </c>
      <c r="AY135" s="190">
        <f t="shared" si="37"/>
        <v>2.6326043401414552</v>
      </c>
      <c r="AZ135" s="190" t="b">
        <f t="shared" si="34"/>
        <v>0</v>
      </c>
      <c r="BA135" s="192">
        <v>4</v>
      </c>
      <c r="BB135" s="122"/>
      <c r="BC135" s="122"/>
      <c r="BD135" s="122"/>
    </row>
    <row r="136" spans="42:56" ht="20.25" hidden="1" x14ac:dyDescent="0.4">
      <c r="AT136" s="186">
        <v>5</v>
      </c>
      <c r="AU136" s="387">
        <f t="shared" si="35"/>
        <v>100</v>
      </c>
      <c r="AV136" s="17">
        <f t="shared" si="36"/>
        <v>100</v>
      </c>
      <c r="AW136" s="189">
        <f t="shared" si="32"/>
        <v>-122.36739565985854</v>
      </c>
      <c r="AX136" s="190">
        <f t="shared" si="33"/>
        <v>122.36739565985854</v>
      </c>
      <c r="AY136" s="190">
        <f t="shared" si="37"/>
        <v>2.6326043401414552</v>
      </c>
      <c r="AZ136" s="190" t="b">
        <f t="shared" si="34"/>
        <v>0</v>
      </c>
      <c r="BA136" s="192">
        <v>5</v>
      </c>
      <c r="BB136" s="122"/>
      <c r="BC136" s="122"/>
      <c r="BD136" s="122"/>
    </row>
    <row r="137" spans="42:56" ht="20.25" hidden="1" x14ac:dyDescent="0.4">
      <c r="AP137" s="107"/>
      <c r="AQ137" s="107"/>
      <c r="AR137" s="107"/>
      <c r="AS137" s="107"/>
      <c r="AT137" s="186">
        <v>6</v>
      </c>
      <c r="AU137" s="387">
        <f t="shared" si="35"/>
        <v>125</v>
      </c>
      <c r="AV137" s="17">
        <f t="shared" si="36"/>
        <v>125</v>
      </c>
      <c r="AW137" s="189">
        <f t="shared" si="32"/>
        <v>-97.367395659858545</v>
      </c>
      <c r="AX137" s="190">
        <f t="shared" si="33"/>
        <v>97.367395659858545</v>
      </c>
      <c r="AY137" s="190">
        <f t="shared" si="37"/>
        <v>2.6326043401414552</v>
      </c>
      <c r="AZ137" s="190" t="b">
        <f t="shared" si="34"/>
        <v>0</v>
      </c>
      <c r="BA137" s="192">
        <v>6</v>
      </c>
    </row>
    <row r="138" spans="42:56" ht="20.25" hidden="1" x14ac:dyDescent="0.4">
      <c r="AP138" s="107"/>
      <c r="AQ138" s="107"/>
      <c r="AR138" s="107"/>
      <c r="AS138" s="107"/>
      <c r="AT138" s="186">
        <v>7</v>
      </c>
      <c r="AU138" s="387">
        <f t="shared" si="35"/>
        <v>150</v>
      </c>
      <c r="AV138" s="17">
        <f t="shared" si="36"/>
        <v>150</v>
      </c>
      <c r="AW138" s="189">
        <f t="shared" si="32"/>
        <v>-72.367395659858545</v>
      </c>
      <c r="AX138" s="190">
        <f t="shared" si="33"/>
        <v>72.367395659858545</v>
      </c>
      <c r="AY138" s="190">
        <f t="shared" si="37"/>
        <v>2.6326043401414552</v>
      </c>
      <c r="AZ138" s="190" t="b">
        <f t="shared" si="34"/>
        <v>0</v>
      </c>
      <c r="BA138" s="192">
        <v>7</v>
      </c>
    </row>
    <row r="139" spans="42:56" ht="20.25" hidden="1" x14ac:dyDescent="0.4">
      <c r="AP139" s="107"/>
      <c r="AQ139" s="107"/>
      <c r="AR139" s="107"/>
      <c r="AS139" s="107"/>
      <c r="AT139" s="186">
        <v>8</v>
      </c>
      <c r="AU139" s="387">
        <f t="shared" si="35"/>
        <v>175</v>
      </c>
      <c r="AV139" s="17">
        <f t="shared" si="36"/>
        <v>175</v>
      </c>
      <c r="AW139" s="189">
        <f t="shared" si="32"/>
        <v>-47.367395659858545</v>
      </c>
      <c r="AX139" s="190">
        <f t="shared" si="33"/>
        <v>47.367395659858545</v>
      </c>
      <c r="AY139" s="190">
        <f t="shared" si="37"/>
        <v>2.6326043401414552</v>
      </c>
      <c r="AZ139" s="190" t="b">
        <f t="shared" si="34"/>
        <v>0</v>
      </c>
      <c r="BA139" s="192">
        <v>8</v>
      </c>
    </row>
    <row r="140" spans="42:56" ht="20.25" hidden="1" x14ac:dyDescent="0.4">
      <c r="AP140" s="107"/>
      <c r="AQ140" s="107"/>
      <c r="AR140" s="107"/>
      <c r="AS140" s="107"/>
      <c r="AT140" s="186">
        <v>9</v>
      </c>
      <c r="AU140" s="387">
        <f t="shared" si="35"/>
        <v>200</v>
      </c>
      <c r="AV140" s="17">
        <f t="shared" si="36"/>
        <v>200</v>
      </c>
      <c r="AW140" s="189">
        <f t="shared" si="32"/>
        <v>-22.367395659858545</v>
      </c>
      <c r="AX140" s="190">
        <f t="shared" si="33"/>
        <v>22.367395659858545</v>
      </c>
      <c r="AY140" s="190">
        <f t="shared" si="37"/>
        <v>2.6326043401414552</v>
      </c>
      <c r="AZ140" s="190" t="b">
        <f t="shared" si="34"/>
        <v>0</v>
      </c>
      <c r="BA140" s="192">
        <v>9</v>
      </c>
    </row>
    <row r="141" spans="42:56" ht="20.25" hidden="1" x14ac:dyDescent="0.4">
      <c r="AP141" s="107"/>
      <c r="AQ141" s="107"/>
      <c r="AR141" s="107"/>
      <c r="AS141" s="107"/>
      <c r="AT141" s="186">
        <v>10</v>
      </c>
      <c r="AU141" s="387">
        <f t="shared" si="35"/>
        <v>225</v>
      </c>
      <c r="AV141" s="17">
        <f t="shared" si="36"/>
        <v>225</v>
      </c>
      <c r="AW141" s="189">
        <f t="shared" si="32"/>
        <v>2.6326043401414552</v>
      </c>
      <c r="AX141" s="190">
        <f t="shared" si="33"/>
        <v>2.6326043401414552</v>
      </c>
      <c r="AY141" s="190">
        <f t="shared" si="37"/>
        <v>2.6326043401414552</v>
      </c>
      <c r="AZ141" s="190">
        <f t="shared" si="34"/>
        <v>10</v>
      </c>
      <c r="BA141" s="192">
        <v>10</v>
      </c>
    </row>
    <row r="142" spans="42:56" ht="20.25" hidden="1" x14ac:dyDescent="0.4">
      <c r="AP142" s="107"/>
      <c r="AQ142" s="107"/>
      <c r="AR142" s="107"/>
      <c r="AS142" s="107"/>
      <c r="AT142" s="186">
        <v>11</v>
      </c>
      <c r="AU142" s="387">
        <f t="shared" si="35"/>
        <v>250</v>
      </c>
      <c r="AV142" s="17">
        <f t="shared" si="36"/>
        <v>250</v>
      </c>
      <c r="AW142" s="189">
        <f t="shared" si="32"/>
        <v>27.632604340141455</v>
      </c>
      <c r="AX142" s="190">
        <f t="shared" si="33"/>
        <v>27.632604340141455</v>
      </c>
      <c r="AY142" s="190">
        <f t="shared" si="37"/>
        <v>2.6326043401414552</v>
      </c>
      <c r="AZ142" s="190" t="b">
        <f t="shared" si="34"/>
        <v>0</v>
      </c>
      <c r="BA142" s="192">
        <v>11</v>
      </c>
    </row>
    <row r="143" spans="42:56" ht="20.25" hidden="1" x14ac:dyDescent="0.4">
      <c r="AP143" s="107"/>
      <c r="AQ143" s="107"/>
      <c r="AR143" s="107"/>
      <c r="AS143" s="107"/>
      <c r="AT143" s="186">
        <v>12</v>
      </c>
      <c r="AU143" s="387">
        <f t="shared" si="35"/>
        <v>275</v>
      </c>
      <c r="AV143" s="17">
        <f t="shared" si="36"/>
        <v>275</v>
      </c>
      <c r="AW143" s="189">
        <f t="shared" si="32"/>
        <v>52.632604340141455</v>
      </c>
      <c r="AX143" s="190">
        <f t="shared" si="33"/>
        <v>52.632604340141455</v>
      </c>
      <c r="AY143" s="190">
        <f t="shared" si="37"/>
        <v>2.6326043401414552</v>
      </c>
      <c r="AZ143" s="190" t="b">
        <f t="shared" si="34"/>
        <v>0</v>
      </c>
      <c r="BA143" s="192">
        <v>12</v>
      </c>
    </row>
    <row r="144" spans="42:56" ht="20.25" hidden="1" x14ac:dyDescent="0.4">
      <c r="AP144" s="107"/>
      <c r="AQ144" s="107"/>
      <c r="AR144" s="107"/>
      <c r="AS144" s="107"/>
      <c r="AT144" s="186">
        <v>13</v>
      </c>
      <c r="AU144" s="387">
        <f t="shared" si="35"/>
        <v>300</v>
      </c>
      <c r="AV144" s="17">
        <f t="shared" si="36"/>
        <v>300</v>
      </c>
      <c r="AW144" s="189">
        <f t="shared" si="32"/>
        <v>77.632604340141455</v>
      </c>
      <c r="AX144" s="190">
        <f t="shared" si="33"/>
        <v>77.632604340141455</v>
      </c>
      <c r="AY144" s="190">
        <f t="shared" si="37"/>
        <v>2.6326043401414552</v>
      </c>
      <c r="AZ144" s="190" t="b">
        <f t="shared" si="34"/>
        <v>0</v>
      </c>
      <c r="BA144" s="192">
        <v>13</v>
      </c>
    </row>
    <row r="145" spans="42:72" ht="20.25" hidden="1" x14ac:dyDescent="0.4">
      <c r="AP145" s="107"/>
      <c r="AQ145" s="107"/>
      <c r="AR145" s="107"/>
      <c r="AS145" s="107"/>
      <c r="AT145" s="186">
        <v>14</v>
      </c>
      <c r="AU145" s="387">
        <f t="shared" si="35"/>
        <v>325</v>
      </c>
      <c r="AV145" s="17">
        <f t="shared" si="36"/>
        <v>325</v>
      </c>
      <c r="AW145" s="189">
        <f t="shared" si="32"/>
        <v>102.63260434014146</v>
      </c>
      <c r="AX145" s="190">
        <f t="shared" si="33"/>
        <v>102.63260434014146</v>
      </c>
      <c r="AY145" s="190">
        <f t="shared" si="37"/>
        <v>2.6326043401414552</v>
      </c>
      <c r="AZ145" s="190" t="b">
        <f t="shared" si="34"/>
        <v>0</v>
      </c>
      <c r="BA145" s="192">
        <v>14</v>
      </c>
    </row>
    <row r="146" spans="42:72" ht="20.25" hidden="1" x14ac:dyDescent="0.4">
      <c r="AT146" s="186">
        <v>15</v>
      </c>
      <c r="AU146" s="387">
        <f t="shared" si="35"/>
        <v>350</v>
      </c>
      <c r="AV146" s="17">
        <f t="shared" si="36"/>
        <v>350</v>
      </c>
      <c r="AW146" s="189">
        <f t="shared" si="32"/>
        <v>127.63260434014146</v>
      </c>
      <c r="AX146" s="190">
        <f t="shared" si="33"/>
        <v>127.63260434014146</v>
      </c>
      <c r="AY146" s="190">
        <f t="shared" si="37"/>
        <v>2.6326043401414552</v>
      </c>
      <c r="AZ146" s="190" t="b">
        <f t="shared" si="34"/>
        <v>0</v>
      </c>
      <c r="BA146" s="192">
        <v>15</v>
      </c>
    </row>
    <row r="147" spans="42:72" ht="20.25" hidden="1" x14ac:dyDescent="0.4">
      <c r="AT147" s="186">
        <v>16</v>
      </c>
      <c r="AU147" s="387">
        <f t="shared" si="35"/>
        <v>375</v>
      </c>
      <c r="AV147" s="17">
        <f t="shared" si="36"/>
        <v>375</v>
      </c>
      <c r="AW147" s="189">
        <f t="shared" si="32"/>
        <v>152.63260434014146</v>
      </c>
      <c r="AX147" s="190">
        <f t="shared" si="33"/>
        <v>152.63260434014146</v>
      </c>
      <c r="AY147" s="190">
        <f t="shared" si="37"/>
        <v>2.6326043401414552</v>
      </c>
      <c r="AZ147" s="190" t="b">
        <f t="shared" si="34"/>
        <v>0</v>
      </c>
      <c r="BA147" s="192">
        <v>16</v>
      </c>
    </row>
    <row r="148" spans="42:72" ht="20.25" hidden="1" x14ac:dyDescent="0.4">
      <c r="AT148" s="186">
        <v>17</v>
      </c>
      <c r="AU148" s="387">
        <f t="shared" si="35"/>
        <v>400</v>
      </c>
      <c r="AV148" s="17">
        <f t="shared" si="36"/>
        <v>400</v>
      </c>
      <c r="AW148" s="189">
        <f t="shared" si="32"/>
        <v>177.63260434014146</v>
      </c>
      <c r="AX148" s="190">
        <f t="shared" si="33"/>
        <v>177.63260434014146</v>
      </c>
      <c r="AY148" s="190">
        <f t="shared" si="37"/>
        <v>2.6326043401414552</v>
      </c>
      <c r="AZ148" s="190" t="b">
        <f t="shared" si="34"/>
        <v>0</v>
      </c>
      <c r="BA148" s="192">
        <v>17</v>
      </c>
    </row>
    <row r="149" spans="42:72" ht="20.25" hidden="1" x14ac:dyDescent="0.4">
      <c r="AT149" s="186">
        <v>18</v>
      </c>
      <c r="AU149" s="387">
        <f t="shared" si="35"/>
        <v>425</v>
      </c>
      <c r="AV149" s="17">
        <f t="shared" si="36"/>
        <v>425</v>
      </c>
      <c r="AW149" s="189">
        <f t="shared" si="32"/>
        <v>202.63260434014146</v>
      </c>
      <c r="AX149" s="190">
        <f t="shared" si="33"/>
        <v>202.63260434014146</v>
      </c>
      <c r="AY149" s="190">
        <f t="shared" si="37"/>
        <v>2.6326043401414552</v>
      </c>
      <c r="AZ149" s="190" t="b">
        <f t="shared" si="34"/>
        <v>0</v>
      </c>
      <c r="BA149" s="192">
        <v>18</v>
      </c>
      <c r="BE149" s="193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</row>
    <row r="150" spans="42:72" ht="20.25" hidden="1" x14ac:dyDescent="0.4">
      <c r="AT150" s="186">
        <v>19</v>
      </c>
      <c r="AU150" s="387">
        <f t="shared" si="35"/>
        <v>450</v>
      </c>
      <c r="AV150" s="17">
        <f t="shared" si="36"/>
        <v>450</v>
      </c>
      <c r="AW150" s="189">
        <f t="shared" si="32"/>
        <v>227.63260434014146</v>
      </c>
      <c r="AX150" s="190">
        <f t="shared" si="33"/>
        <v>227.63260434014146</v>
      </c>
      <c r="AY150" s="190">
        <f t="shared" si="37"/>
        <v>2.6326043401414552</v>
      </c>
      <c r="AZ150" s="190" t="b">
        <f t="shared" si="34"/>
        <v>0</v>
      </c>
      <c r="BA150" s="192">
        <v>19</v>
      </c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94"/>
      <c r="BO150" s="107"/>
      <c r="BP150" s="107"/>
      <c r="BQ150" s="107"/>
      <c r="BR150" s="107"/>
      <c r="BS150" s="107"/>
      <c r="BT150" s="107"/>
    </row>
    <row r="151" spans="42:72" ht="20.25" hidden="1" x14ac:dyDescent="0.4">
      <c r="AT151" s="186">
        <v>20</v>
      </c>
      <c r="AU151" s="387">
        <f t="shared" si="35"/>
        <v>475</v>
      </c>
      <c r="AV151" s="17">
        <f t="shared" si="36"/>
        <v>475</v>
      </c>
      <c r="AW151" s="189">
        <f t="shared" si="32"/>
        <v>252.63260434014146</v>
      </c>
      <c r="AX151" s="190">
        <f t="shared" si="33"/>
        <v>252.63260434014146</v>
      </c>
      <c r="AY151" s="190">
        <f t="shared" si="37"/>
        <v>2.6326043401414552</v>
      </c>
      <c r="AZ151" s="190" t="b">
        <f t="shared" si="34"/>
        <v>0</v>
      </c>
      <c r="BA151" s="192">
        <v>20</v>
      </c>
      <c r="BE151" s="195"/>
      <c r="BF151" s="107"/>
      <c r="BG151" s="107"/>
      <c r="BH151" s="107"/>
      <c r="BI151" s="107"/>
      <c r="BJ151" s="107"/>
      <c r="BK151" s="107"/>
      <c r="BL151" s="107"/>
      <c r="BM151" s="503"/>
      <c r="BN151" s="503"/>
      <c r="BO151" s="107"/>
      <c r="BP151" s="107"/>
      <c r="BQ151" s="107"/>
      <c r="BR151" s="107"/>
      <c r="BS151" s="107"/>
      <c r="BT151" s="107"/>
    </row>
    <row r="152" spans="42:72" ht="20.25" hidden="1" x14ac:dyDescent="0.4">
      <c r="AT152" s="186">
        <v>21</v>
      </c>
      <c r="AU152" s="387">
        <f t="shared" si="35"/>
        <v>500</v>
      </c>
      <c r="AV152" s="17">
        <f t="shared" si="36"/>
        <v>500</v>
      </c>
      <c r="AW152" s="189">
        <f t="shared" si="32"/>
        <v>277.63260434014148</v>
      </c>
      <c r="AX152" s="190">
        <f t="shared" si="33"/>
        <v>277.63260434014148</v>
      </c>
      <c r="AY152" s="190">
        <f t="shared" si="37"/>
        <v>2.6326043401414552</v>
      </c>
      <c r="AZ152" s="190" t="b">
        <f t="shared" si="34"/>
        <v>0</v>
      </c>
      <c r="BA152" s="192">
        <v>21</v>
      </c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</row>
    <row r="153" spans="42:72" ht="20.25" hidden="1" x14ac:dyDescent="0.4">
      <c r="AT153" s="186">
        <v>22</v>
      </c>
      <c r="AU153" s="387">
        <f t="shared" si="35"/>
        <v>525</v>
      </c>
      <c r="AV153" s="17">
        <f t="shared" si="36"/>
        <v>525</v>
      </c>
      <c r="AW153" s="189">
        <f t="shared" si="32"/>
        <v>302.63260434014148</v>
      </c>
      <c r="AX153" s="190">
        <f t="shared" si="33"/>
        <v>302.63260434014148</v>
      </c>
      <c r="AY153" s="190">
        <f t="shared" si="37"/>
        <v>2.6326043401414552</v>
      </c>
      <c r="AZ153" s="190" t="b">
        <f t="shared" si="34"/>
        <v>0</v>
      </c>
      <c r="BA153" s="192">
        <v>22</v>
      </c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</row>
    <row r="154" spans="42:72" ht="20.25" hidden="1" x14ac:dyDescent="0.4">
      <c r="AT154" s="186">
        <v>23</v>
      </c>
      <c r="AU154" s="387">
        <f t="shared" si="35"/>
        <v>550</v>
      </c>
      <c r="AV154" s="17">
        <f t="shared" si="36"/>
        <v>550</v>
      </c>
      <c r="AW154" s="189">
        <f t="shared" si="32"/>
        <v>327.63260434014148</v>
      </c>
      <c r="AX154" s="190">
        <f t="shared" si="33"/>
        <v>327.63260434014148</v>
      </c>
      <c r="AY154" s="190">
        <f t="shared" si="37"/>
        <v>2.6326043401414552</v>
      </c>
      <c r="AZ154" s="190" t="b">
        <f t="shared" si="34"/>
        <v>0</v>
      </c>
      <c r="BA154" s="192">
        <v>23</v>
      </c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</row>
    <row r="155" spans="42:72" ht="20.25" hidden="1" x14ac:dyDescent="0.4">
      <c r="AT155" s="186"/>
      <c r="AU155" s="187"/>
      <c r="AV155" s="17"/>
      <c r="AW155" s="189"/>
      <c r="AX155" s="190"/>
      <c r="AY155" s="190"/>
      <c r="AZ155" s="190"/>
      <c r="BA155" s="192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</row>
    <row r="156" spans="42:72" hidden="1" x14ac:dyDescent="0.25"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</row>
    <row r="157" spans="42:72" hidden="1" x14ac:dyDescent="0.25"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</row>
    <row r="158" spans="42:72" hidden="1" x14ac:dyDescent="0.25"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</row>
    <row r="159" spans="42:72" hidden="1" x14ac:dyDescent="0.25"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</row>
    <row r="160" spans="42:72" hidden="1" x14ac:dyDescent="0.25"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</row>
    <row r="161" spans="57:72" hidden="1" x14ac:dyDescent="0.25"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</row>
    <row r="162" spans="57:72" hidden="1" x14ac:dyDescent="0.25"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</row>
    <row r="163" spans="57:72" hidden="1" x14ac:dyDescent="0.25"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</row>
    <row r="164" spans="57:72" hidden="1" x14ac:dyDescent="0.25">
      <c r="BE164" s="107"/>
      <c r="BF164" s="53"/>
      <c r="BG164" s="53"/>
      <c r="BH164" s="53"/>
      <c r="BI164" s="53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</row>
    <row r="165" spans="57:72" hidden="1" x14ac:dyDescent="0.25">
      <c r="BE165" s="107"/>
      <c r="BF165" s="53"/>
      <c r="BG165" s="53"/>
      <c r="BH165" s="53"/>
      <c r="BI165" s="53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</row>
    <row r="166" spans="57:72" hidden="1" x14ac:dyDescent="0.25">
      <c r="BE166" s="107"/>
      <c r="BF166" s="53"/>
      <c r="BG166" s="53"/>
      <c r="BH166" s="53"/>
      <c r="BI166" s="53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</row>
    <row r="167" spans="57:72" hidden="1" x14ac:dyDescent="0.25">
      <c r="BE167" s="107"/>
      <c r="BF167" s="53"/>
      <c r="BG167" s="53"/>
      <c r="BH167" s="53"/>
      <c r="BI167" s="53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</row>
    <row r="168" spans="57:72" x14ac:dyDescent="0.25">
      <c r="BE168" s="108"/>
      <c r="BF168" s="53"/>
      <c r="BG168" s="53"/>
      <c r="BH168" s="53"/>
      <c r="BI168" s="53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</row>
    <row r="169" spans="57:72" x14ac:dyDescent="0.25">
      <c r="BE169" s="108"/>
      <c r="BF169" s="53"/>
      <c r="BG169" s="53"/>
      <c r="BH169" s="53"/>
      <c r="BI169" s="53"/>
      <c r="BJ169" s="107"/>
      <c r="BK169" s="107"/>
      <c r="BL169" s="107"/>
      <c r="BM169" s="107"/>
      <c r="BN169" s="107"/>
      <c r="BO169" s="107"/>
      <c r="BP169" s="107"/>
      <c r="BQ169" s="107"/>
      <c r="BR169" s="107"/>
      <c r="BS169" s="107"/>
      <c r="BT169" s="107"/>
    </row>
    <row r="170" spans="57:72" x14ac:dyDescent="0.25">
      <c r="BE170" s="108"/>
      <c r="BF170" s="198"/>
      <c r="BG170" s="198"/>
      <c r="BH170" s="198"/>
      <c r="BI170" s="198"/>
      <c r="BJ170" s="198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07"/>
    </row>
    <row r="171" spans="57:72" x14ac:dyDescent="0.25">
      <c r="BE171" s="108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</row>
    <row r="172" spans="57:72" x14ac:dyDescent="0.25">
      <c r="BE172" s="199"/>
      <c r="BF172" s="200"/>
      <c r="BG172" s="200"/>
      <c r="BH172" s="200"/>
      <c r="BI172" s="200"/>
      <c r="BJ172" s="200"/>
      <c r="BK172" s="200"/>
      <c r="BL172" s="200"/>
      <c r="BM172" s="200"/>
      <c r="BN172" s="200"/>
      <c r="BO172" s="200"/>
      <c r="BP172" s="200"/>
      <c r="BQ172" s="200"/>
      <c r="BR172" s="200"/>
      <c r="BS172" s="200"/>
      <c r="BT172" s="107"/>
    </row>
    <row r="173" spans="57:72" x14ac:dyDescent="0.25">
      <c r="BE173" s="108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7"/>
    </row>
    <row r="174" spans="57:72" x14ac:dyDescent="0.25"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</row>
    <row r="175" spans="57:72" x14ac:dyDescent="0.25">
      <c r="BE175" s="107"/>
      <c r="BF175" s="108"/>
      <c r="BG175" s="201"/>
      <c r="BH175" s="201"/>
      <c r="BI175" s="201"/>
      <c r="BJ175" s="108"/>
      <c r="BK175" s="108"/>
      <c r="BL175" s="108"/>
      <c r="BM175" s="108"/>
      <c r="BN175" s="108"/>
      <c r="BO175" s="108"/>
      <c r="BP175" s="108"/>
      <c r="BQ175" s="108"/>
      <c r="BR175" s="108"/>
      <c r="BS175" s="108"/>
      <c r="BT175" s="107"/>
    </row>
    <row r="176" spans="57:72" x14ac:dyDescent="0.25">
      <c r="BE176" s="107"/>
      <c r="BF176" s="201"/>
      <c r="BG176" s="201"/>
      <c r="BH176" s="201"/>
      <c r="BI176" s="201"/>
      <c r="BJ176" s="107"/>
      <c r="BK176" s="107"/>
      <c r="BL176" s="107"/>
      <c r="BM176" s="107"/>
      <c r="BN176" s="201"/>
      <c r="BO176" s="201"/>
      <c r="BP176" s="201"/>
      <c r="BQ176" s="201"/>
      <c r="BR176" s="201"/>
      <c r="BS176" s="201"/>
      <c r="BT176" s="107"/>
    </row>
    <row r="177" spans="57:72" x14ac:dyDescent="0.25"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  <c r="BP177" s="107"/>
      <c r="BQ177" s="107"/>
      <c r="BR177" s="107"/>
      <c r="BS177" s="107"/>
      <c r="BT177" s="107"/>
    </row>
    <row r="178" spans="57:72" x14ac:dyDescent="0.25">
      <c r="BE178" s="107"/>
      <c r="BF178" s="107"/>
      <c r="BG178" s="107"/>
      <c r="BH178" s="107"/>
      <c r="BI178" s="107"/>
      <c r="BJ178" s="107"/>
      <c r="BK178" s="107"/>
      <c r="BL178" s="107"/>
      <c r="BM178" s="107"/>
      <c r="BN178" s="107"/>
      <c r="BO178" s="107"/>
      <c r="BP178" s="107"/>
      <c r="BQ178" s="107"/>
      <c r="BR178" s="107"/>
      <c r="BS178" s="107"/>
      <c r="BT178" s="107"/>
    </row>
  </sheetData>
  <sheetProtection password="CC22" sheet="1" objects="1" scenarios="1" selectLockedCells="1"/>
  <protectedRanges>
    <protectedRange sqref="B102 B106" name="Range1"/>
  </protectedRanges>
  <mergeCells count="12">
    <mergeCell ref="CB57:CC57"/>
    <mergeCell ref="B33:E33"/>
    <mergeCell ref="BG57:BH57"/>
    <mergeCell ref="BF56:BF57"/>
    <mergeCell ref="BM151:BN151"/>
    <mergeCell ref="BI54:BJ54"/>
    <mergeCell ref="AR51:AS51"/>
    <mergeCell ref="B104:B105"/>
    <mergeCell ref="AN106:AO106"/>
    <mergeCell ref="D99:D100"/>
    <mergeCell ref="B99:B101"/>
    <mergeCell ref="D101:D102"/>
  </mergeCells>
  <phoneticPr fontId="2" type="noConversion"/>
  <conditionalFormatting sqref="D99 D101">
    <cfRule type="cellIs" dxfId="169" priority="51" stopIfTrue="1" operator="equal">
      <formula>"change the angle of frame"</formula>
    </cfRule>
  </conditionalFormatting>
  <conditionalFormatting sqref="B110:G110 I110:AO110">
    <cfRule type="expression" dxfId="168" priority="46">
      <formula>$B$106&lt;2</formula>
    </cfRule>
  </conditionalFormatting>
  <conditionalFormatting sqref="B111:F111 I111:AE111 AG111:AO111">
    <cfRule type="expression" dxfId="167" priority="45">
      <formula>$B$106&lt;3</formula>
    </cfRule>
  </conditionalFormatting>
  <conditionalFormatting sqref="B112:F112 I112:AE112 AG112:AO112">
    <cfRule type="expression" dxfId="166" priority="44">
      <formula>$B$106&lt;4</formula>
    </cfRule>
  </conditionalFormatting>
  <conditionalFormatting sqref="B113:F113 I113:AE113 AG113:AO113">
    <cfRule type="expression" dxfId="165" priority="43">
      <formula>$B$106&lt;5</formula>
    </cfRule>
  </conditionalFormatting>
  <conditionalFormatting sqref="B114:F114 I114:AE114 AG114:AO114">
    <cfRule type="expression" dxfId="164" priority="42">
      <formula>$B$106&lt;6</formula>
    </cfRule>
  </conditionalFormatting>
  <conditionalFormatting sqref="B115:F115 I115:AE115 AG115:AO115">
    <cfRule type="expression" dxfId="163" priority="41">
      <formula>$B$106&lt;7</formula>
    </cfRule>
  </conditionalFormatting>
  <conditionalFormatting sqref="B116:F116 I116:AE116 AG116:AO116">
    <cfRule type="expression" dxfId="162" priority="40">
      <formula>$B$106&lt;8</formula>
    </cfRule>
  </conditionalFormatting>
  <conditionalFormatting sqref="B117:F117 I117:AE117 AG117:AO117">
    <cfRule type="expression" dxfId="161" priority="39">
      <formula>$B$106&lt;9</formula>
    </cfRule>
  </conditionalFormatting>
  <conditionalFormatting sqref="B118:F118 I118:AE118 AG118:AO118">
    <cfRule type="expression" dxfId="160" priority="38">
      <formula>$B$106&lt;10</formula>
    </cfRule>
  </conditionalFormatting>
  <conditionalFormatting sqref="B119:F119 I119:AE119 AG119:AO119">
    <cfRule type="expression" dxfId="159" priority="37">
      <formula>$B$106&lt;11</formula>
    </cfRule>
  </conditionalFormatting>
  <conditionalFormatting sqref="B120:F120 I120:AE120 AG120:AO120">
    <cfRule type="expression" dxfId="158" priority="36">
      <formula>$B$106&lt;12</formula>
    </cfRule>
  </conditionalFormatting>
  <conditionalFormatting sqref="B121:F121 I121:AE121 AG121:AO121">
    <cfRule type="expression" dxfId="157" priority="35">
      <formula>$B$106&lt;13</formula>
    </cfRule>
  </conditionalFormatting>
  <conditionalFormatting sqref="B122:F122 I122:AE122 AG122:AO122">
    <cfRule type="expression" dxfId="156" priority="34">
      <formula>$B$106&lt;14</formula>
    </cfRule>
  </conditionalFormatting>
  <conditionalFormatting sqref="B123:F123 I123:AE123 AG123:AO123">
    <cfRule type="expression" dxfId="155" priority="33">
      <formula>$B$106&lt;15</formula>
    </cfRule>
  </conditionalFormatting>
  <conditionalFormatting sqref="B124:F124 I124:AE124 AG124:AO124">
    <cfRule type="expression" dxfId="154" priority="32">
      <formula>$B$106&lt;16</formula>
    </cfRule>
  </conditionalFormatting>
  <conditionalFormatting sqref="B125:F125 I125:AE125 AG125:AO125">
    <cfRule type="expression" dxfId="153" priority="31">
      <formula>$B$106&lt;17</formula>
    </cfRule>
  </conditionalFormatting>
  <conditionalFormatting sqref="B126:F126 I126:AE126 AG126:AO126">
    <cfRule type="expression" dxfId="152" priority="30">
      <formula>$B$106&lt;18</formula>
    </cfRule>
  </conditionalFormatting>
  <conditionalFormatting sqref="B127:F127 I127:AE127 AG127:AO127">
    <cfRule type="expression" dxfId="151" priority="29">
      <formula>$B$106&lt;19</formula>
    </cfRule>
  </conditionalFormatting>
  <conditionalFormatting sqref="B128:F128 I128:AE128 AG128:AO128">
    <cfRule type="expression" dxfId="150" priority="27">
      <formula>$B$106&lt;20</formula>
    </cfRule>
  </conditionalFormatting>
  <conditionalFormatting sqref="D109:D128">
    <cfRule type="cellIs" dxfId="149" priority="48" operator="notEqual">
      <formula>0</formula>
    </cfRule>
  </conditionalFormatting>
  <conditionalFormatting sqref="AN109:AO128">
    <cfRule type="cellIs" dxfId="148" priority="47" operator="lessThan">
      <formula>10</formula>
    </cfRule>
  </conditionalFormatting>
  <conditionalFormatting sqref="H111:H128">
    <cfRule type="expression" dxfId="147" priority="14">
      <formula>$B$106&lt;3</formula>
    </cfRule>
  </conditionalFormatting>
  <conditionalFormatting sqref="D111">
    <cfRule type="expression" dxfId="146" priority="13">
      <formula>$B$106&lt;2</formula>
    </cfRule>
  </conditionalFormatting>
  <conditionalFormatting sqref="D112:D128">
    <cfRule type="expression" dxfId="145" priority="9">
      <formula>$B$106&lt;2</formula>
    </cfRule>
  </conditionalFormatting>
  <conditionalFormatting sqref="D112:D128">
    <cfRule type="expression" dxfId="144" priority="10">
      <formula>$B$106&lt;3</formula>
    </cfRule>
  </conditionalFormatting>
  <conditionalFormatting sqref="G111">
    <cfRule type="expression" dxfId="143" priority="6">
      <formula>$B$106&lt;2</formula>
    </cfRule>
  </conditionalFormatting>
  <conditionalFormatting sqref="G112:G128">
    <cfRule type="expression" dxfId="142" priority="4">
      <formula>$B$106&lt;2</formula>
    </cfRule>
  </conditionalFormatting>
  <conditionalFormatting sqref="BG82:CC82">
    <cfRule type="cellIs" dxfId="141" priority="442" operator="equal">
      <formula>0</formula>
    </cfRule>
    <cfRule type="expression" dxfId="140" priority="443">
      <formula>$B$102=0</formula>
    </cfRule>
  </conditionalFormatting>
  <conditionalFormatting sqref="AF111:AF128">
    <cfRule type="expression" dxfId="139" priority="1">
      <formula>$B$106&lt;2</formula>
    </cfRule>
  </conditionalFormatting>
  <dataValidations count="4">
    <dataValidation type="whole" allowBlank="1" showInputMessage="1" showErrorMessage="1" errorTitle="Coda Audio" error="YOU HAVE ENTERED A WRONG NUMBER OF CABINETS" promptTitle="Coda Audio" prompt="ENTER THE NUMBER OF CABINETS FROM 1 UP TO 6" sqref="B106">
      <formula1>1</formula1>
      <formula2>6</formula2>
    </dataValidation>
    <dataValidation type="decimal" allowBlank="1" showInputMessage="1" showErrorMessage="1" sqref="G109">
      <formula1>0</formula1>
      <formula2>4</formula2>
    </dataValidation>
    <dataValidation type="decimal" allowBlank="1" showInputMessage="1" showErrorMessage="1" sqref="G110:G128">
      <formula1>0</formula1>
      <formula2>8</formula2>
    </dataValidation>
    <dataValidation type="decimal" allowBlank="1" showInputMessage="1" showErrorMessage="1" sqref="B102:B103">
      <formula1>-89.9</formula1>
      <formula2>89.9</formula2>
    </dataValidation>
  </dataValidations>
  <pageMargins left="0.75" right="0.75" top="1" bottom="1" header="0.5" footer="0.5"/>
  <pageSetup paperSize="9" orientation="portrait" horizontalDpi="4294967293" verticalDpi="200" r:id="rId1"/>
  <headerFooter alignWithMargins="0"/>
  <ignoredErrors>
    <ignoredError sqref="BC52:BD52 BC55:BD55" unlockedFormula="1"/>
    <ignoredError sqref="BL82 BN82 BV82 BX8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CP212"/>
  <sheetViews>
    <sheetView topLeftCell="A14" zoomScale="50" zoomScaleNormal="50" workbookViewId="0">
      <selection activeCell="B59" sqref="B59"/>
    </sheetView>
  </sheetViews>
  <sheetFormatPr baseColWidth="10" defaultColWidth="9.140625" defaultRowHeight="15.75" x14ac:dyDescent="0.25"/>
  <cols>
    <col min="1" max="1" width="2.7109375" style="14" customWidth="1"/>
    <col min="2" max="2" width="37.7109375" style="11" customWidth="1"/>
    <col min="3" max="3" width="23.5703125" style="14" hidden="1" customWidth="1"/>
    <col min="4" max="4" width="33.42578125" style="14" customWidth="1"/>
    <col min="5" max="5" width="26.5703125" style="14" hidden="1" customWidth="1"/>
    <col min="6" max="6" width="17.140625" style="14" hidden="1" customWidth="1"/>
    <col min="7" max="9" width="15.42578125" style="14" hidden="1" customWidth="1"/>
    <col min="10" max="10" width="13.85546875" style="14" hidden="1" customWidth="1"/>
    <col min="11" max="13" width="15.5703125" style="14" hidden="1" customWidth="1"/>
    <col min="14" max="14" width="7" style="14" hidden="1" customWidth="1"/>
    <col min="15" max="15" width="18" style="14" hidden="1" customWidth="1"/>
    <col min="16" max="18" width="19.7109375" style="14" hidden="1" customWidth="1"/>
    <col min="19" max="19" width="32.7109375" style="14" hidden="1" customWidth="1"/>
    <col min="20" max="24" width="30.28515625" style="14" hidden="1" customWidth="1"/>
    <col min="25" max="31" width="20.42578125" style="14" hidden="1" customWidth="1"/>
    <col min="32" max="39" width="30.28515625" style="14" hidden="1" customWidth="1"/>
    <col min="40" max="41" width="10.7109375" style="14" hidden="1" customWidth="1"/>
    <col min="42" max="42" width="6.7109375" style="14" hidden="1" customWidth="1"/>
    <col min="43" max="43" width="4.7109375" style="14" hidden="1" customWidth="1"/>
    <col min="44" max="44" width="6.42578125" style="14" hidden="1" customWidth="1"/>
    <col min="45" max="45" width="25.42578125" style="14" hidden="1" customWidth="1"/>
    <col min="46" max="46" width="16.28515625" style="14" hidden="1" customWidth="1"/>
    <col min="47" max="48" width="15.5703125" style="14" hidden="1" customWidth="1"/>
    <col min="49" max="49" width="8.7109375" style="14" hidden="1" customWidth="1"/>
    <col min="50" max="50" width="10.5703125" style="14" hidden="1" customWidth="1"/>
    <col min="51" max="51" width="9.28515625" style="14" hidden="1" customWidth="1"/>
    <col min="52" max="53" width="11.85546875" style="14" hidden="1" customWidth="1"/>
    <col min="54" max="54" width="43.42578125" style="14" customWidth="1"/>
    <col min="55" max="55" width="7.28515625" style="14" hidden="1" customWidth="1"/>
    <col min="56" max="78" width="8.5703125" style="14" customWidth="1"/>
    <col min="79" max="81" width="7.28515625" style="14" customWidth="1"/>
    <col min="82" max="82" width="21.5703125" style="14" customWidth="1"/>
    <col min="83" max="90" width="7.28515625" style="14" customWidth="1"/>
    <col min="91" max="91" width="16.7109375" style="14" bestFit="1" customWidth="1"/>
    <col min="92" max="92" width="7.7109375" style="14" customWidth="1"/>
    <col min="93" max="93" width="16" style="14" customWidth="1"/>
    <col min="94" max="94" width="41" style="14" bestFit="1" customWidth="1"/>
    <col min="95" max="16384" width="9.140625" style="14"/>
  </cols>
  <sheetData>
    <row r="1" spans="2:94" ht="18" hidden="1" x14ac:dyDescent="0.25">
      <c r="D1" s="12" t="s">
        <v>71</v>
      </c>
      <c r="E1" s="12" t="s">
        <v>72</v>
      </c>
      <c r="F1" s="12" t="s">
        <v>73</v>
      </c>
    </row>
    <row r="2" spans="2:94" ht="36" hidden="1" customHeight="1" x14ac:dyDescent="0.3">
      <c r="B2" s="80" t="s">
        <v>23</v>
      </c>
      <c r="C2" s="375">
        <v>550</v>
      </c>
      <c r="D2" s="375">
        <f>+COS(($B$59*-1)*3.14159265358979/180)*C2</f>
        <v>550</v>
      </c>
      <c r="E2" s="375">
        <f>+COS(($B$59*-1)*3.14159265358979/180)*25</f>
        <v>25</v>
      </c>
      <c r="F2" s="355">
        <f>+COS((($B$59*-1)+37.6445729)*3.14159265358979/180)*41.1604209</f>
        <v>32.591428177885007</v>
      </c>
    </row>
    <row r="3" spans="2:94" ht="23.25" hidden="1" x14ac:dyDescent="0.35">
      <c r="B3" s="376" t="s">
        <v>92</v>
      </c>
      <c r="C3" s="377">
        <f>+C10-32.5914</f>
        <v>253.30425681124908</v>
      </c>
      <c r="D3" s="378">
        <f>+C10-F2</f>
        <v>253.30422863336406</v>
      </c>
    </row>
    <row r="4" spans="2:94" ht="55.5" hidden="1" x14ac:dyDescent="0.35">
      <c r="B4" s="423" t="s">
        <v>75</v>
      </c>
      <c r="C4" s="426"/>
      <c r="D4" s="427"/>
      <c r="AP4" s="26"/>
    </row>
    <row r="5" spans="2:94" ht="37.5" hidden="1" x14ac:dyDescent="0.35">
      <c r="B5" s="423" t="s">
        <v>76</v>
      </c>
      <c r="C5" s="426"/>
      <c r="D5" s="427"/>
      <c r="AP5" s="26"/>
    </row>
    <row r="6" spans="2:94" ht="20.25" hidden="1" x14ac:dyDescent="0.3">
      <c r="B6" s="202"/>
      <c r="C6" s="47"/>
      <c r="AP6" s="26"/>
      <c r="AQ6" s="20"/>
      <c r="AR6" s="20"/>
      <c r="AS6" s="20"/>
      <c r="AT6" s="20"/>
      <c r="AU6" s="20"/>
      <c r="AV6" s="20"/>
      <c r="AW6" s="20"/>
      <c r="AX6" s="20"/>
      <c r="CP6" s="20"/>
    </row>
    <row r="7" spans="2:94" ht="20.25" hidden="1" x14ac:dyDescent="0.3">
      <c r="B7" s="203" t="s">
        <v>15</v>
      </c>
      <c r="C7" s="379">
        <f>+(B62*47.5)+5+5</f>
        <v>57.5</v>
      </c>
      <c r="AP7" s="26"/>
    </row>
    <row r="8" spans="2:94" ht="20.25" hidden="1" x14ac:dyDescent="0.3">
      <c r="B8" s="203" t="s">
        <v>14</v>
      </c>
      <c r="C8" s="380"/>
      <c r="AP8" s="26"/>
    </row>
    <row r="9" spans="2:94" ht="20.25" hidden="1" x14ac:dyDescent="0.3">
      <c r="B9" s="204"/>
      <c r="C9" s="204"/>
      <c r="AP9" s="26"/>
    </row>
    <row r="10" spans="2:94" ht="20.25" hidden="1" x14ac:dyDescent="0.3">
      <c r="B10" s="203" t="s">
        <v>13</v>
      </c>
      <c r="C10" s="203">
        <f>+T59</f>
        <v>285.89565681124907</v>
      </c>
      <c r="AP10" s="26"/>
    </row>
    <row r="11" spans="2:94" hidden="1" x14ac:dyDescent="0.25">
      <c r="AP11" s="26"/>
      <c r="AQ11" s="20"/>
      <c r="AR11" s="20"/>
      <c r="AS11" s="20"/>
      <c r="AT11" s="20"/>
      <c r="AU11" s="20"/>
      <c r="AV11" s="20"/>
      <c r="AW11" s="20"/>
      <c r="AX11" s="20"/>
      <c r="CP11" s="20"/>
    </row>
    <row r="12" spans="2:94" hidden="1" x14ac:dyDescent="0.25">
      <c r="E12" s="414"/>
      <c r="AP12" s="26"/>
    </row>
    <row r="13" spans="2:94" hidden="1" x14ac:dyDescent="0.25">
      <c r="E13" s="414"/>
      <c r="AP13" s="26"/>
    </row>
    <row r="14" spans="2:94" x14ac:dyDescent="0.25">
      <c r="E14" s="414"/>
      <c r="AP14" s="26"/>
    </row>
    <row r="15" spans="2:94" ht="31.5" customHeight="1" x14ac:dyDescent="0.3">
      <c r="E15" s="412" t="s">
        <v>56</v>
      </c>
      <c r="AP15" s="26"/>
      <c r="BC15" s="42"/>
      <c r="BD15" s="46"/>
      <c r="BE15" s="44" t="s">
        <v>22</v>
      </c>
      <c r="BF15" s="504">
        <f>+C7</f>
        <v>57.5</v>
      </c>
      <c r="BG15" s="504"/>
      <c r="BH15" s="45" t="s">
        <v>16</v>
      </c>
      <c r="BI15" s="45"/>
      <c r="BJ15" s="408" t="s">
        <v>99</v>
      </c>
      <c r="BK15" s="46"/>
      <c r="BL15" s="46"/>
      <c r="BM15" s="46"/>
      <c r="BN15" s="46"/>
      <c r="BO15" s="46"/>
      <c r="BP15" s="46"/>
      <c r="BQ15" s="47"/>
      <c r="BR15" s="47"/>
      <c r="BS15" s="47"/>
      <c r="BT15" s="47"/>
      <c r="BU15" s="47"/>
      <c r="BV15" s="47"/>
    </row>
    <row r="16" spans="2:94" ht="13.5" customHeight="1" thickBot="1" x14ac:dyDescent="0.35">
      <c r="E16" s="412" t="s">
        <v>59</v>
      </c>
      <c r="AP16" s="26"/>
      <c r="BB16" s="59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1"/>
      <c r="BQ16" s="62"/>
      <c r="BR16" s="62"/>
      <c r="BS16" s="62"/>
      <c r="BT16" s="62"/>
      <c r="BU16" s="58"/>
      <c r="BV16" s="58"/>
      <c r="BW16" s="58"/>
      <c r="BX16" s="58"/>
      <c r="BY16" s="58"/>
      <c r="BZ16" s="58"/>
    </row>
    <row r="17" spans="2:94" ht="32.25" customHeight="1" x14ac:dyDescent="0.3">
      <c r="E17" s="414"/>
      <c r="AP17" s="26"/>
      <c r="BB17" s="334" t="s">
        <v>24</v>
      </c>
      <c r="BC17" s="501"/>
      <c r="BD17" s="393" t="s">
        <v>25</v>
      </c>
      <c r="BE17" s="394"/>
      <c r="BF17" s="395"/>
      <c r="BG17" s="395"/>
      <c r="BH17" s="395"/>
      <c r="BI17" s="395"/>
      <c r="BJ17" s="395"/>
      <c r="BK17" s="396"/>
      <c r="BL17" s="397"/>
      <c r="BM17" s="398"/>
      <c r="BN17" s="398"/>
      <c r="BO17" s="399"/>
      <c r="BP17" s="399"/>
      <c r="BQ17" s="399"/>
      <c r="BR17" s="399"/>
      <c r="BS17" s="51"/>
      <c r="BT17" s="51"/>
      <c r="BU17" s="400"/>
      <c r="BV17" s="400"/>
      <c r="BW17" s="400"/>
      <c r="BX17" s="400"/>
      <c r="BY17" s="394"/>
      <c r="BZ17" s="401" t="s">
        <v>26</v>
      </c>
    </row>
    <row r="18" spans="2:94" ht="32.25" customHeight="1" thickBot="1" x14ac:dyDescent="0.35">
      <c r="E18" s="414"/>
      <c r="AP18" s="26"/>
      <c r="BB18" s="335"/>
      <c r="BC18" s="502"/>
      <c r="BD18" s="519">
        <f>+((D2-D3)/D2)*C7</f>
        <v>31.018194279239214</v>
      </c>
      <c r="BE18" s="520"/>
      <c r="BF18" s="402"/>
      <c r="BG18" s="402"/>
      <c r="BH18" s="402"/>
      <c r="BI18" s="402"/>
      <c r="BJ18" s="402"/>
      <c r="BK18" s="403"/>
      <c r="BL18" s="404"/>
      <c r="BM18" s="405"/>
      <c r="BN18" s="405"/>
      <c r="BO18" s="406"/>
      <c r="BP18" s="406"/>
      <c r="BQ18" s="406"/>
      <c r="BR18" s="406"/>
      <c r="BS18" s="57"/>
      <c r="BT18" s="57"/>
      <c r="BU18" s="407"/>
      <c r="BV18" s="407"/>
      <c r="BW18" s="407"/>
      <c r="BX18" s="407"/>
      <c r="BY18" s="517">
        <f>+(D3/D2)*C7</f>
        <v>26.481805720760789</v>
      </c>
      <c r="BZ18" s="518"/>
    </row>
    <row r="19" spans="2:94" ht="23.25" customHeight="1" thickBot="1" x14ac:dyDescent="0.35">
      <c r="E19" s="414"/>
      <c r="AP19" s="26"/>
      <c r="BB19" s="59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59"/>
      <c r="BN19" s="60"/>
      <c r="BO19" s="60"/>
      <c r="BP19" s="61"/>
      <c r="BQ19" s="62"/>
      <c r="BR19" s="62"/>
      <c r="BS19" s="62"/>
      <c r="BT19" s="62"/>
      <c r="BU19" s="58"/>
      <c r="BV19" s="58"/>
      <c r="BW19" s="58"/>
      <c r="BX19" s="58"/>
      <c r="BY19" s="58"/>
      <c r="BZ19" s="58"/>
    </row>
    <row r="20" spans="2:94" ht="23.25" hidden="1" customHeight="1" thickBot="1" x14ac:dyDescent="0.3">
      <c r="E20" s="414"/>
      <c r="AP20" s="26"/>
      <c r="BC20" s="391"/>
      <c r="BD20" s="391">
        <v>1</v>
      </c>
      <c r="BE20" s="391">
        <v>2</v>
      </c>
      <c r="BF20" s="391">
        <v>3</v>
      </c>
      <c r="BG20" s="391">
        <v>4</v>
      </c>
      <c r="BH20" s="391">
        <v>5</v>
      </c>
      <c r="BI20" s="391">
        <v>6</v>
      </c>
      <c r="BJ20" s="391">
        <v>7</v>
      </c>
      <c r="BK20" s="391">
        <v>8</v>
      </c>
      <c r="BL20" s="391">
        <v>9</v>
      </c>
      <c r="BM20" s="391">
        <v>10</v>
      </c>
      <c r="BN20" s="392"/>
      <c r="BO20" s="392"/>
      <c r="BP20" s="392"/>
      <c r="BQ20" s="391">
        <v>11</v>
      </c>
      <c r="BR20" s="391">
        <v>12</v>
      </c>
      <c r="BS20" s="391">
        <v>13</v>
      </c>
      <c r="BT20" s="391">
        <v>14</v>
      </c>
      <c r="BU20" s="391">
        <v>15</v>
      </c>
      <c r="BV20" s="391">
        <v>16</v>
      </c>
      <c r="BW20" s="391">
        <v>17</v>
      </c>
      <c r="BX20" s="391">
        <v>18</v>
      </c>
      <c r="BY20" s="391">
        <v>19</v>
      </c>
      <c r="BZ20" s="391">
        <v>20</v>
      </c>
    </row>
    <row r="21" spans="2:94" ht="23.25" hidden="1" customHeight="1" thickBot="1" x14ac:dyDescent="0.35">
      <c r="E21" s="414"/>
      <c r="AP21" s="26"/>
      <c r="BC21" s="391"/>
      <c r="BD21" s="391"/>
      <c r="BE21" s="391"/>
      <c r="BF21" s="391"/>
      <c r="BG21" s="391"/>
      <c r="BH21" s="391"/>
      <c r="BI21" s="391"/>
      <c r="BJ21" s="391"/>
      <c r="BK21" s="391"/>
      <c r="BL21" s="391"/>
      <c r="BM21" s="391"/>
      <c r="BN21" s="392"/>
      <c r="BO21" s="392"/>
      <c r="BP21" s="392"/>
      <c r="BQ21" s="391"/>
      <c r="BR21" s="391"/>
      <c r="BS21" s="391"/>
      <c r="BT21" s="391"/>
      <c r="BU21" s="391"/>
      <c r="BV21" s="391"/>
      <c r="BW21" s="391"/>
      <c r="BX21" s="68" t="b">
        <f>IF(BY45=22,18)</f>
        <v>0</v>
      </c>
      <c r="BY21" s="391"/>
      <c r="BZ21" s="63" t="b">
        <f>IF(BY45=22,20)</f>
        <v>0</v>
      </c>
    </row>
    <row r="22" spans="2:94" ht="23.25" hidden="1" customHeight="1" thickBot="1" x14ac:dyDescent="0.35">
      <c r="B22" s="416"/>
      <c r="C22" s="330"/>
      <c r="D22" s="414"/>
      <c r="AP22" s="26"/>
      <c r="BC22" s="391"/>
      <c r="BD22" s="391"/>
      <c r="BE22" s="391"/>
      <c r="BF22" s="391"/>
      <c r="BG22" s="391"/>
      <c r="BH22" s="391"/>
      <c r="BI22" s="391"/>
      <c r="BJ22" s="391"/>
      <c r="BK22" s="391"/>
      <c r="BL22" s="391"/>
      <c r="BM22" s="391"/>
      <c r="BN22" s="392"/>
      <c r="BO22" s="392"/>
      <c r="BP22" s="392"/>
      <c r="BQ22" s="391"/>
      <c r="BR22" s="391"/>
      <c r="BS22" s="391"/>
      <c r="BT22" s="391"/>
      <c r="BV22" s="68" t="b">
        <f>IF(BX45=21,16)</f>
        <v>0</v>
      </c>
      <c r="BW22" s="391"/>
      <c r="BX22" s="391"/>
      <c r="BY22" s="391"/>
      <c r="BZ22" s="63" t="b">
        <f>IF(BX45=21,20)</f>
        <v>0</v>
      </c>
    </row>
    <row r="23" spans="2:94" ht="23.25" hidden="1" customHeight="1" thickBot="1" x14ac:dyDescent="0.35">
      <c r="B23" s="416"/>
      <c r="C23" s="417" t="e">
        <f>IF(#REF!&gt;=10,"O K ","OVERLOAD")</f>
        <v>#REF!</v>
      </c>
      <c r="D23" s="414"/>
      <c r="AP23" s="26"/>
      <c r="BC23" s="91">
        <v>20</v>
      </c>
      <c r="BD23" s="391"/>
      <c r="BE23" s="391"/>
      <c r="BF23" s="391"/>
      <c r="BG23" s="391"/>
      <c r="BH23" s="391"/>
      <c r="BI23" s="391"/>
      <c r="BJ23" s="391"/>
      <c r="BK23" s="391"/>
      <c r="BL23" s="391"/>
      <c r="BM23" s="391"/>
      <c r="BN23" s="392"/>
      <c r="BO23" s="392"/>
      <c r="BP23" s="392"/>
      <c r="BQ23" s="391"/>
      <c r="BR23" s="391"/>
      <c r="BS23" s="391"/>
      <c r="BT23" s="68" t="b">
        <f>IF(BW45=20,14)</f>
        <v>0</v>
      </c>
      <c r="BU23" s="391"/>
      <c r="BV23" s="391"/>
      <c r="BW23" s="391"/>
      <c r="BX23" s="391"/>
      <c r="BY23" s="391"/>
      <c r="BZ23" s="63" t="b">
        <f>IF(BW45=20,20)</f>
        <v>0</v>
      </c>
    </row>
    <row r="24" spans="2:94" ht="23.25" hidden="1" customHeight="1" thickBot="1" x14ac:dyDescent="0.35">
      <c r="B24" s="330"/>
      <c r="C24" s="330"/>
      <c r="D24" s="414"/>
      <c r="AP24" s="26"/>
      <c r="BC24" s="91">
        <v>19</v>
      </c>
      <c r="BR24" s="68" t="b">
        <f>IF(BV45=19,12)</f>
        <v>0</v>
      </c>
      <c r="BZ24" s="63" t="b">
        <f>IF(BV45=19,20)</f>
        <v>0</v>
      </c>
    </row>
    <row r="25" spans="2:94" ht="23.25" hidden="1" customHeight="1" thickBot="1" x14ac:dyDescent="0.35">
      <c r="B25" s="330">
        <v>5800</v>
      </c>
      <c r="C25" s="330">
        <v>5800</v>
      </c>
      <c r="D25" s="414"/>
      <c r="AP25" s="206"/>
      <c r="BB25" s="86"/>
      <c r="BC25" s="91">
        <v>18</v>
      </c>
      <c r="BD25" s="88"/>
      <c r="BE25" s="88"/>
      <c r="BF25" s="88"/>
      <c r="BG25" s="88"/>
      <c r="BH25" s="88"/>
      <c r="BI25" s="88"/>
      <c r="BJ25" s="88"/>
      <c r="BK25" s="61"/>
      <c r="BL25" s="60"/>
      <c r="BM25" s="89"/>
      <c r="BN25" s="89"/>
      <c r="BO25" s="55"/>
      <c r="BP25" s="55"/>
      <c r="BQ25" s="68" t="b">
        <f>IF(BU45=18,11)</f>
        <v>0</v>
      </c>
      <c r="BR25" s="55"/>
      <c r="BS25" s="55"/>
      <c r="BT25" s="55"/>
      <c r="BU25" s="55"/>
      <c r="BV25" s="55"/>
      <c r="BW25" s="55"/>
      <c r="BX25" s="55"/>
      <c r="BY25" s="63" t="b">
        <f>IF(BU45=18,19)</f>
        <v>0</v>
      </c>
      <c r="BZ25" s="87"/>
    </row>
    <row r="26" spans="2:94" s="42" customFormat="1" ht="23.25" hidden="1" customHeight="1" thickBot="1" x14ac:dyDescent="0.35">
      <c r="B26" s="330">
        <v>8000</v>
      </c>
      <c r="C26" s="330">
        <v>8000</v>
      </c>
      <c r="D26" s="358">
        <v>8000</v>
      </c>
      <c r="L26" s="207"/>
      <c r="M26" s="527"/>
      <c r="N26" s="527"/>
      <c r="O26" s="527"/>
      <c r="P26" s="208"/>
      <c r="Q26" s="208"/>
      <c r="R26" s="208"/>
      <c r="S26" s="208"/>
      <c r="T26" s="208"/>
      <c r="U26" s="208"/>
      <c r="V26" s="209"/>
      <c r="W26" s="209"/>
      <c r="X26" s="209"/>
      <c r="AP26" s="206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86"/>
      <c r="BC26" s="91">
        <v>17</v>
      </c>
      <c r="BD26" s="88"/>
      <c r="BE26" s="88"/>
      <c r="BF26" s="88"/>
      <c r="BG26" s="88"/>
      <c r="BH26" s="88"/>
      <c r="BI26" s="88"/>
      <c r="BJ26" s="88"/>
      <c r="BK26" s="61"/>
      <c r="BL26" s="60"/>
      <c r="BM26" s="14"/>
      <c r="BN26" s="14"/>
      <c r="BO26" s="55"/>
      <c r="BP26" s="14"/>
      <c r="BQ26" s="68" t="b">
        <f>IF(BT45=17,11)</f>
        <v>0</v>
      </c>
      <c r="BR26" s="55"/>
      <c r="BS26" s="55"/>
      <c r="BT26" s="55"/>
      <c r="BU26" s="55"/>
      <c r="BV26" s="55"/>
      <c r="BW26" s="63" t="b">
        <f>IF(BT45=17,17)</f>
        <v>0</v>
      </c>
      <c r="BX26" s="14"/>
      <c r="BY26" s="87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</row>
    <row r="27" spans="2:94" ht="23.25" hidden="1" customHeight="1" thickBot="1" x14ac:dyDescent="0.35">
      <c r="B27" s="413" t="s">
        <v>18</v>
      </c>
      <c r="C27" s="413" t="s">
        <v>19</v>
      </c>
      <c r="D27" s="414"/>
      <c r="L27" s="193"/>
      <c r="M27" s="210"/>
      <c r="N27" s="210"/>
      <c r="O27" s="210"/>
      <c r="P27" s="108"/>
      <c r="Q27" s="108"/>
      <c r="R27" s="108"/>
      <c r="S27" s="108"/>
      <c r="T27" s="108"/>
      <c r="U27" s="108"/>
      <c r="V27" s="107"/>
      <c r="W27" s="107"/>
      <c r="X27" s="107"/>
      <c r="AP27" s="211"/>
      <c r="BB27" s="86"/>
      <c r="BC27" s="91">
        <v>16</v>
      </c>
      <c r="BD27" s="88"/>
      <c r="BE27" s="88"/>
      <c r="BF27" s="88"/>
      <c r="BG27" s="88"/>
      <c r="BH27" s="88"/>
      <c r="BI27" s="88"/>
      <c r="BJ27" s="88"/>
      <c r="BK27" s="61"/>
      <c r="BL27" s="68" t="b">
        <f>IF(BS45=16,9)</f>
        <v>0</v>
      </c>
      <c r="BM27" s="89"/>
      <c r="BN27" s="89"/>
      <c r="BO27" s="55"/>
      <c r="BP27" s="55"/>
      <c r="BQ27" s="55"/>
      <c r="BS27" s="92"/>
      <c r="BU27" s="55"/>
      <c r="BV27" s="55"/>
      <c r="BW27" s="55"/>
      <c r="BX27" s="55"/>
      <c r="BY27" s="87"/>
      <c r="BZ27" s="63" t="b">
        <f>IF(BS45=16,20)</f>
        <v>0</v>
      </c>
    </row>
    <row r="28" spans="2:94" ht="21" hidden="1" thickBot="1" x14ac:dyDescent="0.35">
      <c r="B28" s="418" t="e">
        <f>+((C8-C10)/C8)*C7</f>
        <v>#DIV/0!</v>
      </c>
      <c r="C28" s="419" t="e">
        <f>+(C10/C8)*C7</f>
        <v>#DIV/0!</v>
      </c>
      <c r="D28" s="414"/>
      <c r="L28" s="193"/>
      <c r="M28" s="210"/>
      <c r="N28" s="210"/>
      <c r="O28" s="210"/>
      <c r="P28" s="108"/>
      <c r="Q28" s="108"/>
      <c r="R28" s="108"/>
      <c r="S28" s="108"/>
      <c r="T28" s="108"/>
      <c r="U28" s="108"/>
      <c r="V28" s="107"/>
      <c r="W28" s="107"/>
      <c r="X28" s="107"/>
      <c r="AP28" s="26"/>
      <c r="BB28" s="86"/>
      <c r="BC28" s="91">
        <v>15</v>
      </c>
      <c r="BD28" s="88"/>
      <c r="BE28" s="88"/>
      <c r="BF28" s="88"/>
      <c r="BG28" s="88"/>
      <c r="BH28" s="88"/>
      <c r="BI28" s="88"/>
      <c r="BJ28" s="68" t="b">
        <f>IF(BR45=15,7)</f>
        <v>0</v>
      </c>
      <c r="BK28" s="61"/>
      <c r="BL28" s="60"/>
      <c r="BM28" s="89"/>
      <c r="BN28" s="89"/>
      <c r="BO28" s="55"/>
      <c r="BQ28" s="92"/>
      <c r="BR28" s="92"/>
      <c r="BS28" s="92"/>
      <c r="BU28" s="55"/>
      <c r="BV28" s="55"/>
      <c r="BW28" s="55"/>
      <c r="BX28" s="55"/>
      <c r="BY28" s="87"/>
      <c r="BZ28" s="63" t="b">
        <f>IF(BR45=15,20)</f>
        <v>0</v>
      </c>
    </row>
    <row r="29" spans="2:94" ht="21" hidden="1" thickBot="1" x14ac:dyDescent="0.35">
      <c r="B29" s="416"/>
      <c r="C29" s="414"/>
      <c r="D29" s="414"/>
      <c r="L29" s="193"/>
      <c r="M29" s="210"/>
      <c r="N29" s="210"/>
      <c r="O29" s="210"/>
      <c r="P29" s="108"/>
      <c r="Q29" s="108"/>
      <c r="R29" s="108"/>
      <c r="S29" s="108"/>
      <c r="T29" s="108"/>
      <c r="U29" s="108"/>
      <c r="V29" s="107"/>
      <c r="W29" s="107"/>
      <c r="X29" s="107"/>
      <c r="AP29" s="26"/>
      <c r="BB29" s="86"/>
      <c r="BC29" s="91">
        <v>14</v>
      </c>
      <c r="BD29" s="88"/>
      <c r="BE29" s="88"/>
      <c r="BF29" s="88"/>
      <c r="BG29" s="88"/>
      <c r="BH29" s="68" t="b">
        <f>IF(BQ45=14,5)</f>
        <v>0</v>
      </c>
      <c r="BI29" s="88"/>
      <c r="BJ29" s="88"/>
      <c r="BK29" s="61"/>
      <c r="BL29" s="60"/>
      <c r="BM29" s="89"/>
      <c r="BO29" s="92"/>
      <c r="BP29" s="93"/>
      <c r="BQ29" s="93"/>
      <c r="BR29" s="93"/>
      <c r="BS29" s="93"/>
      <c r="BU29" s="55"/>
      <c r="BV29" s="55"/>
      <c r="BW29" s="55"/>
      <c r="BX29" s="55"/>
      <c r="BY29" s="87"/>
      <c r="BZ29" s="73" t="b">
        <f>IF(BQ45=14,20)</f>
        <v>0</v>
      </c>
    </row>
    <row r="30" spans="2:94" ht="21" hidden="1" thickBot="1" x14ac:dyDescent="0.35">
      <c r="B30" s="416"/>
      <c r="C30" s="414"/>
      <c r="D30" s="414"/>
      <c r="L30" s="193"/>
      <c r="M30" s="210"/>
      <c r="N30" s="210"/>
      <c r="O30" s="210"/>
      <c r="P30" s="108"/>
      <c r="Q30" s="108"/>
      <c r="R30" s="108"/>
      <c r="S30" s="108"/>
      <c r="T30" s="108"/>
      <c r="U30" s="108"/>
      <c r="V30" s="107"/>
      <c r="W30" s="107"/>
      <c r="X30" s="107"/>
      <c r="AP30" s="54"/>
      <c r="BB30" s="86"/>
      <c r="BC30" s="91">
        <v>13</v>
      </c>
      <c r="BD30" s="87"/>
      <c r="BE30" s="86"/>
      <c r="BF30" s="68" t="b">
        <f>IF(BP45=13,3)</f>
        <v>0</v>
      </c>
      <c r="BG30" s="86"/>
      <c r="BH30" s="86"/>
      <c r="BI30" s="86"/>
      <c r="BJ30" s="86"/>
      <c r="BK30" s="86"/>
      <c r="BM30" s="95"/>
      <c r="BN30" s="96"/>
      <c r="BO30" s="72"/>
      <c r="BP30" s="96"/>
      <c r="BQ30" s="72"/>
      <c r="BR30" s="72"/>
      <c r="BS30" s="71"/>
      <c r="BU30" s="47"/>
      <c r="BV30" s="47"/>
      <c r="BW30" s="47"/>
      <c r="BX30" s="47"/>
      <c r="BY30" s="47"/>
      <c r="BZ30" s="73" t="b">
        <f>IF(BP45=13,20)</f>
        <v>0</v>
      </c>
    </row>
    <row r="31" spans="2:94" ht="21" hidden="1" thickBot="1" x14ac:dyDescent="0.35">
      <c r="B31" s="416"/>
      <c r="C31" s="414"/>
      <c r="D31" s="414"/>
      <c r="L31" s="193"/>
      <c r="M31" s="210"/>
      <c r="N31" s="210"/>
      <c r="O31" s="210"/>
      <c r="P31" s="108"/>
      <c r="Q31" s="108"/>
      <c r="R31" s="108"/>
      <c r="S31" s="108"/>
      <c r="T31" s="108"/>
      <c r="U31" s="108"/>
      <c r="V31" s="107"/>
      <c r="W31" s="107"/>
      <c r="X31" s="107"/>
      <c r="AP31" s="54"/>
      <c r="BB31" s="86"/>
      <c r="BC31" s="91">
        <v>12</v>
      </c>
      <c r="BD31" s="68" t="b">
        <f>IF(BO45=12,1)</f>
        <v>0</v>
      </c>
      <c r="BE31" s="86"/>
      <c r="BF31" s="86"/>
      <c r="BG31" s="86"/>
      <c r="BH31" s="86"/>
      <c r="BI31" s="86"/>
      <c r="BK31" s="95"/>
      <c r="BL31" s="95"/>
      <c r="BM31" s="69"/>
      <c r="BN31" s="95"/>
      <c r="BO31" s="95"/>
      <c r="BP31" s="95"/>
      <c r="BQ31" s="69"/>
      <c r="BR31" s="69"/>
      <c r="BS31" s="66"/>
      <c r="BU31" s="47"/>
      <c r="BV31" s="47"/>
      <c r="BW31" s="47"/>
      <c r="BX31" s="47"/>
      <c r="BY31" s="47"/>
      <c r="BZ31" s="63" t="b">
        <f>IF(BO45=12,20)</f>
        <v>0</v>
      </c>
    </row>
    <row r="32" spans="2:94" ht="21" hidden="1" thickBot="1" x14ac:dyDescent="0.35">
      <c r="L32" s="193"/>
      <c r="M32" s="210"/>
      <c r="N32" s="210"/>
      <c r="O32" s="210"/>
      <c r="P32" s="108"/>
      <c r="Q32" s="108"/>
      <c r="R32" s="108"/>
      <c r="S32" s="108"/>
      <c r="T32" s="108"/>
      <c r="U32" s="108"/>
      <c r="V32" s="107"/>
      <c r="W32" s="107"/>
      <c r="X32" s="107"/>
      <c r="AP32" s="54"/>
      <c r="BB32" s="86"/>
      <c r="BC32" s="91">
        <v>11</v>
      </c>
      <c r="BD32" s="68">
        <f>IF(BN45=11,1)</f>
        <v>1</v>
      </c>
      <c r="BE32" s="86"/>
      <c r="BF32" s="86"/>
      <c r="BG32" s="86"/>
      <c r="BI32" s="95"/>
      <c r="BJ32" s="95"/>
      <c r="BK32" s="69"/>
      <c r="BL32" s="95"/>
      <c r="BM32" s="69"/>
      <c r="BN32" s="95"/>
      <c r="BO32" s="69"/>
      <c r="BP32" s="95"/>
      <c r="BQ32" s="69"/>
      <c r="BR32" s="69"/>
      <c r="BS32" s="66"/>
      <c r="BU32" s="47"/>
      <c r="BV32" s="47"/>
      <c r="BX32" s="63">
        <f>IF(BN45=11,18)</f>
        <v>18</v>
      </c>
      <c r="BY32" s="47"/>
      <c r="BZ32" s="47"/>
    </row>
    <row r="33" spans="7:78" ht="21" hidden="1" thickBot="1" x14ac:dyDescent="0.35">
      <c r="L33" s="193"/>
      <c r="M33" s="210"/>
      <c r="N33" s="210"/>
      <c r="O33" s="210"/>
      <c r="P33" s="108"/>
      <c r="Q33" s="108"/>
      <c r="R33" s="108"/>
      <c r="S33" s="108"/>
      <c r="T33" s="108"/>
      <c r="U33" s="108"/>
      <c r="V33" s="107"/>
      <c r="W33" s="107"/>
      <c r="X33" s="107"/>
      <c r="AP33" s="54"/>
      <c r="BB33" s="86"/>
      <c r="BC33" s="91">
        <v>10</v>
      </c>
      <c r="BD33" s="68" t="b">
        <f>IF(BM45=10,1)</f>
        <v>0</v>
      </c>
      <c r="BE33" s="86"/>
      <c r="BG33" s="95"/>
      <c r="BH33" s="95"/>
      <c r="BI33" s="69"/>
      <c r="BJ33" s="69"/>
      <c r="BK33" s="69"/>
      <c r="BL33" s="95"/>
      <c r="BM33" s="95"/>
      <c r="BN33" s="95"/>
      <c r="BO33" s="69"/>
      <c r="BP33" s="95"/>
      <c r="BQ33" s="69"/>
      <c r="BR33" s="69"/>
      <c r="BS33" s="66"/>
      <c r="BU33" s="47"/>
      <c r="BV33" s="63" t="b">
        <f>IF(BM45=10,16)</f>
        <v>0</v>
      </c>
      <c r="BW33" s="47"/>
      <c r="BX33" s="47"/>
      <c r="BY33" s="47"/>
      <c r="BZ33" s="47"/>
    </row>
    <row r="34" spans="7:78" ht="21" hidden="1" thickBot="1" x14ac:dyDescent="0.35">
      <c r="L34" s="193"/>
      <c r="M34" s="210"/>
      <c r="N34" s="210"/>
      <c r="O34" s="210"/>
      <c r="P34" s="108"/>
      <c r="Q34" s="108"/>
      <c r="R34" s="108"/>
      <c r="S34" s="108"/>
      <c r="T34" s="108"/>
      <c r="U34" s="108"/>
      <c r="V34" s="107"/>
      <c r="W34" s="107"/>
      <c r="X34" s="107"/>
      <c r="AP34" s="206"/>
      <c r="BB34" s="86"/>
      <c r="BC34" s="91">
        <v>9</v>
      </c>
      <c r="BD34" s="68" t="b">
        <f>IF(BL45=9,1)</f>
        <v>0</v>
      </c>
      <c r="BE34" s="95"/>
      <c r="BF34" s="95"/>
      <c r="BG34" s="69"/>
      <c r="BH34" s="95"/>
      <c r="BI34" s="95"/>
      <c r="BJ34" s="95"/>
      <c r="BK34" s="95"/>
      <c r="BL34" s="95"/>
      <c r="BM34" s="95"/>
      <c r="BN34" s="95"/>
      <c r="BO34" s="95"/>
      <c r="BP34" s="95"/>
      <c r="BQ34" s="69"/>
      <c r="BR34" s="69"/>
      <c r="BS34" s="66"/>
      <c r="BT34" s="63" t="b">
        <f>IF(BL45=9,14)</f>
        <v>0</v>
      </c>
      <c r="BU34" s="47"/>
      <c r="BV34" s="47"/>
      <c r="BW34" s="47"/>
      <c r="BX34" s="47"/>
      <c r="BY34" s="47"/>
      <c r="BZ34" s="47"/>
    </row>
    <row r="35" spans="7:78" ht="21" hidden="1" thickBot="1" x14ac:dyDescent="0.35">
      <c r="L35" s="193"/>
      <c r="M35" s="210"/>
      <c r="N35" s="210"/>
      <c r="O35" s="210"/>
      <c r="P35" s="108"/>
      <c r="Q35" s="108"/>
      <c r="R35" s="108"/>
      <c r="S35" s="108"/>
      <c r="T35" s="108"/>
      <c r="U35" s="108"/>
      <c r="V35" s="107"/>
      <c r="W35" s="107"/>
      <c r="X35" s="107"/>
      <c r="AP35" s="206"/>
      <c r="BB35" s="86"/>
      <c r="BC35" s="91">
        <v>8</v>
      </c>
      <c r="BD35" s="70" t="b">
        <f>IF(BK45=8,1)</f>
        <v>0</v>
      </c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72"/>
      <c r="BR35" s="73" t="b">
        <f>IF(BK45=8,12)</f>
        <v>0</v>
      </c>
      <c r="BS35" s="47"/>
      <c r="BT35" s="47"/>
      <c r="BU35" s="47"/>
      <c r="BV35" s="47"/>
      <c r="BW35" s="47"/>
      <c r="BX35" s="47"/>
      <c r="BY35" s="47"/>
      <c r="BZ35" s="47"/>
    </row>
    <row r="36" spans="7:78" ht="21" hidden="1" thickBot="1" x14ac:dyDescent="0.35">
      <c r="L36" s="193"/>
      <c r="M36" s="210"/>
      <c r="N36" s="210"/>
      <c r="O36" s="210"/>
      <c r="P36" s="108"/>
      <c r="Q36" s="108"/>
      <c r="R36" s="108"/>
      <c r="S36" s="108"/>
      <c r="T36" s="108"/>
      <c r="U36" s="108"/>
      <c r="V36" s="107"/>
      <c r="W36" s="107"/>
      <c r="X36" s="107"/>
      <c r="AP36" s="206"/>
      <c r="BB36" s="86"/>
      <c r="BC36" s="91">
        <v>7</v>
      </c>
      <c r="BE36" s="96"/>
      <c r="BF36" s="96"/>
      <c r="BG36" s="70" t="b">
        <f>IF(BJ45=7,4)</f>
        <v>0</v>
      </c>
      <c r="BH36" s="96"/>
      <c r="BI36" s="96"/>
      <c r="BJ36" s="96"/>
      <c r="BK36" s="96"/>
      <c r="BL36" s="96"/>
      <c r="BM36" s="73" t="b">
        <f>IF(BJ45=7,10)</f>
        <v>0</v>
      </c>
      <c r="BN36" s="96"/>
      <c r="BO36" s="96"/>
      <c r="BQ36" s="87"/>
      <c r="BS36" s="47"/>
      <c r="BT36" s="47"/>
      <c r="BU36" s="47"/>
      <c r="BV36" s="47"/>
      <c r="BW36" s="47"/>
      <c r="BX36" s="47"/>
      <c r="BY36" s="47"/>
      <c r="BZ36" s="47"/>
    </row>
    <row r="37" spans="7:78" ht="21" hidden="1" thickBot="1" x14ac:dyDescent="0.35">
      <c r="G37" s="20"/>
      <c r="H37" s="20"/>
      <c r="I37" s="20"/>
      <c r="J37" s="20"/>
      <c r="K37" s="20"/>
      <c r="L37" s="212"/>
      <c r="M37" s="213"/>
      <c r="N37" s="213"/>
      <c r="O37" s="213"/>
      <c r="P37" s="150"/>
      <c r="Q37" s="150"/>
      <c r="R37" s="150"/>
      <c r="S37" s="150"/>
      <c r="T37" s="150"/>
      <c r="U37" s="150"/>
      <c r="V37" s="53"/>
      <c r="W37" s="53"/>
      <c r="X37" s="53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54"/>
      <c r="AQ37" s="20"/>
      <c r="AR37" s="20"/>
      <c r="AS37" s="20"/>
      <c r="AT37" s="20"/>
      <c r="AU37" s="20"/>
      <c r="AV37" s="20"/>
      <c r="BB37" s="86"/>
      <c r="BC37" s="91">
        <v>6</v>
      </c>
      <c r="BE37" s="70" t="b">
        <f>IF(BI45=6,2)</f>
        <v>0</v>
      </c>
      <c r="BF37" s="96"/>
      <c r="BG37" s="96"/>
      <c r="BH37" s="96"/>
      <c r="BI37" s="96"/>
      <c r="BJ37" s="96"/>
      <c r="BK37" s="96"/>
      <c r="BL37" s="96"/>
      <c r="BM37" s="73" t="b">
        <f>IF(BI45=6,10)</f>
        <v>0</v>
      </c>
      <c r="BO37" s="86"/>
      <c r="BP37" s="86"/>
      <c r="BQ37" s="87"/>
      <c r="BS37" s="47"/>
      <c r="BT37" s="47"/>
      <c r="BU37" s="47"/>
      <c r="BV37" s="47"/>
      <c r="BW37" s="47"/>
      <c r="BX37" s="47"/>
      <c r="BY37" s="47"/>
      <c r="BZ37" s="47"/>
    </row>
    <row r="38" spans="7:78" ht="21" hidden="1" thickBot="1" x14ac:dyDescent="0.35">
      <c r="G38" s="20"/>
      <c r="H38" s="20"/>
      <c r="I38" s="20"/>
      <c r="J38" s="20"/>
      <c r="K38" s="20"/>
      <c r="L38" s="212"/>
      <c r="M38" s="213"/>
      <c r="N38" s="213"/>
      <c r="O38" s="213"/>
      <c r="P38" s="150"/>
      <c r="Q38" s="150"/>
      <c r="R38" s="150"/>
      <c r="S38" s="150"/>
      <c r="T38" s="150"/>
      <c r="U38" s="150"/>
      <c r="V38" s="53"/>
      <c r="W38" s="53"/>
      <c r="X38" s="53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6"/>
      <c r="AQ38" s="20"/>
      <c r="AR38" s="20"/>
      <c r="AS38" s="20"/>
      <c r="AT38" s="20"/>
      <c r="AU38" s="20"/>
      <c r="AV38" s="20"/>
      <c r="BB38" s="86"/>
      <c r="BC38" s="91">
        <v>5</v>
      </c>
      <c r="BD38" s="68" t="b">
        <f>IF(BH45=5,1)</f>
        <v>0</v>
      </c>
      <c r="BE38" s="95"/>
      <c r="BF38" s="95"/>
      <c r="BG38" s="69"/>
      <c r="BH38" s="95"/>
      <c r="BI38" s="69"/>
      <c r="BJ38" s="95"/>
      <c r="BK38" s="95"/>
      <c r="BL38" s="63" t="b">
        <f>IF(BH45=5,9)</f>
        <v>0</v>
      </c>
      <c r="BM38" s="86"/>
      <c r="BN38" s="86"/>
      <c r="BO38" s="86"/>
      <c r="BP38" s="86"/>
      <c r="BQ38" s="87"/>
      <c r="BS38" s="47"/>
      <c r="BT38" s="47"/>
      <c r="BU38" s="47"/>
      <c r="BV38" s="47"/>
      <c r="BW38" s="47"/>
      <c r="BX38" s="47"/>
      <c r="BY38" s="47"/>
      <c r="BZ38" s="47"/>
    </row>
    <row r="39" spans="7:78" ht="21" hidden="1" thickBot="1" x14ac:dyDescent="0.35">
      <c r="G39" s="20"/>
      <c r="H39" s="20"/>
      <c r="I39" s="20"/>
      <c r="J39" s="20"/>
      <c r="K39" s="20"/>
      <c r="L39" s="212"/>
      <c r="M39" s="213"/>
      <c r="N39" s="213"/>
      <c r="O39" s="213"/>
      <c r="P39" s="150"/>
      <c r="Q39" s="150"/>
      <c r="R39" s="150"/>
      <c r="S39" s="150"/>
      <c r="T39" s="150"/>
      <c r="U39" s="150"/>
      <c r="V39" s="53"/>
      <c r="W39" s="53"/>
      <c r="X39" s="53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6"/>
      <c r="AQ39" s="20"/>
      <c r="AR39" s="20"/>
      <c r="AS39" s="20"/>
      <c r="AT39" s="20"/>
      <c r="AU39" s="20"/>
      <c r="AV39" s="20"/>
      <c r="BB39" s="86"/>
      <c r="BC39" s="91">
        <v>4</v>
      </c>
      <c r="BD39" s="68" t="b">
        <f>IF(BG45=4,1)</f>
        <v>0</v>
      </c>
      <c r="BE39" s="69"/>
      <c r="BF39" s="69"/>
      <c r="BG39" s="95"/>
      <c r="BH39" s="69"/>
      <c r="BI39" s="69"/>
      <c r="BJ39" s="63" t="b">
        <f>IF(BG45=4,7)</f>
        <v>0</v>
      </c>
      <c r="BK39" s="86"/>
      <c r="BL39" s="86"/>
      <c r="BM39" s="86"/>
      <c r="BN39" s="86"/>
      <c r="BO39" s="86"/>
      <c r="BP39" s="86"/>
      <c r="BQ39" s="87"/>
      <c r="BS39" s="47"/>
      <c r="BT39" s="47"/>
      <c r="BU39" s="47"/>
      <c r="BV39" s="47"/>
      <c r="BW39" s="47"/>
      <c r="BX39" s="47"/>
      <c r="BY39" s="47"/>
      <c r="BZ39" s="47"/>
    </row>
    <row r="40" spans="7:78" ht="21" hidden="1" thickBot="1" x14ac:dyDescent="0.35">
      <c r="G40" s="20"/>
      <c r="H40" s="20"/>
      <c r="I40" s="20"/>
      <c r="J40" s="20"/>
      <c r="K40" s="20"/>
      <c r="L40" s="212"/>
      <c r="M40" s="213"/>
      <c r="N40" s="213"/>
      <c r="O40" s="213"/>
      <c r="P40" s="150"/>
      <c r="Q40" s="150"/>
      <c r="R40" s="150"/>
      <c r="S40" s="150"/>
      <c r="T40" s="150"/>
      <c r="U40" s="150"/>
      <c r="V40" s="53"/>
      <c r="W40" s="53"/>
      <c r="X40" s="53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6"/>
      <c r="AQ40" s="20"/>
      <c r="AR40" s="20"/>
      <c r="AS40" s="20"/>
      <c r="AT40" s="20"/>
      <c r="AU40" s="20"/>
      <c r="AV40" s="20"/>
      <c r="BB40" s="86"/>
      <c r="BC40" s="91">
        <v>3</v>
      </c>
      <c r="BD40" s="70" t="b">
        <f>IF(BF45=3,1)</f>
        <v>0</v>
      </c>
      <c r="BE40" s="96"/>
      <c r="BF40" s="96"/>
      <c r="BG40" s="96"/>
      <c r="BH40" s="73" t="b">
        <f>IF(BF45=3,5)</f>
        <v>0</v>
      </c>
      <c r="BI40" s="86"/>
      <c r="BJ40" s="86"/>
      <c r="BK40" s="86"/>
      <c r="BL40" s="86"/>
      <c r="BM40" s="86"/>
      <c r="BN40" s="86"/>
      <c r="BO40" s="86"/>
      <c r="BP40" s="86"/>
      <c r="BQ40" s="87"/>
      <c r="BS40" s="47"/>
      <c r="BT40" s="47"/>
      <c r="BU40" s="47"/>
      <c r="BV40" s="47"/>
      <c r="BW40" s="47"/>
      <c r="BX40" s="47"/>
      <c r="BY40" s="47"/>
      <c r="BZ40" s="47"/>
    </row>
    <row r="41" spans="7:78" ht="21" hidden="1" thickBot="1" x14ac:dyDescent="0.35">
      <c r="G41" s="20"/>
      <c r="H41" s="20"/>
      <c r="I41" s="20"/>
      <c r="J41" s="20"/>
      <c r="K41" s="20"/>
      <c r="L41" s="212"/>
      <c r="M41" s="213"/>
      <c r="N41" s="213"/>
      <c r="O41" s="213"/>
      <c r="P41" s="150"/>
      <c r="Q41" s="150"/>
      <c r="R41" s="150"/>
      <c r="S41" s="150"/>
      <c r="T41" s="150"/>
      <c r="U41" s="150"/>
      <c r="V41" s="53"/>
      <c r="W41" s="53"/>
      <c r="X41" s="53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54"/>
      <c r="AQ41" s="20"/>
      <c r="AR41" s="20"/>
      <c r="AS41" s="20"/>
      <c r="AT41" s="20"/>
      <c r="AU41" s="20"/>
      <c r="AV41" s="20"/>
      <c r="BB41" s="86"/>
      <c r="BC41" s="91">
        <v>2</v>
      </c>
      <c r="BD41" s="70" t="b">
        <f>IF(BE45=2,1)</f>
        <v>0</v>
      </c>
      <c r="BE41" s="96"/>
      <c r="BF41" s="73" t="b">
        <f>IF(BE45=2,3)</f>
        <v>0</v>
      </c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7"/>
      <c r="BS41" s="47"/>
      <c r="BT41" s="47"/>
      <c r="BU41" s="47"/>
      <c r="BV41" s="47"/>
      <c r="BW41" s="47"/>
      <c r="BX41" s="47"/>
      <c r="BY41" s="47"/>
      <c r="BZ41" s="47"/>
    </row>
    <row r="42" spans="7:78" ht="21" hidden="1" thickBot="1" x14ac:dyDescent="0.35">
      <c r="G42" s="20"/>
      <c r="H42" s="20"/>
      <c r="I42" s="20"/>
      <c r="J42" s="20"/>
      <c r="K42" s="20"/>
      <c r="L42" s="212"/>
      <c r="M42" s="213"/>
      <c r="N42" s="213"/>
      <c r="O42" s="213"/>
      <c r="P42" s="150"/>
      <c r="Q42" s="150"/>
      <c r="R42" s="150"/>
      <c r="S42" s="150"/>
      <c r="T42" s="150"/>
      <c r="U42" s="150"/>
      <c r="V42" s="53"/>
      <c r="W42" s="53"/>
      <c r="X42" s="53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6"/>
      <c r="AQ42" s="20"/>
      <c r="AR42" s="20"/>
      <c r="AS42" s="20"/>
      <c r="AT42" s="20"/>
      <c r="AU42" s="20"/>
      <c r="AV42" s="20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7"/>
      <c r="BO42" s="64"/>
      <c r="BP42" s="64"/>
      <c r="BQ42" s="64"/>
      <c r="BS42" s="47"/>
      <c r="BT42" s="47"/>
      <c r="BU42" s="47"/>
      <c r="BV42" s="47"/>
      <c r="BW42" s="47"/>
      <c r="BX42" s="47"/>
      <c r="BY42" s="47"/>
      <c r="BZ42" s="47"/>
    </row>
    <row r="43" spans="7:78" ht="32.25" customHeight="1" thickBot="1" x14ac:dyDescent="0.4">
      <c r="G43" s="20"/>
      <c r="H43" s="20"/>
      <c r="I43" s="20"/>
      <c r="J43" s="20"/>
      <c r="K43" s="20"/>
      <c r="L43" s="212"/>
      <c r="M43" s="213"/>
      <c r="N43" s="213"/>
      <c r="O43" s="213"/>
      <c r="P43" s="150"/>
      <c r="Q43" s="150"/>
      <c r="R43" s="150"/>
      <c r="S43" s="150"/>
      <c r="T43" s="150"/>
      <c r="U43" s="150"/>
      <c r="V43" s="53"/>
      <c r="W43" s="53"/>
      <c r="X43" s="53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6"/>
      <c r="AQ43" s="20"/>
      <c r="AR43" s="20"/>
      <c r="AS43" s="20"/>
      <c r="AT43" s="20"/>
      <c r="AU43" s="20"/>
      <c r="AV43" s="20"/>
      <c r="BB43" s="492" t="s">
        <v>97</v>
      </c>
      <c r="BC43" s="47"/>
      <c r="BD43" s="82">
        <f>SUM(BD21:BD42)</f>
        <v>1</v>
      </c>
      <c r="BE43" s="83">
        <f t="shared" ref="BE43:BZ43" si="0">SUM(BE21:BE42)</f>
        <v>0</v>
      </c>
      <c r="BF43" s="83">
        <f t="shared" si="0"/>
        <v>0</v>
      </c>
      <c r="BG43" s="83">
        <f t="shared" si="0"/>
        <v>0</v>
      </c>
      <c r="BH43" s="83">
        <f t="shared" si="0"/>
        <v>0</v>
      </c>
      <c r="BI43" s="83">
        <f t="shared" si="0"/>
        <v>0</v>
      </c>
      <c r="BJ43" s="83">
        <f t="shared" si="0"/>
        <v>0</v>
      </c>
      <c r="BK43" s="83">
        <f t="shared" si="0"/>
        <v>0</v>
      </c>
      <c r="BL43" s="83">
        <f t="shared" si="0"/>
        <v>0</v>
      </c>
      <c r="BM43" s="83">
        <f t="shared" si="0"/>
        <v>0</v>
      </c>
      <c r="BN43" s="83">
        <f t="shared" si="0"/>
        <v>0</v>
      </c>
      <c r="BO43" s="83">
        <f t="shared" si="0"/>
        <v>0</v>
      </c>
      <c r="BP43" s="83">
        <f t="shared" si="0"/>
        <v>0</v>
      </c>
      <c r="BQ43" s="83">
        <f t="shared" si="0"/>
        <v>0</v>
      </c>
      <c r="BR43" s="83">
        <f t="shared" si="0"/>
        <v>0</v>
      </c>
      <c r="BS43" s="83">
        <f t="shared" si="0"/>
        <v>0</v>
      </c>
      <c r="BT43" s="83">
        <f t="shared" si="0"/>
        <v>0</v>
      </c>
      <c r="BU43" s="83">
        <f t="shared" si="0"/>
        <v>0</v>
      </c>
      <c r="BV43" s="83">
        <f t="shared" si="0"/>
        <v>0</v>
      </c>
      <c r="BW43" s="83">
        <f t="shared" si="0"/>
        <v>0</v>
      </c>
      <c r="BX43" s="83">
        <f t="shared" si="0"/>
        <v>18</v>
      </c>
      <c r="BY43" s="83">
        <f t="shared" si="0"/>
        <v>0</v>
      </c>
      <c r="BZ43" s="84">
        <f t="shared" si="0"/>
        <v>0</v>
      </c>
    </row>
    <row r="44" spans="7:78" ht="20.25" hidden="1" x14ac:dyDescent="0.3">
      <c r="G44" s="20"/>
      <c r="H44" s="20"/>
      <c r="I44" s="20"/>
      <c r="J44" s="20"/>
      <c r="K44" s="20"/>
      <c r="L44" s="212"/>
      <c r="M44" s="213"/>
      <c r="N44" s="213"/>
      <c r="O44" s="213"/>
      <c r="P44" s="150"/>
      <c r="Q44" s="150"/>
      <c r="R44" s="150"/>
      <c r="S44" s="150"/>
      <c r="T44" s="150"/>
      <c r="U44" s="150"/>
      <c r="V44" s="53"/>
      <c r="W44" s="53"/>
      <c r="X44" s="53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54"/>
      <c r="AQ44" s="20"/>
      <c r="AR44" s="20"/>
      <c r="AS44" s="20"/>
      <c r="AT44" s="20"/>
      <c r="AU44" s="20"/>
      <c r="AV44" s="20"/>
      <c r="BB44" s="99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47"/>
      <c r="BV44" s="47"/>
      <c r="BW44" s="47"/>
      <c r="BX44" s="47"/>
      <c r="BY44" s="47"/>
      <c r="BZ44" s="47"/>
    </row>
    <row r="45" spans="7:78" ht="20.25" hidden="1" x14ac:dyDescent="0.3">
      <c r="G45" s="20"/>
      <c r="H45" s="20"/>
      <c r="I45" s="20"/>
      <c r="J45" s="20"/>
      <c r="K45" s="20"/>
      <c r="L45" s="212"/>
      <c r="M45" s="213"/>
      <c r="N45" s="213"/>
      <c r="O45" s="213"/>
      <c r="P45" s="150"/>
      <c r="Q45" s="150"/>
      <c r="R45" s="150"/>
      <c r="S45" s="150"/>
      <c r="T45" s="150"/>
      <c r="U45" s="150"/>
      <c r="V45" s="53"/>
      <c r="W45" s="53"/>
      <c r="X45" s="53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54"/>
      <c r="AQ45" s="20"/>
      <c r="AR45" s="20"/>
      <c r="AS45" s="20"/>
      <c r="AT45" s="20"/>
      <c r="AU45" s="20"/>
      <c r="AV45" s="20"/>
      <c r="BB45" s="45"/>
      <c r="BC45" s="47"/>
      <c r="BD45" s="100" t="b">
        <f>+AW84</f>
        <v>0</v>
      </c>
      <c r="BE45" s="100" t="b">
        <f>+AW85</f>
        <v>0</v>
      </c>
      <c r="BF45" s="100" t="b">
        <f>+AW86</f>
        <v>0</v>
      </c>
      <c r="BG45" s="100" t="b">
        <f>+AW87</f>
        <v>0</v>
      </c>
      <c r="BH45" s="100" t="b">
        <f>+AW88</f>
        <v>0</v>
      </c>
      <c r="BI45" s="100" t="b">
        <f>+AW89</f>
        <v>0</v>
      </c>
      <c r="BJ45" s="100" t="b">
        <f>+AW90</f>
        <v>0</v>
      </c>
      <c r="BK45" s="100" t="b">
        <f>+AW91</f>
        <v>0</v>
      </c>
      <c r="BL45" s="100" t="b">
        <f>+AW92</f>
        <v>0</v>
      </c>
      <c r="BM45" s="100" t="b">
        <f>+AW93</f>
        <v>0</v>
      </c>
      <c r="BN45" s="388">
        <f>+AW94</f>
        <v>11</v>
      </c>
      <c r="BO45" s="388" t="b">
        <f>+AW95</f>
        <v>0</v>
      </c>
      <c r="BP45" s="388" t="b">
        <f>+AW96</f>
        <v>0</v>
      </c>
      <c r="BQ45" s="100" t="b">
        <f>+AW97</f>
        <v>0</v>
      </c>
      <c r="BR45" s="100" t="b">
        <f>+AW98</f>
        <v>0</v>
      </c>
      <c r="BS45" s="100" t="b">
        <f>+AW99</f>
        <v>0</v>
      </c>
      <c r="BT45" s="100" t="b">
        <f>+AW100</f>
        <v>0</v>
      </c>
      <c r="BU45" s="100" t="b">
        <f>+AW101</f>
        <v>0</v>
      </c>
      <c r="BV45" s="100" t="b">
        <f>+AW102</f>
        <v>0</v>
      </c>
      <c r="BW45" s="100" t="b">
        <f>+AW103</f>
        <v>0</v>
      </c>
      <c r="BX45" s="100" t="b">
        <f>+AW104</f>
        <v>0</v>
      </c>
      <c r="BY45" s="100" t="b">
        <f>+AW105</f>
        <v>0</v>
      </c>
      <c r="BZ45" s="100" t="b">
        <f>+AW106</f>
        <v>0</v>
      </c>
    </row>
    <row r="46" spans="7:78" ht="20.25" hidden="1" x14ac:dyDescent="0.3">
      <c r="G46" s="20"/>
      <c r="H46" s="20"/>
      <c r="I46" s="20"/>
      <c r="J46" s="20"/>
      <c r="K46" s="20"/>
      <c r="L46" s="212"/>
      <c r="M46" s="213"/>
      <c r="N46" s="213"/>
      <c r="O46" s="213"/>
      <c r="P46" s="150"/>
      <c r="Q46" s="150"/>
      <c r="R46" s="150"/>
      <c r="S46" s="150"/>
      <c r="T46" s="150"/>
      <c r="U46" s="150"/>
      <c r="V46" s="53"/>
      <c r="W46" s="53"/>
      <c r="X46" s="53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54"/>
      <c r="AQ46" s="20"/>
      <c r="AR46" s="20"/>
      <c r="AS46" s="20"/>
      <c r="AT46" s="20"/>
      <c r="AU46" s="20"/>
      <c r="AV46" s="20"/>
      <c r="BB46" s="46"/>
      <c r="BC46" s="101"/>
      <c r="BD46" s="101" t="b">
        <f>+BD45</f>
        <v>0</v>
      </c>
      <c r="BE46" s="101" t="b">
        <f>+BE45</f>
        <v>0</v>
      </c>
      <c r="BF46" s="101" t="b">
        <f>+BF45</f>
        <v>0</v>
      </c>
      <c r="BG46" s="101" t="b">
        <f>+BG45</f>
        <v>0</v>
      </c>
      <c r="BH46" s="101" t="b">
        <f>+BH45</f>
        <v>0</v>
      </c>
      <c r="BI46" s="101" t="b">
        <f t="shared" ref="BI46:BK46" si="1">+BI45</f>
        <v>0</v>
      </c>
      <c r="BJ46" s="101" t="b">
        <f t="shared" si="1"/>
        <v>0</v>
      </c>
      <c r="BK46" s="101" t="b">
        <f t="shared" si="1"/>
        <v>0</v>
      </c>
      <c r="BL46" s="101" t="b">
        <f>+BL45</f>
        <v>0</v>
      </c>
      <c r="BM46" s="101" t="b">
        <f>+BM45</f>
        <v>0</v>
      </c>
      <c r="BN46" s="389">
        <f t="shared" ref="BN46:BZ46" si="2">+BN45</f>
        <v>11</v>
      </c>
      <c r="BO46" s="389" t="b">
        <f t="shared" si="2"/>
        <v>0</v>
      </c>
      <c r="BP46" s="389" t="b">
        <f t="shared" si="2"/>
        <v>0</v>
      </c>
      <c r="BQ46" s="101" t="b">
        <f t="shared" si="2"/>
        <v>0</v>
      </c>
      <c r="BR46" s="101" t="b">
        <f t="shared" si="2"/>
        <v>0</v>
      </c>
      <c r="BS46" s="101" t="b">
        <f t="shared" si="2"/>
        <v>0</v>
      </c>
      <c r="BT46" s="101" t="b">
        <f t="shared" si="2"/>
        <v>0</v>
      </c>
      <c r="BU46" s="101" t="b">
        <f t="shared" si="2"/>
        <v>0</v>
      </c>
      <c r="BV46" s="101" t="b">
        <f t="shared" si="2"/>
        <v>0</v>
      </c>
      <c r="BW46" s="101" t="b">
        <f t="shared" si="2"/>
        <v>0</v>
      </c>
      <c r="BX46" s="101" t="b">
        <f t="shared" si="2"/>
        <v>0</v>
      </c>
      <c r="BY46" s="101" t="b">
        <f t="shared" si="2"/>
        <v>0</v>
      </c>
      <c r="BZ46" s="101" t="b">
        <f t="shared" si="2"/>
        <v>0</v>
      </c>
    </row>
    <row r="47" spans="7:78" ht="21" thickBot="1" x14ac:dyDescent="0.35">
      <c r="G47" s="20"/>
      <c r="H47" s="20"/>
      <c r="I47" s="20"/>
      <c r="J47" s="20"/>
      <c r="K47" s="20"/>
      <c r="L47" s="212"/>
      <c r="M47" s="213"/>
      <c r="N47" s="213"/>
      <c r="O47" s="213"/>
      <c r="P47" s="150"/>
      <c r="Q47" s="150"/>
      <c r="R47" s="150"/>
      <c r="S47" s="150"/>
      <c r="T47" s="150"/>
      <c r="U47" s="150"/>
      <c r="V47" s="53"/>
      <c r="W47" s="53"/>
      <c r="X47" s="53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54"/>
      <c r="AQ47" s="20"/>
      <c r="AR47" s="20"/>
      <c r="AS47" s="20"/>
      <c r="AT47" s="20"/>
      <c r="AU47" s="20"/>
      <c r="AV47" s="20"/>
      <c r="BB47" s="46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</row>
    <row r="48" spans="7:78" ht="32.25" customHeight="1" thickBot="1" x14ac:dyDescent="0.4">
      <c r="G48" s="20"/>
      <c r="H48" s="20"/>
      <c r="I48" s="20"/>
      <c r="J48" s="20"/>
      <c r="K48" s="20"/>
      <c r="L48" s="212"/>
      <c r="M48" s="213"/>
      <c r="N48" s="213"/>
      <c r="O48" s="213"/>
      <c r="P48" s="150"/>
      <c r="Q48" s="150"/>
      <c r="R48" s="150"/>
      <c r="S48" s="150"/>
      <c r="T48" s="150"/>
      <c r="U48" s="150"/>
      <c r="V48" s="53"/>
      <c r="W48" s="53"/>
      <c r="X48" s="53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54"/>
      <c r="AQ48" s="20"/>
      <c r="AR48" s="20"/>
      <c r="AS48" s="20"/>
      <c r="AT48" s="20"/>
      <c r="AU48" s="20"/>
      <c r="AV48" s="20"/>
      <c r="BB48" s="102" t="s">
        <v>80</v>
      </c>
      <c r="BC48" s="14" t="str">
        <f>IF(BC46=11,"7","")</f>
        <v/>
      </c>
      <c r="BD48" s="489" t="str">
        <f>IF(BD46=1,"1","")</f>
        <v/>
      </c>
      <c r="BE48" s="490" t="str">
        <f>IF(BE46=2,"2","")</f>
        <v/>
      </c>
      <c r="BF48" s="490" t="str">
        <f>IF(BF46=3,"3","")</f>
        <v/>
      </c>
      <c r="BG48" s="490" t="str">
        <f>IF(BG46=4,"4","")</f>
        <v/>
      </c>
      <c r="BH48" s="490" t="str">
        <f>IF(BH46=5,"5","")</f>
        <v/>
      </c>
      <c r="BI48" s="490" t="str">
        <f>IF(BI46=6,"6","")</f>
        <v/>
      </c>
      <c r="BJ48" s="490" t="str">
        <f>IF(BJ46=7,"7","")</f>
        <v/>
      </c>
      <c r="BK48" s="490" t="str">
        <f>IF(BK46=8,"8","")</f>
        <v/>
      </c>
      <c r="BL48" s="490" t="str">
        <f>IF(BL46=9,"9","")</f>
        <v/>
      </c>
      <c r="BM48" s="490" t="str">
        <f>IF(BM46=10,"10","")</f>
        <v/>
      </c>
      <c r="BN48" s="390" t="str">
        <f>IF(BN46=11,"X","")</f>
        <v>X</v>
      </c>
      <c r="BO48" s="390" t="str">
        <f>IF(BO46=12,"X","")</f>
        <v/>
      </c>
      <c r="BP48" s="390" t="str">
        <f>IF(BP46=13,"X","")</f>
        <v/>
      </c>
      <c r="BQ48" s="490" t="str">
        <f>IF(BQ46=14,"11","")</f>
        <v/>
      </c>
      <c r="BR48" s="490" t="str">
        <f>IF(BR46=15,"12","")</f>
        <v/>
      </c>
      <c r="BS48" s="490" t="str">
        <f>IF(BS46=16,"13","")</f>
        <v/>
      </c>
      <c r="BT48" s="490" t="str">
        <f>IF(BT46=17,"14","")</f>
        <v/>
      </c>
      <c r="BU48" s="490" t="str">
        <f>IF(BU46=18,"15","")</f>
        <v/>
      </c>
      <c r="BV48" s="490" t="str">
        <f>IF(BV46=19,"16","")</f>
        <v/>
      </c>
      <c r="BW48" s="490" t="str">
        <f>IF(BW46=20,"17","")</f>
        <v/>
      </c>
      <c r="BX48" s="490" t="str">
        <f>IF(BX46=21,"18","")</f>
        <v/>
      </c>
      <c r="BY48" s="490" t="str">
        <f>IF(BY46=22,"19","")</f>
        <v/>
      </c>
      <c r="BZ48" s="491" t="str">
        <f>IF(BZ46=23,"20","")</f>
        <v/>
      </c>
    </row>
    <row r="49" spans="2:94" ht="20.25" x14ac:dyDescent="0.3">
      <c r="G49" s="20"/>
      <c r="H49" s="20"/>
      <c r="I49" s="20"/>
      <c r="J49" s="20"/>
      <c r="K49" s="20"/>
      <c r="L49" s="212"/>
      <c r="M49" s="213"/>
      <c r="N49" s="213"/>
      <c r="O49" s="213"/>
      <c r="P49" s="150"/>
      <c r="Q49" s="150"/>
      <c r="R49" s="150"/>
      <c r="S49" s="150"/>
      <c r="T49" s="150"/>
      <c r="U49" s="150"/>
      <c r="V49" s="53"/>
      <c r="W49" s="53"/>
      <c r="X49" s="53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54"/>
      <c r="AQ49" s="43"/>
      <c r="AR49" s="43"/>
      <c r="AS49" s="43"/>
      <c r="AT49" s="43"/>
      <c r="AU49" s="20"/>
      <c r="AV49" s="20"/>
      <c r="CP49" s="47"/>
    </row>
    <row r="50" spans="2:94" ht="15.75" customHeight="1" x14ac:dyDescent="0.3">
      <c r="G50" s="20"/>
      <c r="H50" s="20"/>
      <c r="I50" s="20"/>
      <c r="J50" s="20"/>
      <c r="K50" s="20"/>
      <c r="L50" s="214"/>
      <c r="M50" s="528"/>
      <c r="N50" s="528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215"/>
      <c r="Z50" s="526"/>
      <c r="AA50" s="526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54"/>
      <c r="AQ50" s="20"/>
      <c r="AR50" s="20"/>
      <c r="AS50" s="20"/>
      <c r="AT50" s="20"/>
      <c r="AU50" s="20"/>
      <c r="AV50" s="20"/>
      <c r="CP50" s="47"/>
    </row>
    <row r="51" spans="2:94" ht="16.5" thickBot="1" x14ac:dyDescent="0.3"/>
    <row r="52" spans="2:94" ht="20.25" hidden="1" x14ac:dyDescent="0.3">
      <c r="B52" s="217"/>
      <c r="C52" s="150"/>
      <c r="D52" s="150"/>
      <c r="E52" s="216"/>
      <c r="AP52" s="220"/>
      <c r="AQ52" s="75"/>
      <c r="AR52" s="75"/>
      <c r="AS52" s="75"/>
      <c r="AT52" s="75"/>
      <c r="CP52" s="47"/>
    </row>
    <row r="53" spans="2:94" ht="20.25" hidden="1" x14ac:dyDescent="0.3">
      <c r="B53" s="217"/>
      <c r="C53" s="150"/>
      <c r="D53" s="150"/>
      <c r="E53" s="216"/>
      <c r="AQ53" s="75"/>
      <c r="AR53" s="75"/>
      <c r="AS53" s="75"/>
      <c r="AT53" s="75"/>
      <c r="BB53" s="110" t="s">
        <v>49</v>
      </c>
      <c r="CD53" s="110" t="s">
        <v>48</v>
      </c>
    </row>
    <row r="54" spans="2:94" ht="20.25" hidden="1" x14ac:dyDescent="0.3">
      <c r="B54" s="217"/>
      <c r="C54" s="150"/>
      <c r="D54" s="150"/>
      <c r="E54" s="216"/>
      <c r="AQ54" s="75"/>
      <c r="AR54" s="75"/>
      <c r="AS54" s="75"/>
      <c r="AT54" s="75"/>
      <c r="BB54" s="110">
        <f>-+AT84</f>
        <v>253.30422863336406</v>
      </c>
      <c r="CD54" s="110">
        <f>+-AT106</f>
        <v>-296.69577136663594</v>
      </c>
    </row>
    <row r="55" spans="2:94" ht="21" hidden="1" thickBot="1" x14ac:dyDescent="0.35">
      <c r="B55" s="217"/>
      <c r="C55" s="150"/>
      <c r="D55" s="150"/>
      <c r="E55" s="216"/>
      <c r="AQ55" s="75"/>
      <c r="AR55" s="75"/>
      <c r="AS55" s="75"/>
      <c r="AT55" s="75"/>
    </row>
    <row r="56" spans="2:94" ht="49.5" customHeight="1" thickBot="1" x14ac:dyDescent="0.35">
      <c r="B56" s="523" t="s">
        <v>95</v>
      </c>
      <c r="C56" s="11"/>
      <c r="D56" s="510" t="str">
        <f>IF(BB54&gt;0," ","change the angle of frame")</f>
        <v xml:space="preserve"> </v>
      </c>
      <c r="E56" s="115"/>
      <c r="F56" s="115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99"/>
      <c r="S56" s="221"/>
      <c r="T56" s="221"/>
      <c r="U56" s="20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107"/>
      <c r="AN56" s="107"/>
      <c r="AO56" s="107"/>
      <c r="AQ56" s="75"/>
      <c r="AR56" s="75"/>
      <c r="AS56" s="75"/>
      <c r="AT56" s="75"/>
    </row>
    <row r="57" spans="2:94" ht="49.5" customHeight="1" thickBot="1" x14ac:dyDescent="0.4">
      <c r="B57" s="524"/>
      <c r="C57" s="11"/>
      <c r="D57" s="511"/>
      <c r="E57" s="115"/>
      <c r="F57" s="115"/>
      <c r="G57" s="107"/>
      <c r="H57" s="107"/>
      <c r="I57" s="107"/>
      <c r="J57" s="107"/>
      <c r="K57" s="107"/>
      <c r="L57" s="107"/>
      <c r="M57" s="107"/>
      <c r="N57" s="107"/>
      <c r="O57" s="107"/>
      <c r="P57" s="373" t="s">
        <v>85</v>
      </c>
      <c r="Q57" s="374"/>
      <c r="R57" s="374"/>
      <c r="S57" s="374"/>
      <c r="T57" s="342" t="s">
        <v>89</v>
      </c>
      <c r="U57" s="337"/>
      <c r="V57" s="33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Q57" s="75"/>
      <c r="AR57" s="75"/>
      <c r="AS57" s="75"/>
      <c r="AT57" s="75"/>
    </row>
    <row r="58" spans="2:94" ht="49.5" customHeight="1" thickBot="1" x14ac:dyDescent="0.35">
      <c r="B58" s="525"/>
      <c r="C58" s="120"/>
      <c r="D58" s="510" t="str">
        <f>IF(CD54&lt;0," ","change the angle of frame")</f>
        <v xml:space="preserve"> </v>
      </c>
      <c r="E58" s="115"/>
      <c r="F58" s="115"/>
      <c r="G58" s="107"/>
      <c r="H58" s="107"/>
      <c r="I58" s="107"/>
      <c r="J58" s="107"/>
      <c r="K58" s="107"/>
      <c r="L58" s="107"/>
      <c r="M58" s="107"/>
      <c r="N58" s="107"/>
      <c r="O58" s="107"/>
      <c r="P58" s="385" t="s">
        <v>86</v>
      </c>
      <c r="Q58" s="338" t="s">
        <v>87</v>
      </c>
      <c r="R58" s="338" t="s">
        <v>88</v>
      </c>
      <c r="S58" s="366" t="s">
        <v>91</v>
      </c>
      <c r="T58" s="339" t="s">
        <v>90</v>
      </c>
      <c r="U58" s="337"/>
      <c r="V58" s="337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107"/>
      <c r="AN58" s="107"/>
      <c r="AO58" s="107"/>
      <c r="AQ58" s="75"/>
      <c r="AR58" s="75"/>
      <c r="AS58" s="75"/>
      <c r="AT58" s="75"/>
    </row>
    <row r="59" spans="2:94" ht="49.5" customHeight="1" thickBot="1" x14ac:dyDescent="0.45">
      <c r="B59" s="3">
        <v>0</v>
      </c>
      <c r="C59" s="120"/>
      <c r="D59" s="511"/>
      <c r="E59" s="115"/>
      <c r="F59" s="115"/>
      <c r="P59" s="386">
        <v>3.9983525000000002</v>
      </c>
      <c r="Q59" s="350">
        <f>+$B$59-P59</f>
        <v>-3.9983525000000002</v>
      </c>
      <c r="R59" s="351">
        <f>COS(Q59*3.14159265358979/180)</f>
        <v>0.99756605564595913</v>
      </c>
      <c r="S59" s="367">
        <f>+R59*308.3419</f>
        <v>307.59141297338078</v>
      </c>
      <c r="T59" s="365">
        <f>+((X65*AF65)+(S59*5))/(AF65+5)</f>
        <v>285.89565681124907</v>
      </c>
      <c r="U59" s="337"/>
      <c r="V59" s="337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107"/>
      <c r="AN59" s="107"/>
      <c r="AO59" s="107"/>
      <c r="AQ59" s="75"/>
      <c r="AR59" s="75"/>
      <c r="AS59" s="75"/>
      <c r="AT59" s="75"/>
      <c r="AY59" s="122"/>
      <c r="AZ59" s="122"/>
      <c r="BB59" s="108"/>
      <c r="BC59" s="108"/>
      <c r="BD59" s="108"/>
      <c r="BE59" s="108"/>
      <c r="BF59" s="108"/>
      <c r="BG59" s="108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7"/>
    </row>
    <row r="60" spans="2:94" ht="31.5" customHeight="1" thickBot="1" x14ac:dyDescent="0.45">
      <c r="C60" s="11"/>
      <c r="D60" s="20"/>
      <c r="E60" s="20"/>
      <c r="F60" s="20"/>
      <c r="G60" s="222" t="s">
        <v>60</v>
      </c>
      <c r="H60" s="222" t="s">
        <v>61</v>
      </c>
      <c r="I60" s="222" t="s">
        <v>62</v>
      </c>
      <c r="O60" s="222" t="s">
        <v>63</v>
      </c>
      <c r="P60" s="222" t="s">
        <v>64</v>
      </c>
      <c r="Q60" s="217"/>
      <c r="R60" s="222" t="s">
        <v>65</v>
      </c>
      <c r="S60" s="20"/>
      <c r="T60" s="20"/>
      <c r="U60" s="223"/>
      <c r="V60" s="224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107"/>
      <c r="AN60" s="107"/>
      <c r="AO60" s="107"/>
      <c r="AQ60" s="75"/>
      <c r="AR60" s="75"/>
      <c r="AS60" s="75"/>
      <c r="AT60" s="75"/>
      <c r="AY60" s="122"/>
      <c r="AZ60" s="122"/>
      <c r="BA60" s="122"/>
    </row>
    <row r="61" spans="2:94" ht="77.25" customHeight="1" thickBot="1" x14ac:dyDescent="0.45">
      <c r="B61" s="225" t="s">
        <v>113</v>
      </c>
      <c r="C61" s="226"/>
      <c r="F61" s="13"/>
      <c r="S61" s="74"/>
      <c r="T61" s="74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515" t="s">
        <v>44</v>
      </c>
      <c r="AO61" s="516"/>
      <c r="AQ61" s="75"/>
      <c r="AR61" s="75"/>
      <c r="AS61" s="75"/>
      <c r="AT61" s="75"/>
      <c r="AY61" s="122"/>
      <c r="AZ61" s="122"/>
      <c r="BA61" s="122"/>
      <c r="CA61" s="58"/>
    </row>
    <row r="62" spans="2:94" ht="41.25" customHeight="1" thickBot="1" x14ac:dyDescent="0.45">
      <c r="B62" s="9">
        <v>1</v>
      </c>
      <c r="C62" s="22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107"/>
      <c r="V62" s="107"/>
      <c r="W62" s="107"/>
      <c r="X62" s="107"/>
      <c r="Y62" s="107"/>
      <c r="Z62" s="439" t="s">
        <v>93</v>
      </c>
      <c r="AA62" s="439" t="s">
        <v>93</v>
      </c>
      <c r="AB62" s="439" t="s">
        <v>93</v>
      </c>
      <c r="AC62" s="439" t="s">
        <v>93</v>
      </c>
      <c r="AD62" s="439" t="s">
        <v>93</v>
      </c>
      <c r="AE62" s="439" t="s">
        <v>93</v>
      </c>
      <c r="AF62" s="107"/>
      <c r="AG62" s="107"/>
      <c r="AH62" s="107"/>
      <c r="AI62" s="107"/>
      <c r="AJ62" s="107"/>
      <c r="AK62" s="107"/>
      <c r="AL62" s="107"/>
      <c r="AM62" s="229"/>
      <c r="AN62" s="230" t="s">
        <v>20</v>
      </c>
      <c r="AO62" s="230" t="s">
        <v>21</v>
      </c>
      <c r="AQ62" s="75"/>
      <c r="AR62" s="75"/>
      <c r="AS62" s="75"/>
      <c r="AT62" s="75"/>
      <c r="AY62" s="122"/>
      <c r="AZ62" s="122"/>
      <c r="BA62" s="122"/>
      <c r="CA62" s="87"/>
    </row>
    <row r="63" spans="2:94" ht="21.75" hidden="1" x14ac:dyDescent="0.4">
      <c r="B63" s="231"/>
      <c r="C63" s="232"/>
      <c r="D63" s="233"/>
      <c r="E63" s="234"/>
      <c r="F63" s="53"/>
      <c r="G63" s="235" t="s">
        <v>4</v>
      </c>
      <c r="H63" s="235" t="s">
        <v>1</v>
      </c>
      <c r="I63" s="236" t="s">
        <v>54</v>
      </c>
      <c r="J63" s="190" t="s">
        <v>2</v>
      </c>
      <c r="K63" s="190" t="s">
        <v>3</v>
      </c>
      <c r="L63" s="190" t="s">
        <v>8</v>
      </c>
      <c r="M63" s="190" t="s">
        <v>5</v>
      </c>
      <c r="N63" s="190" t="s">
        <v>6</v>
      </c>
      <c r="O63" s="190" t="s">
        <v>7</v>
      </c>
      <c r="P63" s="190" t="s">
        <v>9</v>
      </c>
      <c r="Q63" s="189" t="s">
        <v>10</v>
      </c>
      <c r="R63" s="190" t="s">
        <v>11</v>
      </c>
      <c r="S63" s="237" t="s">
        <v>12</v>
      </c>
      <c r="T63" s="238"/>
      <c r="U63" s="239"/>
      <c r="V63" s="139"/>
      <c r="W63" s="139"/>
      <c r="X63" s="139"/>
      <c r="Y63" s="139"/>
      <c r="Z63" s="429"/>
      <c r="AA63" s="429"/>
      <c r="AB63" s="429"/>
      <c r="AC63" s="429"/>
      <c r="AD63" s="429"/>
      <c r="AE63" s="429"/>
      <c r="AF63" s="139"/>
      <c r="AG63" s="139"/>
      <c r="AH63" s="139"/>
      <c r="AI63" s="139"/>
      <c r="AJ63" s="139"/>
      <c r="AK63" s="139"/>
      <c r="AL63" s="229"/>
      <c r="AM63" s="229"/>
      <c r="AN63" s="139"/>
      <c r="AO63" s="139"/>
      <c r="AQ63" s="75"/>
      <c r="AR63" s="75"/>
      <c r="AS63" s="75"/>
      <c r="AT63" s="75"/>
      <c r="AY63" s="122"/>
      <c r="AZ63" s="122"/>
      <c r="BA63" s="122"/>
      <c r="CA63" s="87"/>
    </row>
    <row r="64" spans="2:94" ht="48.75" hidden="1" thickBot="1" x14ac:dyDescent="0.45">
      <c r="B64" s="240"/>
      <c r="C64" s="241"/>
      <c r="D64" s="242"/>
      <c r="E64" s="243"/>
      <c r="F64" s="147"/>
      <c r="G64" s="235"/>
      <c r="H64" s="235"/>
      <c r="I64" s="236"/>
      <c r="J64" s="190"/>
      <c r="K64" s="190"/>
      <c r="L64" s="190"/>
      <c r="M64" s="190"/>
      <c r="N64" s="190"/>
      <c r="O64" s="190"/>
      <c r="P64" s="190"/>
      <c r="Q64" s="189"/>
      <c r="R64" s="190"/>
      <c r="S64" s="237"/>
      <c r="T64" s="238"/>
      <c r="U64" s="239"/>
      <c r="V64" s="139"/>
      <c r="W64" s="139"/>
      <c r="X64" s="238" t="s">
        <v>34</v>
      </c>
      <c r="Y64" s="244" t="s">
        <v>27</v>
      </c>
      <c r="Z64" s="430" t="s">
        <v>51</v>
      </c>
      <c r="AA64" s="431" t="s">
        <v>28</v>
      </c>
      <c r="AB64" s="432" t="s">
        <v>29</v>
      </c>
      <c r="AC64" s="433" t="s">
        <v>52</v>
      </c>
      <c r="AD64" s="434" t="s">
        <v>30</v>
      </c>
      <c r="AE64" s="435" t="s">
        <v>31</v>
      </c>
      <c r="AF64" s="410" t="s">
        <v>96</v>
      </c>
      <c r="AG64" s="245" t="s">
        <v>40</v>
      </c>
      <c r="AH64" s="245" t="s">
        <v>35</v>
      </c>
      <c r="AI64" s="245" t="s">
        <v>53</v>
      </c>
      <c r="AJ64" s="246" t="s">
        <v>37</v>
      </c>
      <c r="AK64" s="246" t="s">
        <v>38</v>
      </c>
      <c r="AL64" s="247" t="s">
        <v>20</v>
      </c>
      <c r="AM64" s="247" t="s">
        <v>21</v>
      </c>
      <c r="AN64" s="248"/>
      <c r="AO64" s="248"/>
      <c r="AQ64" s="75"/>
      <c r="AR64" s="75"/>
      <c r="AS64" s="75"/>
      <c r="AT64" s="75"/>
      <c r="AY64" s="122"/>
      <c r="AZ64" s="122"/>
      <c r="BA64" s="122"/>
      <c r="CA64" s="58"/>
    </row>
    <row r="65" spans="2:79" ht="39.75" hidden="1" customHeight="1" thickBot="1" x14ac:dyDescent="0.45">
      <c r="B65" s="249">
        <v>1</v>
      </c>
      <c r="C65" s="250">
        <f>+(B59*-1)+D65</f>
        <v>0</v>
      </c>
      <c r="D65" s="381">
        <v>0</v>
      </c>
      <c r="E65" s="251"/>
      <c r="F65" s="252"/>
      <c r="G65" s="382">
        <v>402.55309999999997</v>
      </c>
      <c r="H65" s="383">
        <v>45.2081819</v>
      </c>
      <c r="I65" s="222">
        <f>+H65-C65</f>
        <v>45.2081819</v>
      </c>
      <c r="J65" s="190"/>
      <c r="K65" s="190"/>
      <c r="L65" s="190"/>
      <c r="M65" s="190"/>
      <c r="N65" s="190"/>
      <c r="O65" s="222">
        <f>COS(I65*3.14159265358979/180)</f>
        <v>0.70453287530193887</v>
      </c>
      <c r="P65" s="222">
        <f>+O65*G65</f>
        <v>283.61189300470892</v>
      </c>
      <c r="Q65" s="384">
        <v>283.61189999999999</v>
      </c>
      <c r="R65" s="222">
        <f>+P65</f>
        <v>283.61189300470892</v>
      </c>
      <c r="S65" s="190">
        <f t="shared" ref="S65:S76" si="3">+R65</f>
        <v>283.61189300470892</v>
      </c>
      <c r="T65" s="136"/>
      <c r="U65" s="159" t="str">
        <f>IF(AM65&lt;0,"use the locking pin"," ")</f>
        <v xml:space="preserve"> </v>
      </c>
      <c r="V65" s="178">
        <f t="shared" ref="V65:V76" si="4">IF(B65&lt;($B$62+1),S65,0)</f>
        <v>283.61189300470892</v>
      </c>
      <c r="W65" s="254"/>
      <c r="X65" s="178">
        <f>SUM(V65:V76)/($B$62)</f>
        <v>283.61189300470892</v>
      </c>
      <c r="Y65" s="255">
        <f>+D65+C65</f>
        <v>0</v>
      </c>
      <c r="Z65" s="436">
        <f>54.5017821+Y65</f>
        <v>54.5017821</v>
      </c>
      <c r="AA65" s="437">
        <f>SIN(Z65*3.14159265358979/180)</f>
        <v>0.81413357986421619</v>
      </c>
      <c r="AB65" s="436">
        <f>+AA65*421.92</f>
        <v>343.49924001631013</v>
      </c>
      <c r="AC65" s="436">
        <f>58.7344156-Y65</f>
        <v>58.734415599999998</v>
      </c>
      <c r="AD65" s="438">
        <f>SIN(AC65*3.14159265358979/180)</f>
        <v>0.85477073319485097</v>
      </c>
      <c r="AE65" s="436">
        <f>+AD65*472.06</f>
        <v>403.50307231196138</v>
      </c>
      <c r="AF65" s="409">
        <f>47.5*B62</f>
        <v>47.5</v>
      </c>
      <c r="AG65" s="256">
        <f>+AE65+AB65</f>
        <v>747.0023123282715</v>
      </c>
      <c r="AH65" s="180">
        <f>+V65-AB65</f>
        <v>-59.887347011601207</v>
      </c>
      <c r="AI65" s="180">
        <f t="shared" ref="AI65:AI76" si="5">+X65-AH65</f>
        <v>343.49924001631013</v>
      </c>
      <c r="AJ65" s="181">
        <f>+((AG65-AI65)/AG65)*AF65</f>
        <v>25.657746460087875</v>
      </c>
      <c r="AK65" s="181">
        <f>+(AI65/AG65)*AF65</f>
        <v>21.842253539912125</v>
      </c>
      <c r="AL65" s="160">
        <f t="shared" ref="AL65:AL76" si="6">2*$B$25/AJ65</f>
        <v>452.10517681451404</v>
      </c>
      <c r="AM65" s="160">
        <f t="shared" ref="AM65:AM76" si="7">2*$C$25/AK65</f>
        <v>531.0807320683939</v>
      </c>
      <c r="AN65" s="257">
        <f>ABS(AL65)</f>
        <v>452.10517681451404</v>
      </c>
      <c r="AO65" s="257">
        <f>ABS(AM65)</f>
        <v>531.0807320683939</v>
      </c>
      <c r="AQ65" s="75"/>
      <c r="AR65" s="75"/>
      <c r="AS65" s="75"/>
      <c r="AT65" s="75"/>
      <c r="AY65" s="122"/>
      <c r="AZ65" s="122"/>
      <c r="BA65" s="122"/>
    </row>
    <row r="66" spans="2:79" ht="21" hidden="1" thickBot="1" x14ac:dyDescent="0.45">
      <c r="B66" s="258">
        <v>2</v>
      </c>
      <c r="C66" s="258"/>
      <c r="D66" s="381">
        <v>0</v>
      </c>
      <c r="E66" s="251"/>
      <c r="F66" s="259"/>
      <c r="G66" s="235">
        <v>402.55</v>
      </c>
      <c r="H66" s="235">
        <v>90.416363899999993</v>
      </c>
      <c r="I66" s="236">
        <f>+H66+D66</f>
        <v>90.416363899999993</v>
      </c>
      <c r="J66" s="190">
        <f t="shared" ref="J66:J76" si="8">+I66/2</f>
        <v>45.208181949999997</v>
      </c>
      <c r="K66" s="190">
        <f t="shared" ref="K66:K76" si="9">SIN(J66*3.14159265358979/180)</f>
        <v>0.70967135245226309</v>
      </c>
      <c r="L66" s="190">
        <f t="shared" ref="L66:L76" si="10">+K66*G66</f>
        <v>285.67820292965854</v>
      </c>
      <c r="M66" s="190">
        <f t="shared" ref="M66:M76" si="11">+L66*2</f>
        <v>571.35640585931708</v>
      </c>
      <c r="N66" s="190">
        <f>+C65+(D66/2)</f>
        <v>0</v>
      </c>
      <c r="O66" s="190">
        <f t="shared" ref="O66:O76" si="12">SIN(N66*3.14159265358979/180)</f>
        <v>0</v>
      </c>
      <c r="P66" s="190">
        <f t="shared" ref="P66:P76" si="13">+O66*M66</f>
        <v>0</v>
      </c>
      <c r="Q66" s="190">
        <f t="shared" ref="Q66:Q76" si="14">+S65</f>
        <v>283.61189300470892</v>
      </c>
      <c r="R66" s="190">
        <f>+Q66+P66</f>
        <v>283.61189300470892</v>
      </c>
      <c r="S66" s="190">
        <f t="shared" si="3"/>
        <v>283.61189300470892</v>
      </c>
      <c r="T66" s="136"/>
      <c r="U66" s="159" t="e">
        <f t="shared" ref="U66:U76" si="15">IF(AM66&lt;0,"use the locking pin"," ")</f>
        <v>#DIV/0!</v>
      </c>
      <c r="V66" s="178">
        <f t="shared" si="4"/>
        <v>0</v>
      </c>
      <c r="W66" s="254"/>
      <c r="X66" s="178" t="e">
        <f>SUM(V66:V76)/($B$62-B65)</f>
        <v>#DIV/0!</v>
      </c>
      <c r="Y66" s="179">
        <f>SUM(D66)+$C$65</f>
        <v>0</v>
      </c>
      <c r="Z66" s="436">
        <f t="shared" ref="Z66:Z76" si="16">54.5017821+Y66</f>
        <v>54.5017821</v>
      </c>
      <c r="AA66" s="437">
        <f>SIN(Z66*3.14159265358979/180)</f>
        <v>0.81413357986421619</v>
      </c>
      <c r="AB66" s="436">
        <f t="shared" ref="AB66:AB76" si="17">+AA66*421.92</f>
        <v>343.49924001631013</v>
      </c>
      <c r="AC66" s="436">
        <f t="shared" ref="AC66:AC76" si="18">58.7344156-Y66</f>
        <v>58.734415599999998</v>
      </c>
      <c r="AD66" s="438">
        <f t="shared" ref="AD66:AD76" si="19">SIN(AC66*3.14159265358979/180)</f>
        <v>0.85477073319485097</v>
      </c>
      <c r="AE66" s="436">
        <f t="shared" ref="AE66:AE76" si="20">+AD66*472.06</f>
        <v>403.50307231196138</v>
      </c>
      <c r="AF66" s="409">
        <f>47.5*($B$62-B65)</f>
        <v>0</v>
      </c>
      <c r="AG66" s="256">
        <f t="shared" ref="AG66:AG76" si="21">+AE66+AB66</f>
        <v>747.0023123282715</v>
      </c>
      <c r="AH66" s="180">
        <f t="shared" ref="AH66:AH76" si="22">+V66-AB66</f>
        <v>-343.49924001631013</v>
      </c>
      <c r="AI66" s="180" t="e">
        <f t="shared" si="5"/>
        <v>#DIV/0!</v>
      </c>
      <c r="AJ66" s="181" t="e">
        <f t="shared" ref="AJ66:AJ76" si="23">+((AG66-AI66)/AG66)*AF66</f>
        <v>#DIV/0!</v>
      </c>
      <c r="AK66" s="181" t="e">
        <f t="shared" ref="AK66:AK76" si="24">+(AI66/AG66)*AF66</f>
        <v>#DIV/0!</v>
      </c>
      <c r="AL66" s="160" t="e">
        <f t="shared" si="6"/>
        <v>#DIV/0!</v>
      </c>
      <c r="AM66" s="160" t="e">
        <f t="shared" si="7"/>
        <v>#DIV/0!</v>
      </c>
      <c r="AN66" s="257" t="e">
        <f t="shared" ref="AN66:AO76" si="25">ABS(AL66)</f>
        <v>#DIV/0!</v>
      </c>
      <c r="AO66" s="257" t="e">
        <f t="shared" si="25"/>
        <v>#DIV/0!</v>
      </c>
      <c r="AQ66" s="75"/>
      <c r="AR66" s="75"/>
      <c r="AS66" s="75"/>
      <c r="AT66" s="75"/>
      <c r="AY66" s="122"/>
      <c r="AZ66" s="122"/>
      <c r="BA66" s="122"/>
    </row>
    <row r="67" spans="2:79" ht="21" hidden="1" thickBot="1" x14ac:dyDescent="0.45">
      <c r="B67" s="258">
        <v>3</v>
      </c>
      <c r="C67" s="258"/>
      <c r="D67" s="381">
        <v>0</v>
      </c>
      <c r="E67" s="251"/>
      <c r="F67" s="259"/>
      <c r="G67" s="235">
        <v>402.55</v>
      </c>
      <c r="H67" s="235">
        <v>90.416363899999993</v>
      </c>
      <c r="I67" s="236">
        <f t="shared" ref="I67:I76" si="26">+H67+D67</f>
        <v>90.416363899999993</v>
      </c>
      <c r="J67" s="190">
        <f t="shared" si="8"/>
        <v>45.208181949999997</v>
      </c>
      <c r="K67" s="190">
        <f t="shared" si="9"/>
        <v>0.70967135245226309</v>
      </c>
      <c r="L67" s="190">
        <f t="shared" si="10"/>
        <v>285.67820292965854</v>
      </c>
      <c r="M67" s="190">
        <f t="shared" si="11"/>
        <v>571.35640585931708</v>
      </c>
      <c r="N67" s="190">
        <f>+C65+D66+(D67/2)</f>
        <v>0</v>
      </c>
      <c r="O67" s="190">
        <f t="shared" si="12"/>
        <v>0</v>
      </c>
      <c r="P67" s="190">
        <f t="shared" si="13"/>
        <v>0</v>
      </c>
      <c r="Q67" s="190">
        <f t="shared" si="14"/>
        <v>283.61189300470892</v>
      </c>
      <c r="R67" s="190">
        <f t="shared" ref="R67:R76" si="27">+R66+P67</f>
        <v>283.61189300470892</v>
      </c>
      <c r="S67" s="190">
        <f t="shared" si="3"/>
        <v>283.61189300470892</v>
      </c>
      <c r="T67" s="136"/>
      <c r="U67" s="159" t="str">
        <f t="shared" si="15"/>
        <v>use the locking pin</v>
      </c>
      <c r="V67" s="178">
        <f t="shared" si="4"/>
        <v>0</v>
      </c>
      <c r="W67" s="254"/>
      <c r="X67" s="178">
        <f>SUM(V67:V76)/($B$62-B66)</f>
        <v>0</v>
      </c>
      <c r="Y67" s="179">
        <f>SUM(D66:D67)+$C$65</f>
        <v>0</v>
      </c>
      <c r="Z67" s="436">
        <f t="shared" si="16"/>
        <v>54.5017821</v>
      </c>
      <c r="AA67" s="437">
        <f t="shared" ref="AA67:AA76" si="28">SIN(Z67*3.14159265358979/180)</f>
        <v>0.81413357986421619</v>
      </c>
      <c r="AB67" s="436">
        <f t="shared" si="17"/>
        <v>343.49924001631013</v>
      </c>
      <c r="AC67" s="436">
        <f t="shared" si="18"/>
        <v>58.734415599999998</v>
      </c>
      <c r="AD67" s="438">
        <f t="shared" si="19"/>
        <v>0.85477073319485097</v>
      </c>
      <c r="AE67" s="436">
        <f t="shared" si="20"/>
        <v>403.50307231196138</v>
      </c>
      <c r="AF67" s="409">
        <f t="shared" ref="AF67:AF76" si="29">47.5*($B$62-B66)</f>
        <v>-47.5</v>
      </c>
      <c r="AG67" s="256">
        <f t="shared" si="21"/>
        <v>747.0023123282715</v>
      </c>
      <c r="AH67" s="180">
        <f t="shared" si="22"/>
        <v>-343.49924001631013</v>
      </c>
      <c r="AI67" s="180">
        <f t="shared" si="5"/>
        <v>343.49924001631013</v>
      </c>
      <c r="AJ67" s="181">
        <f t="shared" si="23"/>
        <v>-25.657746460087875</v>
      </c>
      <c r="AK67" s="181">
        <f t="shared" si="24"/>
        <v>-21.842253539912125</v>
      </c>
      <c r="AL67" s="160">
        <f t="shared" si="6"/>
        <v>-452.10517681451404</v>
      </c>
      <c r="AM67" s="160">
        <f t="shared" si="7"/>
        <v>-531.0807320683939</v>
      </c>
      <c r="AN67" s="257">
        <f t="shared" si="25"/>
        <v>452.10517681451404</v>
      </c>
      <c r="AO67" s="257">
        <f t="shared" si="25"/>
        <v>531.0807320683939</v>
      </c>
      <c r="AQ67" s="75"/>
      <c r="AR67" s="75"/>
      <c r="AS67" s="75"/>
      <c r="AT67" s="75"/>
      <c r="AY67" s="122"/>
      <c r="AZ67" s="122"/>
      <c r="BA67" s="122"/>
    </row>
    <row r="68" spans="2:79" ht="21" hidden="1" thickBot="1" x14ac:dyDescent="0.45">
      <c r="B68" s="258">
        <v>4</v>
      </c>
      <c r="C68" s="258"/>
      <c r="D68" s="381">
        <v>0</v>
      </c>
      <c r="E68" s="251"/>
      <c r="F68" s="259"/>
      <c r="G68" s="235">
        <v>402.55</v>
      </c>
      <c r="H68" s="235">
        <v>90.416363899999993</v>
      </c>
      <c r="I68" s="236">
        <f t="shared" si="26"/>
        <v>90.416363899999993</v>
      </c>
      <c r="J68" s="190">
        <f t="shared" si="8"/>
        <v>45.208181949999997</v>
      </c>
      <c r="K68" s="190">
        <f t="shared" si="9"/>
        <v>0.70967135245226309</v>
      </c>
      <c r="L68" s="190">
        <f t="shared" si="10"/>
        <v>285.67820292965854</v>
      </c>
      <c r="M68" s="190">
        <f t="shared" si="11"/>
        <v>571.35640585931708</v>
      </c>
      <c r="N68" s="190">
        <f>+C65+D66+D67+(D68/2)</f>
        <v>0</v>
      </c>
      <c r="O68" s="190">
        <f t="shared" si="12"/>
        <v>0</v>
      </c>
      <c r="P68" s="190">
        <f t="shared" si="13"/>
        <v>0</v>
      </c>
      <c r="Q68" s="190">
        <f t="shared" si="14"/>
        <v>283.61189300470892</v>
      </c>
      <c r="R68" s="190">
        <f t="shared" si="27"/>
        <v>283.61189300470892</v>
      </c>
      <c r="S68" s="190">
        <f t="shared" si="3"/>
        <v>283.61189300470892</v>
      </c>
      <c r="T68" s="136"/>
      <c r="U68" s="159" t="str">
        <f t="shared" si="15"/>
        <v>use the locking pin</v>
      </c>
      <c r="V68" s="178">
        <f t="shared" si="4"/>
        <v>0</v>
      </c>
      <c r="W68" s="254"/>
      <c r="X68" s="178">
        <f>SUM(V68:V76)/($B$62-B67)</f>
        <v>0</v>
      </c>
      <c r="Y68" s="179">
        <f>SUM(D66:D68)+$C$65</f>
        <v>0</v>
      </c>
      <c r="Z68" s="436">
        <f t="shared" si="16"/>
        <v>54.5017821</v>
      </c>
      <c r="AA68" s="437">
        <f t="shared" si="28"/>
        <v>0.81413357986421619</v>
      </c>
      <c r="AB68" s="436">
        <f t="shared" si="17"/>
        <v>343.49924001631013</v>
      </c>
      <c r="AC68" s="436">
        <f t="shared" si="18"/>
        <v>58.734415599999998</v>
      </c>
      <c r="AD68" s="438">
        <f t="shared" si="19"/>
        <v>0.85477073319485097</v>
      </c>
      <c r="AE68" s="436">
        <f t="shared" si="20"/>
        <v>403.50307231196138</v>
      </c>
      <c r="AF68" s="409">
        <f t="shared" si="29"/>
        <v>-95</v>
      </c>
      <c r="AG68" s="256">
        <f t="shared" si="21"/>
        <v>747.0023123282715</v>
      </c>
      <c r="AH68" s="180">
        <f t="shared" si="22"/>
        <v>-343.49924001631013</v>
      </c>
      <c r="AI68" s="180">
        <f t="shared" si="5"/>
        <v>343.49924001631013</v>
      </c>
      <c r="AJ68" s="181">
        <f t="shared" si="23"/>
        <v>-51.31549292017575</v>
      </c>
      <c r="AK68" s="181">
        <f t="shared" si="24"/>
        <v>-43.68450707982425</v>
      </c>
      <c r="AL68" s="160">
        <f t="shared" si="6"/>
        <v>-226.05258840725702</v>
      </c>
      <c r="AM68" s="160">
        <f t="shared" si="7"/>
        <v>-265.54036603419695</v>
      </c>
      <c r="AN68" s="257">
        <f t="shared" si="25"/>
        <v>226.05258840725702</v>
      </c>
      <c r="AO68" s="257">
        <f t="shared" si="25"/>
        <v>265.54036603419695</v>
      </c>
      <c r="AQ68" s="75"/>
      <c r="AR68" s="75"/>
      <c r="AS68" s="75"/>
      <c r="AT68" s="75"/>
      <c r="AY68" s="122"/>
      <c r="AZ68" s="122"/>
      <c r="BA68" s="122"/>
    </row>
    <row r="69" spans="2:79" ht="21" hidden="1" thickBot="1" x14ac:dyDescent="0.45">
      <c r="B69" s="258">
        <v>5</v>
      </c>
      <c r="C69" s="258"/>
      <c r="D69" s="381">
        <v>0</v>
      </c>
      <c r="E69" s="251"/>
      <c r="F69" s="259"/>
      <c r="G69" s="235">
        <v>402.55</v>
      </c>
      <c r="H69" s="235">
        <v>90.416363899999993</v>
      </c>
      <c r="I69" s="236">
        <f t="shared" si="26"/>
        <v>90.416363899999993</v>
      </c>
      <c r="J69" s="190">
        <f t="shared" si="8"/>
        <v>45.208181949999997</v>
      </c>
      <c r="K69" s="190">
        <f t="shared" si="9"/>
        <v>0.70967135245226309</v>
      </c>
      <c r="L69" s="190">
        <f t="shared" si="10"/>
        <v>285.67820292965854</v>
      </c>
      <c r="M69" s="190">
        <f t="shared" si="11"/>
        <v>571.35640585931708</v>
      </c>
      <c r="N69" s="190">
        <f>+C65+D66+D67+D68+(D69/2)</f>
        <v>0</v>
      </c>
      <c r="O69" s="190">
        <f t="shared" si="12"/>
        <v>0</v>
      </c>
      <c r="P69" s="190">
        <f t="shared" si="13"/>
        <v>0</v>
      </c>
      <c r="Q69" s="190">
        <f t="shared" si="14"/>
        <v>283.61189300470892</v>
      </c>
      <c r="R69" s="190">
        <f t="shared" si="27"/>
        <v>283.61189300470892</v>
      </c>
      <c r="S69" s="190">
        <f t="shared" si="3"/>
        <v>283.61189300470892</v>
      </c>
      <c r="T69" s="136"/>
      <c r="U69" s="159" t="str">
        <f t="shared" si="15"/>
        <v>use the locking pin</v>
      </c>
      <c r="V69" s="178">
        <f t="shared" si="4"/>
        <v>0</v>
      </c>
      <c r="W69" s="254"/>
      <c r="X69" s="178">
        <f>SUM(V69:V76)/($B$62-B68)</f>
        <v>0</v>
      </c>
      <c r="Y69" s="179">
        <f>SUM(D66:D69)+$C$65</f>
        <v>0</v>
      </c>
      <c r="Z69" s="436">
        <f t="shared" si="16"/>
        <v>54.5017821</v>
      </c>
      <c r="AA69" s="437">
        <f t="shared" si="28"/>
        <v>0.81413357986421619</v>
      </c>
      <c r="AB69" s="436">
        <f t="shared" si="17"/>
        <v>343.49924001631013</v>
      </c>
      <c r="AC69" s="436">
        <f t="shared" si="18"/>
        <v>58.734415599999998</v>
      </c>
      <c r="AD69" s="438">
        <f t="shared" si="19"/>
        <v>0.85477073319485097</v>
      </c>
      <c r="AE69" s="436">
        <f t="shared" si="20"/>
        <v>403.50307231196138</v>
      </c>
      <c r="AF69" s="409">
        <f t="shared" si="29"/>
        <v>-142.5</v>
      </c>
      <c r="AG69" s="256">
        <f t="shared" si="21"/>
        <v>747.0023123282715</v>
      </c>
      <c r="AH69" s="180">
        <f t="shared" si="22"/>
        <v>-343.49924001631013</v>
      </c>
      <c r="AI69" s="180">
        <f t="shared" si="5"/>
        <v>343.49924001631013</v>
      </c>
      <c r="AJ69" s="181">
        <f t="shared" si="23"/>
        <v>-76.973239380263635</v>
      </c>
      <c r="AK69" s="181">
        <f t="shared" si="24"/>
        <v>-65.526760619736365</v>
      </c>
      <c r="AL69" s="160">
        <f t="shared" si="6"/>
        <v>-150.70172560483797</v>
      </c>
      <c r="AM69" s="160">
        <f t="shared" si="7"/>
        <v>-177.02691068946467</v>
      </c>
      <c r="AN69" s="257">
        <f t="shared" si="25"/>
        <v>150.70172560483797</v>
      </c>
      <c r="AO69" s="257">
        <f t="shared" si="25"/>
        <v>177.02691068946467</v>
      </c>
      <c r="AQ69" s="75"/>
      <c r="AR69" s="75"/>
      <c r="AS69" s="75"/>
      <c r="AT69" s="75"/>
      <c r="AY69" s="122"/>
      <c r="AZ69" s="122"/>
      <c r="BA69" s="122"/>
    </row>
    <row r="70" spans="2:79" ht="22.5" hidden="1" thickBot="1" x14ac:dyDescent="0.45">
      <c r="B70" s="258">
        <v>6</v>
      </c>
      <c r="C70" s="258"/>
      <c r="D70" s="381">
        <v>0</v>
      </c>
      <c r="E70" s="251"/>
      <c r="F70" s="259"/>
      <c r="G70" s="235">
        <v>402.55</v>
      </c>
      <c r="H70" s="235">
        <v>90.416363899999993</v>
      </c>
      <c r="I70" s="236">
        <f t="shared" si="26"/>
        <v>90.416363899999993</v>
      </c>
      <c r="J70" s="190">
        <f t="shared" si="8"/>
        <v>45.208181949999997</v>
      </c>
      <c r="K70" s="190">
        <f t="shared" si="9"/>
        <v>0.70967135245226309</v>
      </c>
      <c r="L70" s="190">
        <f t="shared" si="10"/>
        <v>285.67820292965854</v>
      </c>
      <c r="M70" s="190">
        <f t="shared" si="11"/>
        <v>571.35640585931708</v>
      </c>
      <c r="N70" s="190">
        <f>+C65+D66+D67+D68+D69+(D70/2)</f>
        <v>0</v>
      </c>
      <c r="O70" s="190">
        <f t="shared" si="12"/>
        <v>0</v>
      </c>
      <c r="P70" s="190">
        <f t="shared" si="13"/>
        <v>0</v>
      </c>
      <c r="Q70" s="190">
        <f t="shared" si="14"/>
        <v>283.61189300470892</v>
      </c>
      <c r="R70" s="190">
        <f t="shared" si="27"/>
        <v>283.61189300470892</v>
      </c>
      <c r="S70" s="190">
        <f t="shared" si="3"/>
        <v>283.61189300470892</v>
      </c>
      <c r="T70" s="136"/>
      <c r="U70" s="159" t="str">
        <f t="shared" si="15"/>
        <v>use the locking pin</v>
      </c>
      <c r="V70" s="178">
        <f t="shared" si="4"/>
        <v>0</v>
      </c>
      <c r="W70" s="254"/>
      <c r="X70" s="178">
        <f>SUM(V70:V76)/($B$62-B69)</f>
        <v>0</v>
      </c>
      <c r="Y70" s="179">
        <f>SUM(D66:D70)+$C$65</f>
        <v>0</v>
      </c>
      <c r="Z70" s="436">
        <f t="shared" si="16"/>
        <v>54.5017821</v>
      </c>
      <c r="AA70" s="437">
        <f t="shared" si="28"/>
        <v>0.81413357986421619</v>
      </c>
      <c r="AB70" s="436">
        <f t="shared" si="17"/>
        <v>343.49924001631013</v>
      </c>
      <c r="AC70" s="436">
        <f t="shared" si="18"/>
        <v>58.734415599999998</v>
      </c>
      <c r="AD70" s="438">
        <f t="shared" si="19"/>
        <v>0.85477073319485097</v>
      </c>
      <c r="AE70" s="436">
        <f t="shared" si="20"/>
        <v>403.50307231196138</v>
      </c>
      <c r="AF70" s="409">
        <f t="shared" si="29"/>
        <v>-190</v>
      </c>
      <c r="AG70" s="256">
        <f t="shared" si="21"/>
        <v>747.0023123282715</v>
      </c>
      <c r="AH70" s="180">
        <f t="shared" si="22"/>
        <v>-343.49924001631013</v>
      </c>
      <c r="AI70" s="180">
        <f t="shared" si="5"/>
        <v>343.49924001631013</v>
      </c>
      <c r="AJ70" s="181">
        <f t="shared" si="23"/>
        <v>-102.6309858403515</v>
      </c>
      <c r="AK70" s="181">
        <f t="shared" si="24"/>
        <v>-87.369014159648501</v>
      </c>
      <c r="AL70" s="160">
        <f t="shared" si="6"/>
        <v>-113.02629420362851</v>
      </c>
      <c r="AM70" s="160">
        <f t="shared" si="7"/>
        <v>-132.77018301709847</v>
      </c>
      <c r="AN70" s="257">
        <f t="shared" si="25"/>
        <v>113.02629420362851</v>
      </c>
      <c r="AO70" s="257">
        <f t="shared" si="25"/>
        <v>132.77018301709847</v>
      </c>
      <c r="AQ70" s="75"/>
      <c r="AR70" s="75"/>
      <c r="AS70" s="75"/>
      <c r="AT70" s="75"/>
      <c r="AU70" s="75"/>
      <c r="AW70" s="75"/>
      <c r="AX70" s="75"/>
      <c r="AY70" s="122"/>
      <c r="AZ70" s="122"/>
      <c r="BA70" s="122"/>
      <c r="CA70" s="87"/>
    </row>
    <row r="71" spans="2:79" ht="22.5" hidden="1" thickBot="1" x14ac:dyDescent="0.45">
      <c r="B71" s="258">
        <v>7</v>
      </c>
      <c r="C71" s="258"/>
      <c r="D71" s="381">
        <v>0</v>
      </c>
      <c r="E71" s="251"/>
      <c r="F71" s="259"/>
      <c r="G71" s="235">
        <v>402.55</v>
      </c>
      <c r="H71" s="235">
        <v>90.416363899999993</v>
      </c>
      <c r="I71" s="236">
        <f t="shared" si="26"/>
        <v>90.416363899999993</v>
      </c>
      <c r="J71" s="190">
        <f t="shared" si="8"/>
        <v>45.208181949999997</v>
      </c>
      <c r="K71" s="190">
        <f t="shared" si="9"/>
        <v>0.70967135245226309</v>
      </c>
      <c r="L71" s="190">
        <f t="shared" si="10"/>
        <v>285.67820292965854</v>
      </c>
      <c r="M71" s="190">
        <f t="shared" si="11"/>
        <v>571.35640585931708</v>
      </c>
      <c r="N71" s="190">
        <f>+C65+D66+D67+D68+D69+D70+(D71/2)</f>
        <v>0</v>
      </c>
      <c r="O71" s="190">
        <f t="shared" si="12"/>
        <v>0</v>
      </c>
      <c r="P71" s="190">
        <f t="shared" si="13"/>
        <v>0</v>
      </c>
      <c r="Q71" s="190">
        <f t="shared" si="14"/>
        <v>283.61189300470892</v>
      </c>
      <c r="R71" s="190">
        <f t="shared" si="27"/>
        <v>283.61189300470892</v>
      </c>
      <c r="S71" s="190">
        <f t="shared" si="3"/>
        <v>283.61189300470892</v>
      </c>
      <c r="T71" s="136"/>
      <c r="U71" s="159" t="str">
        <f t="shared" si="15"/>
        <v>use the locking pin</v>
      </c>
      <c r="V71" s="178">
        <f t="shared" si="4"/>
        <v>0</v>
      </c>
      <c r="W71" s="254"/>
      <c r="X71" s="178">
        <f>SUM(V71:V76)/($B$62-B70)</f>
        <v>0</v>
      </c>
      <c r="Y71" s="179">
        <f>SUM(D66:D71)+$C$65</f>
        <v>0</v>
      </c>
      <c r="Z71" s="436">
        <f t="shared" si="16"/>
        <v>54.5017821</v>
      </c>
      <c r="AA71" s="437">
        <f t="shared" si="28"/>
        <v>0.81413357986421619</v>
      </c>
      <c r="AB71" s="436">
        <f t="shared" si="17"/>
        <v>343.49924001631013</v>
      </c>
      <c r="AC71" s="436">
        <f t="shared" si="18"/>
        <v>58.734415599999998</v>
      </c>
      <c r="AD71" s="438">
        <f t="shared" si="19"/>
        <v>0.85477073319485097</v>
      </c>
      <c r="AE71" s="436">
        <f t="shared" si="20"/>
        <v>403.50307231196138</v>
      </c>
      <c r="AF71" s="409">
        <f t="shared" si="29"/>
        <v>-237.5</v>
      </c>
      <c r="AG71" s="256">
        <f t="shared" si="21"/>
        <v>747.0023123282715</v>
      </c>
      <c r="AH71" s="180">
        <f t="shared" si="22"/>
        <v>-343.49924001631013</v>
      </c>
      <c r="AI71" s="180">
        <f t="shared" si="5"/>
        <v>343.49924001631013</v>
      </c>
      <c r="AJ71" s="181">
        <f t="shared" si="23"/>
        <v>-128.28873230043939</v>
      </c>
      <c r="AK71" s="181">
        <f t="shared" si="24"/>
        <v>-109.21126769956062</v>
      </c>
      <c r="AL71" s="160">
        <f t="shared" si="6"/>
        <v>-90.421035362902799</v>
      </c>
      <c r="AM71" s="160">
        <f t="shared" si="7"/>
        <v>-106.21614641367879</v>
      </c>
      <c r="AN71" s="257">
        <f t="shared" si="25"/>
        <v>90.421035362902799</v>
      </c>
      <c r="AO71" s="257">
        <f t="shared" si="25"/>
        <v>106.21614641367879</v>
      </c>
      <c r="AQ71" s="75"/>
      <c r="AR71" s="75"/>
      <c r="AS71" s="75"/>
      <c r="AT71" s="75"/>
      <c r="AU71" s="75"/>
      <c r="AV71" s="75"/>
      <c r="AW71" s="75"/>
      <c r="AX71" s="75"/>
      <c r="AY71" s="122"/>
      <c r="AZ71" s="122"/>
      <c r="BA71" s="122"/>
      <c r="CA71" s="87"/>
    </row>
    <row r="72" spans="2:79" ht="22.5" hidden="1" thickBot="1" x14ac:dyDescent="0.45">
      <c r="B72" s="258">
        <v>8</v>
      </c>
      <c r="C72" s="258"/>
      <c r="D72" s="381">
        <v>0</v>
      </c>
      <c r="E72" s="251"/>
      <c r="F72" s="259"/>
      <c r="G72" s="235">
        <v>402.55</v>
      </c>
      <c r="H72" s="235">
        <v>90.416363899999993</v>
      </c>
      <c r="I72" s="236">
        <f t="shared" si="26"/>
        <v>90.416363899999993</v>
      </c>
      <c r="J72" s="190">
        <f t="shared" si="8"/>
        <v>45.208181949999997</v>
      </c>
      <c r="K72" s="190">
        <f t="shared" si="9"/>
        <v>0.70967135245226309</v>
      </c>
      <c r="L72" s="190">
        <f t="shared" si="10"/>
        <v>285.67820292965854</v>
      </c>
      <c r="M72" s="190">
        <f t="shared" si="11"/>
        <v>571.35640585931708</v>
      </c>
      <c r="N72" s="190">
        <f>+C65+D66+D67+D68+D69+D70+D71+(D72/2)</f>
        <v>0</v>
      </c>
      <c r="O72" s="190">
        <f t="shared" si="12"/>
        <v>0</v>
      </c>
      <c r="P72" s="190">
        <f t="shared" si="13"/>
        <v>0</v>
      </c>
      <c r="Q72" s="190">
        <f t="shared" si="14"/>
        <v>283.61189300470892</v>
      </c>
      <c r="R72" s="190">
        <f t="shared" si="27"/>
        <v>283.61189300470892</v>
      </c>
      <c r="S72" s="190">
        <f t="shared" si="3"/>
        <v>283.61189300470892</v>
      </c>
      <c r="T72" s="136"/>
      <c r="U72" s="159" t="str">
        <f t="shared" si="15"/>
        <v>use the locking pin</v>
      </c>
      <c r="V72" s="178">
        <f t="shared" si="4"/>
        <v>0</v>
      </c>
      <c r="W72" s="254"/>
      <c r="X72" s="178">
        <f>SUM(V72:V76)/($B$62-B71)</f>
        <v>0</v>
      </c>
      <c r="Y72" s="179">
        <f>SUM(D66:D72)+$C$65</f>
        <v>0</v>
      </c>
      <c r="Z72" s="436">
        <f t="shared" si="16"/>
        <v>54.5017821</v>
      </c>
      <c r="AA72" s="437">
        <f t="shared" si="28"/>
        <v>0.81413357986421619</v>
      </c>
      <c r="AB72" s="436">
        <f t="shared" si="17"/>
        <v>343.49924001631013</v>
      </c>
      <c r="AC72" s="436">
        <f t="shared" si="18"/>
        <v>58.734415599999998</v>
      </c>
      <c r="AD72" s="438">
        <f t="shared" si="19"/>
        <v>0.85477073319485097</v>
      </c>
      <c r="AE72" s="436">
        <f t="shared" si="20"/>
        <v>403.50307231196138</v>
      </c>
      <c r="AF72" s="409">
        <f t="shared" si="29"/>
        <v>-285</v>
      </c>
      <c r="AG72" s="256">
        <f t="shared" si="21"/>
        <v>747.0023123282715</v>
      </c>
      <c r="AH72" s="180">
        <f t="shared" si="22"/>
        <v>-343.49924001631013</v>
      </c>
      <c r="AI72" s="180">
        <f t="shared" si="5"/>
        <v>343.49924001631013</v>
      </c>
      <c r="AJ72" s="181">
        <f t="shared" si="23"/>
        <v>-153.94647876052727</v>
      </c>
      <c r="AK72" s="181">
        <f t="shared" si="24"/>
        <v>-131.05352123947273</v>
      </c>
      <c r="AL72" s="160">
        <f t="shared" si="6"/>
        <v>-75.350862802418987</v>
      </c>
      <c r="AM72" s="160">
        <f t="shared" si="7"/>
        <v>-88.513455344732336</v>
      </c>
      <c r="AN72" s="257">
        <f t="shared" si="25"/>
        <v>75.350862802418987</v>
      </c>
      <c r="AO72" s="257">
        <f t="shared" si="25"/>
        <v>88.513455344732336</v>
      </c>
      <c r="AQ72" s="75"/>
      <c r="AR72" s="75"/>
      <c r="AS72" s="75"/>
      <c r="AT72" s="75"/>
      <c r="AU72" s="75"/>
      <c r="AV72" s="75"/>
      <c r="AW72" s="75"/>
      <c r="AX72" s="75"/>
      <c r="AY72" s="122"/>
      <c r="AZ72" s="122"/>
      <c r="BA72" s="122"/>
      <c r="CA72" s="87"/>
    </row>
    <row r="73" spans="2:79" ht="22.5" hidden="1" thickBot="1" x14ac:dyDescent="0.45">
      <c r="B73" s="258">
        <v>9</v>
      </c>
      <c r="C73" s="258"/>
      <c r="D73" s="381">
        <v>0</v>
      </c>
      <c r="E73" s="251"/>
      <c r="F73" s="259"/>
      <c r="G73" s="235">
        <v>402.55</v>
      </c>
      <c r="H73" s="235">
        <v>90.416363899999993</v>
      </c>
      <c r="I73" s="236">
        <f t="shared" si="26"/>
        <v>90.416363899999993</v>
      </c>
      <c r="J73" s="190">
        <f t="shared" si="8"/>
        <v>45.208181949999997</v>
      </c>
      <c r="K73" s="190">
        <f t="shared" si="9"/>
        <v>0.70967135245226309</v>
      </c>
      <c r="L73" s="190">
        <f t="shared" si="10"/>
        <v>285.67820292965854</v>
      </c>
      <c r="M73" s="190">
        <f t="shared" si="11"/>
        <v>571.35640585931708</v>
      </c>
      <c r="N73" s="190">
        <f>+C65+D66+D67+D68+D69+D70+D71+D72+(D73/2)</f>
        <v>0</v>
      </c>
      <c r="O73" s="190">
        <f t="shared" si="12"/>
        <v>0</v>
      </c>
      <c r="P73" s="190">
        <f t="shared" si="13"/>
        <v>0</v>
      </c>
      <c r="Q73" s="190">
        <f t="shared" si="14"/>
        <v>283.61189300470892</v>
      </c>
      <c r="R73" s="190">
        <f t="shared" si="27"/>
        <v>283.61189300470892</v>
      </c>
      <c r="S73" s="190">
        <f t="shared" si="3"/>
        <v>283.61189300470892</v>
      </c>
      <c r="T73" s="136"/>
      <c r="U73" s="159" t="str">
        <f t="shared" si="15"/>
        <v>use the locking pin</v>
      </c>
      <c r="V73" s="178">
        <f t="shared" si="4"/>
        <v>0</v>
      </c>
      <c r="W73" s="254"/>
      <c r="X73" s="178">
        <f>SUM(V73:V76)/($B$62-B72)</f>
        <v>0</v>
      </c>
      <c r="Y73" s="179">
        <f>SUM(D66:D73)+$C$65</f>
        <v>0</v>
      </c>
      <c r="Z73" s="436">
        <f t="shared" si="16"/>
        <v>54.5017821</v>
      </c>
      <c r="AA73" s="437">
        <f t="shared" si="28"/>
        <v>0.81413357986421619</v>
      </c>
      <c r="AB73" s="436">
        <f t="shared" si="17"/>
        <v>343.49924001631013</v>
      </c>
      <c r="AC73" s="436">
        <f t="shared" si="18"/>
        <v>58.734415599999998</v>
      </c>
      <c r="AD73" s="438">
        <f t="shared" si="19"/>
        <v>0.85477073319485097</v>
      </c>
      <c r="AE73" s="436">
        <f t="shared" si="20"/>
        <v>403.50307231196138</v>
      </c>
      <c r="AF73" s="409">
        <f t="shared" si="29"/>
        <v>-332.5</v>
      </c>
      <c r="AG73" s="256">
        <f t="shared" si="21"/>
        <v>747.0023123282715</v>
      </c>
      <c r="AH73" s="180">
        <f t="shared" si="22"/>
        <v>-343.49924001631013</v>
      </c>
      <c r="AI73" s="180">
        <f t="shared" si="5"/>
        <v>343.49924001631013</v>
      </c>
      <c r="AJ73" s="181">
        <f t="shared" si="23"/>
        <v>-179.60422522061512</v>
      </c>
      <c r="AK73" s="181">
        <f t="shared" si="24"/>
        <v>-152.89577477938488</v>
      </c>
      <c r="AL73" s="160">
        <f t="shared" si="6"/>
        <v>-64.586453830644857</v>
      </c>
      <c r="AM73" s="160">
        <f t="shared" si="7"/>
        <v>-75.868676009770553</v>
      </c>
      <c r="AN73" s="257">
        <f t="shared" si="25"/>
        <v>64.586453830644857</v>
      </c>
      <c r="AO73" s="257">
        <f t="shared" si="25"/>
        <v>75.868676009770553</v>
      </c>
      <c r="AQ73" s="75"/>
      <c r="AR73" s="75"/>
      <c r="AS73" s="75"/>
      <c r="AT73" s="75"/>
      <c r="AU73" s="75"/>
      <c r="AV73" s="75"/>
      <c r="AW73" s="75"/>
      <c r="AX73" s="75"/>
      <c r="AY73" s="122"/>
      <c r="AZ73" s="122"/>
      <c r="BA73" s="122"/>
      <c r="CA73" s="87"/>
    </row>
    <row r="74" spans="2:79" ht="22.5" hidden="1" thickBot="1" x14ac:dyDescent="0.45">
      <c r="B74" s="258">
        <v>10</v>
      </c>
      <c r="C74" s="258"/>
      <c r="D74" s="381">
        <v>0</v>
      </c>
      <c r="E74" s="251"/>
      <c r="F74" s="259"/>
      <c r="G74" s="235">
        <v>402.55</v>
      </c>
      <c r="H74" s="235">
        <v>90.416363899999993</v>
      </c>
      <c r="I74" s="236">
        <f t="shared" si="26"/>
        <v>90.416363899999993</v>
      </c>
      <c r="J74" s="190">
        <f t="shared" si="8"/>
        <v>45.208181949999997</v>
      </c>
      <c r="K74" s="190">
        <f t="shared" si="9"/>
        <v>0.70967135245226309</v>
      </c>
      <c r="L74" s="190">
        <f t="shared" si="10"/>
        <v>285.67820292965854</v>
      </c>
      <c r="M74" s="190">
        <f t="shared" si="11"/>
        <v>571.35640585931708</v>
      </c>
      <c r="N74" s="190">
        <f>+C65+D66+D67+D68+D69+D70+D71+D72+D73+(D74/2)</f>
        <v>0</v>
      </c>
      <c r="O74" s="190">
        <f t="shared" si="12"/>
        <v>0</v>
      </c>
      <c r="P74" s="190">
        <f t="shared" si="13"/>
        <v>0</v>
      </c>
      <c r="Q74" s="190">
        <f t="shared" si="14"/>
        <v>283.61189300470892</v>
      </c>
      <c r="R74" s="190">
        <f t="shared" si="27"/>
        <v>283.61189300470892</v>
      </c>
      <c r="S74" s="190">
        <f t="shared" si="3"/>
        <v>283.61189300470892</v>
      </c>
      <c r="T74" s="136"/>
      <c r="U74" s="159" t="str">
        <f t="shared" si="15"/>
        <v>use the locking pin</v>
      </c>
      <c r="V74" s="178">
        <f t="shared" si="4"/>
        <v>0</v>
      </c>
      <c r="W74" s="254"/>
      <c r="X74" s="178">
        <f>SUM(V74:V76)/($B$62-B73)</f>
        <v>0</v>
      </c>
      <c r="Y74" s="179">
        <f>SUM(D66:D74)+$C$65</f>
        <v>0</v>
      </c>
      <c r="Z74" s="436">
        <f t="shared" si="16"/>
        <v>54.5017821</v>
      </c>
      <c r="AA74" s="437">
        <f t="shared" si="28"/>
        <v>0.81413357986421619</v>
      </c>
      <c r="AB74" s="436">
        <f t="shared" si="17"/>
        <v>343.49924001631013</v>
      </c>
      <c r="AC74" s="436">
        <f t="shared" si="18"/>
        <v>58.734415599999998</v>
      </c>
      <c r="AD74" s="438">
        <f t="shared" si="19"/>
        <v>0.85477073319485097</v>
      </c>
      <c r="AE74" s="436">
        <f t="shared" si="20"/>
        <v>403.50307231196138</v>
      </c>
      <c r="AF74" s="409">
        <f t="shared" si="29"/>
        <v>-380</v>
      </c>
      <c r="AG74" s="256">
        <f t="shared" si="21"/>
        <v>747.0023123282715</v>
      </c>
      <c r="AH74" s="180">
        <f t="shared" si="22"/>
        <v>-343.49924001631013</v>
      </c>
      <c r="AI74" s="180">
        <f t="shared" si="5"/>
        <v>343.49924001631013</v>
      </c>
      <c r="AJ74" s="181">
        <f t="shared" si="23"/>
        <v>-205.261971680703</v>
      </c>
      <c r="AK74" s="181">
        <f t="shared" si="24"/>
        <v>-174.738028319297</v>
      </c>
      <c r="AL74" s="160">
        <f t="shared" si="6"/>
        <v>-56.513147101814255</v>
      </c>
      <c r="AM74" s="160">
        <f t="shared" si="7"/>
        <v>-66.385091508549237</v>
      </c>
      <c r="AN74" s="257">
        <f t="shared" si="25"/>
        <v>56.513147101814255</v>
      </c>
      <c r="AO74" s="257">
        <f t="shared" si="25"/>
        <v>66.385091508549237</v>
      </c>
      <c r="AQ74" s="75"/>
      <c r="AR74" s="75"/>
      <c r="AS74" s="75"/>
      <c r="AT74" s="75"/>
      <c r="AU74" s="75"/>
      <c r="AV74" s="75"/>
      <c r="AW74" s="75"/>
      <c r="AX74" s="75"/>
      <c r="AY74" s="122"/>
      <c r="AZ74" s="122"/>
      <c r="BA74" s="122"/>
      <c r="CA74" s="87"/>
    </row>
    <row r="75" spans="2:79" ht="22.5" hidden="1" thickBot="1" x14ac:dyDescent="0.45">
      <c r="B75" s="258">
        <v>11</v>
      </c>
      <c r="C75" s="258"/>
      <c r="D75" s="381">
        <v>0</v>
      </c>
      <c r="E75" s="251"/>
      <c r="F75" s="259"/>
      <c r="G75" s="235">
        <v>402.55</v>
      </c>
      <c r="H75" s="235">
        <v>90.416363899999993</v>
      </c>
      <c r="I75" s="236">
        <f t="shared" si="26"/>
        <v>90.416363899999993</v>
      </c>
      <c r="J75" s="190">
        <f t="shared" si="8"/>
        <v>45.208181949999997</v>
      </c>
      <c r="K75" s="190">
        <f t="shared" si="9"/>
        <v>0.70967135245226309</v>
      </c>
      <c r="L75" s="190">
        <f t="shared" si="10"/>
        <v>285.67820292965854</v>
      </c>
      <c r="M75" s="190">
        <f t="shared" si="11"/>
        <v>571.35640585931708</v>
      </c>
      <c r="N75" s="190">
        <f>+C65+D66+D67+D68+D69+D70+D71+D72+D73+D74+(D75/2)</f>
        <v>0</v>
      </c>
      <c r="O75" s="190">
        <f t="shared" si="12"/>
        <v>0</v>
      </c>
      <c r="P75" s="190">
        <f t="shared" si="13"/>
        <v>0</v>
      </c>
      <c r="Q75" s="190">
        <f t="shared" si="14"/>
        <v>283.61189300470892</v>
      </c>
      <c r="R75" s="190">
        <f t="shared" si="27"/>
        <v>283.61189300470892</v>
      </c>
      <c r="S75" s="190">
        <f t="shared" si="3"/>
        <v>283.61189300470892</v>
      </c>
      <c r="T75" s="136"/>
      <c r="U75" s="159" t="str">
        <f t="shared" si="15"/>
        <v>use the locking pin</v>
      </c>
      <c r="V75" s="178">
        <f t="shared" si="4"/>
        <v>0</v>
      </c>
      <c r="W75" s="254"/>
      <c r="X75" s="178">
        <f>SUM(V75:V76)/($B$62-B74)</f>
        <v>0</v>
      </c>
      <c r="Y75" s="179">
        <f>SUM(D66:D75)+$C$65</f>
        <v>0</v>
      </c>
      <c r="Z75" s="436">
        <f t="shared" si="16"/>
        <v>54.5017821</v>
      </c>
      <c r="AA75" s="437">
        <f t="shared" si="28"/>
        <v>0.81413357986421619</v>
      </c>
      <c r="AB75" s="436">
        <f t="shared" si="17"/>
        <v>343.49924001631013</v>
      </c>
      <c r="AC75" s="436">
        <f t="shared" si="18"/>
        <v>58.734415599999998</v>
      </c>
      <c r="AD75" s="438">
        <f t="shared" si="19"/>
        <v>0.85477073319485097</v>
      </c>
      <c r="AE75" s="436">
        <f t="shared" si="20"/>
        <v>403.50307231196138</v>
      </c>
      <c r="AF75" s="409">
        <f t="shared" si="29"/>
        <v>-427.5</v>
      </c>
      <c r="AG75" s="256">
        <f t="shared" si="21"/>
        <v>747.0023123282715</v>
      </c>
      <c r="AH75" s="180">
        <f t="shared" si="22"/>
        <v>-343.49924001631013</v>
      </c>
      <c r="AI75" s="180">
        <f t="shared" si="5"/>
        <v>343.49924001631013</v>
      </c>
      <c r="AJ75" s="181">
        <f t="shared" si="23"/>
        <v>-230.91971814079088</v>
      </c>
      <c r="AK75" s="181">
        <f t="shared" si="24"/>
        <v>-196.58028185920912</v>
      </c>
      <c r="AL75" s="160">
        <f t="shared" si="6"/>
        <v>-50.233908534946003</v>
      </c>
      <c r="AM75" s="160">
        <f t="shared" si="7"/>
        <v>-59.00897022982155</v>
      </c>
      <c r="AN75" s="257">
        <f t="shared" si="25"/>
        <v>50.233908534946003</v>
      </c>
      <c r="AO75" s="257">
        <f t="shared" si="25"/>
        <v>59.00897022982155</v>
      </c>
      <c r="AQ75" s="75"/>
      <c r="AR75" s="75"/>
      <c r="AS75" s="75"/>
      <c r="AT75" s="75"/>
      <c r="AU75" s="75"/>
      <c r="AV75" s="75"/>
      <c r="AW75" s="75"/>
      <c r="AX75" s="75"/>
      <c r="AY75" s="122"/>
      <c r="AZ75" s="122"/>
      <c r="BA75" s="122"/>
      <c r="CA75" s="47"/>
    </row>
    <row r="76" spans="2:79" ht="22.5" hidden="1" thickBot="1" x14ac:dyDescent="0.45">
      <c r="B76" s="258">
        <v>12</v>
      </c>
      <c r="C76" s="258"/>
      <c r="D76" s="381">
        <v>0</v>
      </c>
      <c r="E76" s="251"/>
      <c r="F76" s="259"/>
      <c r="G76" s="235">
        <v>402.55</v>
      </c>
      <c r="H76" s="235">
        <v>90.416363899999993</v>
      </c>
      <c r="I76" s="236">
        <f t="shared" si="26"/>
        <v>90.416363899999993</v>
      </c>
      <c r="J76" s="190">
        <f t="shared" si="8"/>
        <v>45.208181949999997</v>
      </c>
      <c r="K76" s="190">
        <f t="shared" si="9"/>
        <v>0.70967135245226309</v>
      </c>
      <c r="L76" s="190">
        <f t="shared" si="10"/>
        <v>285.67820292965854</v>
      </c>
      <c r="M76" s="190">
        <f t="shared" si="11"/>
        <v>571.35640585931708</v>
      </c>
      <c r="N76" s="190">
        <f>+C65+D66+D67+D68+D69+D70+D71+D72+D73+D74+D75+(D76/2)</f>
        <v>0</v>
      </c>
      <c r="O76" s="190">
        <f t="shared" si="12"/>
        <v>0</v>
      </c>
      <c r="P76" s="190">
        <f t="shared" si="13"/>
        <v>0</v>
      </c>
      <c r="Q76" s="190">
        <f t="shared" si="14"/>
        <v>283.61189300470892</v>
      </c>
      <c r="R76" s="190">
        <f t="shared" si="27"/>
        <v>283.61189300470892</v>
      </c>
      <c r="S76" s="190">
        <f t="shared" si="3"/>
        <v>283.61189300470892</v>
      </c>
      <c r="T76" s="136"/>
      <c r="U76" s="159" t="str">
        <f t="shared" si="15"/>
        <v>use the locking pin</v>
      </c>
      <c r="V76" s="178">
        <f t="shared" si="4"/>
        <v>0</v>
      </c>
      <c r="W76" s="254"/>
      <c r="X76" s="178">
        <f>SUM(V76)/($B$62-B75)</f>
        <v>0</v>
      </c>
      <c r="Y76" s="179">
        <f>SUM(D66:D76)+$C$65</f>
        <v>0</v>
      </c>
      <c r="Z76" s="436">
        <f t="shared" si="16"/>
        <v>54.5017821</v>
      </c>
      <c r="AA76" s="437">
        <f t="shared" si="28"/>
        <v>0.81413357986421619</v>
      </c>
      <c r="AB76" s="436">
        <f t="shared" si="17"/>
        <v>343.49924001631013</v>
      </c>
      <c r="AC76" s="436">
        <f t="shared" si="18"/>
        <v>58.734415599999998</v>
      </c>
      <c r="AD76" s="438">
        <f t="shared" si="19"/>
        <v>0.85477073319485097</v>
      </c>
      <c r="AE76" s="436">
        <f t="shared" si="20"/>
        <v>403.50307231196138</v>
      </c>
      <c r="AF76" s="409">
        <f t="shared" si="29"/>
        <v>-475</v>
      </c>
      <c r="AG76" s="256">
        <f t="shared" si="21"/>
        <v>747.0023123282715</v>
      </c>
      <c r="AH76" s="180">
        <f t="shared" si="22"/>
        <v>-343.49924001631013</v>
      </c>
      <c r="AI76" s="180">
        <f t="shared" si="5"/>
        <v>343.49924001631013</v>
      </c>
      <c r="AJ76" s="181">
        <f t="shared" si="23"/>
        <v>-256.57746460087878</v>
      </c>
      <c r="AK76" s="181">
        <f t="shared" si="24"/>
        <v>-218.42253539912124</v>
      </c>
      <c r="AL76" s="160">
        <f t="shared" si="6"/>
        <v>-45.2105176814514</v>
      </c>
      <c r="AM76" s="160">
        <f t="shared" si="7"/>
        <v>-53.108073206839393</v>
      </c>
      <c r="AN76" s="257">
        <f t="shared" si="25"/>
        <v>45.2105176814514</v>
      </c>
      <c r="AO76" s="257">
        <f t="shared" si="25"/>
        <v>53.108073206839393</v>
      </c>
      <c r="AQ76" s="75"/>
      <c r="AR76" s="75"/>
      <c r="AS76" s="75"/>
      <c r="AT76" s="75"/>
      <c r="AU76" s="75"/>
      <c r="AV76" s="75"/>
      <c r="AW76" s="75"/>
      <c r="AX76" s="75"/>
      <c r="AY76" s="122"/>
      <c r="AZ76" s="122"/>
      <c r="BA76" s="122"/>
      <c r="CA76" s="47"/>
    </row>
    <row r="77" spans="2:79" ht="21.75" hidden="1" x14ac:dyDescent="0.4">
      <c r="G77" s="107"/>
      <c r="H77" s="107"/>
      <c r="I77" s="107"/>
      <c r="AQ77" s="75"/>
      <c r="AR77" s="75"/>
      <c r="AS77" s="75"/>
      <c r="AT77" s="75"/>
      <c r="AU77" s="75"/>
      <c r="AV77" s="75"/>
      <c r="AW77" s="75"/>
      <c r="AX77" s="75"/>
      <c r="AY77" s="122"/>
      <c r="AZ77" s="122"/>
      <c r="BA77" s="122"/>
      <c r="CA77" s="47"/>
    </row>
    <row r="78" spans="2:79" ht="21.75" hidden="1" x14ac:dyDescent="0.4">
      <c r="G78" s="107"/>
      <c r="H78" s="107"/>
      <c r="I78" s="107"/>
      <c r="AQ78" s="75"/>
      <c r="AR78" s="75"/>
      <c r="AS78" s="75"/>
      <c r="AT78" s="75"/>
      <c r="AU78" s="75"/>
      <c r="AV78" s="75"/>
      <c r="AW78" s="75"/>
      <c r="AX78" s="75"/>
      <c r="AY78" s="122"/>
      <c r="AZ78" s="122"/>
      <c r="BA78" s="122"/>
      <c r="CA78" s="47"/>
    </row>
    <row r="79" spans="2:79" ht="21.75" hidden="1" x14ac:dyDescent="0.4">
      <c r="G79" s="107"/>
      <c r="H79" s="107"/>
      <c r="I79" s="107"/>
      <c r="AQ79" s="75"/>
      <c r="AR79" s="75"/>
      <c r="AS79" s="75"/>
      <c r="AT79" s="75"/>
      <c r="AU79" s="75"/>
      <c r="AV79" s="75"/>
      <c r="AW79" s="75"/>
      <c r="AX79" s="75"/>
      <c r="AY79" s="122"/>
      <c r="AZ79" s="122"/>
      <c r="BA79" s="122"/>
      <c r="CA79" s="47"/>
    </row>
    <row r="80" spans="2:79" ht="21.75" hidden="1" x14ac:dyDescent="0.4">
      <c r="B80" s="229"/>
      <c r="AQ80" s="75"/>
      <c r="AR80" s="75"/>
      <c r="AS80" s="75"/>
      <c r="AT80" s="75"/>
      <c r="AU80" s="75"/>
      <c r="AV80" s="75"/>
      <c r="AW80" s="75"/>
      <c r="AX80" s="75"/>
      <c r="AY80" s="122"/>
      <c r="AZ80" s="122"/>
      <c r="BA80" s="122"/>
      <c r="CA80" s="47"/>
    </row>
    <row r="81" spans="43:79" ht="21.75" hidden="1" x14ac:dyDescent="0.4">
      <c r="AQ81" s="75"/>
      <c r="AR81" s="75"/>
      <c r="AS81" s="75"/>
      <c r="AT81" s="75"/>
      <c r="AU81" s="75"/>
      <c r="AV81" s="75"/>
      <c r="AY81" s="122"/>
      <c r="AZ81" s="122"/>
      <c r="BA81" s="122"/>
      <c r="CA81" s="47"/>
    </row>
    <row r="82" spans="43:79" ht="21.75" hidden="1" x14ac:dyDescent="0.4">
      <c r="AQ82" s="75"/>
      <c r="AR82" s="75"/>
      <c r="AS82" s="75"/>
      <c r="AT82" s="75"/>
      <c r="AU82" s="75"/>
      <c r="AV82" s="75"/>
      <c r="AW82" s="119"/>
      <c r="AY82" s="122"/>
      <c r="AZ82" s="122"/>
      <c r="BA82" s="122"/>
      <c r="CA82" s="47"/>
    </row>
    <row r="83" spans="43:79" ht="21.75" hidden="1" x14ac:dyDescent="0.4">
      <c r="AQ83" s="75"/>
      <c r="AR83" s="75"/>
      <c r="AS83" s="185" t="s">
        <v>79</v>
      </c>
      <c r="AT83" s="75"/>
      <c r="AU83" s="75"/>
      <c r="AV83" s="75"/>
      <c r="AW83" s="75"/>
      <c r="AY83" s="122"/>
      <c r="AZ83" s="122"/>
      <c r="BA83" s="122"/>
      <c r="CA83" s="47"/>
    </row>
    <row r="84" spans="43:79" ht="21.75" hidden="1" x14ac:dyDescent="0.4">
      <c r="AQ84" s="186">
        <v>1</v>
      </c>
      <c r="AR84" s="387">
        <v>0</v>
      </c>
      <c r="AS84" s="188">
        <f>+COS(($B$59*-1)*3.14159265358979/180)*AR84</f>
        <v>0</v>
      </c>
      <c r="AT84" s="191">
        <f t="shared" ref="AT84:AT106" si="30">+AS84-D$3</f>
        <v>-253.30422863336406</v>
      </c>
      <c r="AU84" s="190">
        <f t="shared" ref="AU84:AU106" si="31">ABS(AT84)</f>
        <v>253.30422863336406</v>
      </c>
      <c r="AV84" s="191">
        <f>MIN(AU84:AU120)</f>
        <v>3.3042286333640618</v>
      </c>
      <c r="AW84" s="190" t="b">
        <f t="shared" ref="AW84:AW106" si="32">IF(AV84=AU84,AQ84)</f>
        <v>0</v>
      </c>
      <c r="AX84" s="192">
        <v>1</v>
      </c>
      <c r="AY84" s="122"/>
      <c r="AZ84" s="122"/>
      <c r="BA84" s="122"/>
      <c r="CA84" s="47"/>
    </row>
    <row r="85" spans="43:79" ht="21.75" x14ac:dyDescent="0.4">
      <c r="AQ85" s="186">
        <v>2</v>
      </c>
      <c r="AR85" s="387">
        <f>+AR84+25</f>
        <v>25</v>
      </c>
      <c r="AS85" s="17">
        <f>+AS84+$E$2</f>
        <v>25</v>
      </c>
      <c r="AT85" s="191">
        <f t="shared" si="30"/>
        <v>-228.30422863336406</v>
      </c>
      <c r="AU85" s="190">
        <f t="shared" si="31"/>
        <v>228.30422863336406</v>
      </c>
      <c r="AV85" s="190">
        <f>+AV84</f>
        <v>3.3042286333640618</v>
      </c>
      <c r="AW85" s="190" t="b">
        <f t="shared" si="32"/>
        <v>0</v>
      </c>
      <c r="AX85" s="192">
        <v>2</v>
      </c>
      <c r="AY85" s="122"/>
      <c r="AZ85" s="122"/>
      <c r="BA85" s="122"/>
      <c r="CA85" s="47"/>
    </row>
    <row r="86" spans="43:79" ht="21.75" x14ac:dyDescent="0.4">
      <c r="AQ86" s="186">
        <v>3</v>
      </c>
      <c r="AR86" s="387">
        <f t="shared" ref="AR86:AR106" si="33">+AR85+25</f>
        <v>50</v>
      </c>
      <c r="AS86" s="17">
        <f t="shared" ref="AS86:AS106" si="34">+AS85+$E$2</f>
        <v>50</v>
      </c>
      <c r="AT86" s="191">
        <f t="shared" si="30"/>
        <v>-203.30422863336406</v>
      </c>
      <c r="AU86" s="190">
        <f t="shared" si="31"/>
        <v>203.30422863336406</v>
      </c>
      <c r="AV86" s="190">
        <f t="shared" ref="AV86:AV106" si="35">+AV85</f>
        <v>3.3042286333640618</v>
      </c>
      <c r="AW86" s="190" t="b">
        <f t="shared" si="32"/>
        <v>0</v>
      </c>
      <c r="AX86" s="192">
        <v>3</v>
      </c>
      <c r="AY86" s="122"/>
      <c r="AZ86" s="122"/>
      <c r="BA86" s="122"/>
      <c r="CA86" s="47"/>
    </row>
    <row r="87" spans="43:79" ht="21.75" x14ac:dyDescent="0.4">
      <c r="AQ87" s="186">
        <v>4</v>
      </c>
      <c r="AR87" s="387">
        <f t="shared" si="33"/>
        <v>75</v>
      </c>
      <c r="AS87" s="17">
        <f t="shared" si="34"/>
        <v>75</v>
      </c>
      <c r="AT87" s="191">
        <f t="shared" si="30"/>
        <v>-178.30422863336406</v>
      </c>
      <c r="AU87" s="190">
        <f t="shared" si="31"/>
        <v>178.30422863336406</v>
      </c>
      <c r="AV87" s="190">
        <f t="shared" si="35"/>
        <v>3.3042286333640618</v>
      </c>
      <c r="AW87" s="190" t="b">
        <f t="shared" si="32"/>
        <v>0</v>
      </c>
      <c r="AX87" s="192">
        <v>4</v>
      </c>
      <c r="AY87" s="122"/>
      <c r="AZ87" s="122"/>
      <c r="BA87" s="122"/>
      <c r="CA87" s="47"/>
    </row>
    <row r="88" spans="43:79" ht="21.75" x14ac:dyDescent="0.4">
      <c r="AQ88" s="186">
        <v>5</v>
      </c>
      <c r="AR88" s="387">
        <f t="shared" si="33"/>
        <v>100</v>
      </c>
      <c r="AS88" s="17">
        <f t="shared" si="34"/>
        <v>100</v>
      </c>
      <c r="AT88" s="191">
        <f t="shared" si="30"/>
        <v>-153.30422863336406</v>
      </c>
      <c r="AU88" s="190">
        <f t="shared" si="31"/>
        <v>153.30422863336406</v>
      </c>
      <c r="AV88" s="190">
        <f t="shared" si="35"/>
        <v>3.3042286333640618</v>
      </c>
      <c r="AW88" s="190" t="b">
        <f t="shared" si="32"/>
        <v>0</v>
      </c>
      <c r="AX88" s="192">
        <v>5</v>
      </c>
      <c r="AY88" s="122"/>
      <c r="AZ88" s="122"/>
      <c r="BA88" s="122"/>
      <c r="CA88" s="47"/>
    </row>
    <row r="89" spans="43:79" ht="21.75" x14ac:dyDescent="0.4">
      <c r="AQ89" s="186">
        <v>6</v>
      </c>
      <c r="AR89" s="387">
        <f t="shared" si="33"/>
        <v>125</v>
      </c>
      <c r="AS89" s="17">
        <f t="shared" si="34"/>
        <v>125</v>
      </c>
      <c r="AT89" s="191">
        <f t="shared" si="30"/>
        <v>-128.30422863336406</v>
      </c>
      <c r="AU89" s="190">
        <f t="shared" si="31"/>
        <v>128.30422863336406</v>
      </c>
      <c r="AV89" s="190">
        <f t="shared" si="35"/>
        <v>3.3042286333640618</v>
      </c>
      <c r="AW89" s="190" t="b">
        <f t="shared" si="32"/>
        <v>0</v>
      </c>
      <c r="AX89" s="192">
        <v>6</v>
      </c>
      <c r="AY89" s="122"/>
      <c r="AZ89" s="122"/>
      <c r="BA89" s="122"/>
      <c r="CA89" s="47"/>
    </row>
    <row r="90" spans="43:79" ht="21.75" x14ac:dyDescent="0.4">
      <c r="AQ90" s="186">
        <v>7</v>
      </c>
      <c r="AR90" s="387">
        <f t="shared" si="33"/>
        <v>150</v>
      </c>
      <c r="AS90" s="17">
        <f t="shared" si="34"/>
        <v>150</v>
      </c>
      <c r="AT90" s="191">
        <f t="shared" si="30"/>
        <v>-103.30422863336406</v>
      </c>
      <c r="AU90" s="190">
        <f t="shared" si="31"/>
        <v>103.30422863336406</v>
      </c>
      <c r="AV90" s="190">
        <f t="shared" si="35"/>
        <v>3.3042286333640618</v>
      </c>
      <c r="AW90" s="190" t="b">
        <f t="shared" si="32"/>
        <v>0</v>
      </c>
      <c r="AX90" s="192">
        <v>7</v>
      </c>
      <c r="AY90" s="122"/>
      <c r="AZ90" s="122"/>
      <c r="BA90" s="122"/>
      <c r="CA90" s="47"/>
    </row>
    <row r="91" spans="43:79" ht="21.75" x14ac:dyDescent="0.4">
      <c r="AQ91" s="186">
        <v>8</v>
      </c>
      <c r="AR91" s="387">
        <f t="shared" si="33"/>
        <v>175</v>
      </c>
      <c r="AS91" s="17">
        <f t="shared" si="34"/>
        <v>175</v>
      </c>
      <c r="AT91" s="191">
        <f t="shared" si="30"/>
        <v>-78.304228633364062</v>
      </c>
      <c r="AU91" s="190">
        <f t="shared" si="31"/>
        <v>78.304228633364062</v>
      </c>
      <c r="AV91" s="190">
        <f t="shared" si="35"/>
        <v>3.3042286333640618</v>
      </c>
      <c r="AW91" s="190" t="b">
        <f t="shared" si="32"/>
        <v>0</v>
      </c>
      <c r="AX91" s="192">
        <v>8</v>
      </c>
      <c r="AY91" s="122"/>
      <c r="AZ91" s="122"/>
      <c r="BA91" s="122"/>
      <c r="CA91" s="47"/>
    </row>
    <row r="92" spans="43:79" ht="21.75" x14ac:dyDescent="0.4">
      <c r="AQ92" s="186">
        <v>9</v>
      </c>
      <c r="AR92" s="387">
        <f t="shared" si="33"/>
        <v>200</v>
      </c>
      <c r="AS92" s="17">
        <f t="shared" si="34"/>
        <v>200</v>
      </c>
      <c r="AT92" s="191">
        <f t="shared" si="30"/>
        <v>-53.304228633364062</v>
      </c>
      <c r="AU92" s="190">
        <f t="shared" si="31"/>
        <v>53.304228633364062</v>
      </c>
      <c r="AV92" s="190">
        <f t="shared" si="35"/>
        <v>3.3042286333640618</v>
      </c>
      <c r="AW92" s="190" t="b">
        <f t="shared" si="32"/>
        <v>0</v>
      </c>
      <c r="AX92" s="192">
        <v>9</v>
      </c>
      <c r="AY92" s="122"/>
      <c r="AZ92" s="122"/>
      <c r="BA92" s="122"/>
      <c r="CA92" s="101"/>
    </row>
    <row r="93" spans="43:79" ht="20.25" x14ac:dyDescent="0.4">
      <c r="AQ93" s="186">
        <v>10</v>
      </c>
      <c r="AR93" s="387">
        <f t="shared" si="33"/>
        <v>225</v>
      </c>
      <c r="AS93" s="17">
        <f t="shared" si="34"/>
        <v>225</v>
      </c>
      <c r="AT93" s="191">
        <f t="shared" si="30"/>
        <v>-28.304228633364062</v>
      </c>
      <c r="AU93" s="190">
        <f t="shared" si="31"/>
        <v>28.304228633364062</v>
      </c>
      <c r="AV93" s="190">
        <f t="shared" si="35"/>
        <v>3.3042286333640618</v>
      </c>
      <c r="AW93" s="190" t="b">
        <f t="shared" si="32"/>
        <v>0</v>
      </c>
      <c r="AX93" s="192">
        <v>10</v>
      </c>
      <c r="AY93" s="122"/>
      <c r="AZ93" s="122"/>
      <c r="BA93" s="122"/>
    </row>
    <row r="94" spans="43:79" ht="20.25" x14ac:dyDescent="0.4">
      <c r="AQ94" s="186">
        <v>11</v>
      </c>
      <c r="AR94" s="387">
        <f t="shared" si="33"/>
        <v>250</v>
      </c>
      <c r="AS94" s="17">
        <f t="shared" si="34"/>
        <v>250</v>
      </c>
      <c r="AT94" s="191">
        <f t="shared" si="30"/>
        <v>-3.3042286333640618</v>
      </c>
      <c r="AU94" s="190">
        <f t="shared" si="31"/>
        <v>3.3042286333640618</v>
      </c>
      <c r="AV94" s="190">
        <f t="shared" si="35"/>
        <v>3.3042286333640618</v>
      </c>
      <c r="AW94" s="190">
        <f t="shared" si="32"/>
        <v>11</v>
      </c>
      <c r="AX94" s="192">
        <v>11</v>
      </c>
    </row>
    <row r="95" spans="43:79" ht="20.25" x14ac:dyDescent="0.4">
      <c r="AQ95" s="186">
        <v>12</v>
      </c>
      <c r="AR95" s="387">
        <f t="shared" si="33"/>
        <v>275</v>
      </c>
      <c r="AS95" s="17">
        <f t="shared" si="34"/>
        <v>275</v>
      </c>
      <c r="AT95" s="191">
        <f t="shared" si="30"/>
        <v>21.695771366635938</v>
      </c>
      <c r="AU95" s="190">
        <f t="shared" si="31"/>
        <v>21.695771366635938</v>
      </c>
      <c r="AV95" s="190">
        <f t="shared" si="35"/>
        <v>3.3042286333640618</v>
      </c>
      <c r="AW95" s="190" t="b">
        <f t="shared" si="32"/>
        <v>0</v>
      </c>
      <c r="AX95" s="192">
        <v>12</v>
      </c>
    </row>
    <row r="96" spans="43:79" ht="20.25" x14ac:dyDescent="0.4">
      <c r="AQ96" s="186">
        <v>13</v>
      </c>
      <c r="AR96" s="387">
        <f t="shared" si="33"/>
        <v>300</v>
      </c>
      <c r="AS96" s="17">
        <f t="shared" si="34"/>
        <v>300</v>
      </c>
      <c r="AT96" s="191">
        <f t="shared" si="30"/>
        <v>46.695771366635938</v>
      </c>
      <c r="AU96" s="190">
        <f t="shared" si="31"/>
        <v>46.695771366635938</v>
      </c>
      <c r="AV96" s="190">
        <f t="shared" si="35"/>
        <v>3.3042286333640618</v>
      </c>
      <c r="AW96" s="190" t="b">
        <f t="shared" si="32"/>
        <v>0</v>
      </c>
      <c r="AX96" s="192">
        <v>13</v>
      </c>
    </row>
    <row r="97" spans="42:79" ht="20.25" x14ac:dyDescent="0.4">
      <c r="AQ97" s="186">
        <v>14</v>
      </c>
      <c r="AR97" s="387">
        <f t="shared" si="33"/>
        <v>325</v>
      </c>
      <c r="AS97" s="17">
        <f t="shared" si="34"/>
        <v>325</v>
      </c>
      <c r="AT97" s="191">
        <f t="shared" si="30"/>
        <v>71.695771366635938</v>
      </c>
      <c r="AU97" s="190">
        <f t="shared" si="31"/>
        <v>71.695771366635938</v>
      </c>
      <c r="AV97" s="190">
        <f t="shared" si="35"/>
        <v>3.3042286333640618</v>
      </c>
      <c r="AW97" s="190" t="b">
        <f t="shared" si="32"/>
        <v>0</v>
      </c>
      <c r="AX97" s="192">
        <v>14</v>
      </c>
    </row>
    <row r="98" spans="42:79" ht="21.75" x14ac:dyDescent="0.4">
      <c r="AQ98" s="186">
        <v>15</v>
      </c>
      <c r="AR98" s="387">
        <f t="shared" si="33"/>
        <v>350</v>
      </c>
      <c r="AS98" s="17">
        <f t="shared" si="34"/>
        <v>350</v>
      </c>
      <c r="AT98" s="191">
        <f t="shared" si="30"/>
        <v>96.695771366635938</v>
      </c>
      <c r="AU98" s="190">
        <f t="shared" si="31"/>
        <v>96.695771366635938</v>
      </c>
      <c r="AV98" s="190">
        <f t="shared" si="35"/>
        <v>3.3042286333640618</v>
      </c>
      <c r="AW98" s="190" t="b">
        <f t="shared" si="32"/>
        <v>0</v>
      </c>
      <c r="AX98" s="192">
        <v>15</v>
      </c>
      <c r="BB98" s="79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</row>
    <row r="99" spans="42:79" ht="20.25" x14ac:dyDescent="0.4">
      <c r="AQ99" s="186">
        <v>16</v>
      </c>
      <c r="AR99" s="387">
        <f t="shared" si="33"/>
        <v>375</v>
      </c>
      <c r="AS99" s="17">
        <f t="shared" si="34"/>
        <v>375</v>
      </c>
      <c r="AT99" s="191">
        <f t="shared" si="30"/>
        <v>121.69577136663594</v>
      </c>
      <c r="AU99" s="190">
        <f t="shared" si="31"/>
        <v>121.69577136663594</v>
      </c>
      <c r="AV99" s="190">
        <f t="shared" si="35"/>
        <v>3.3042286333640618</v>
      </c>
      <c r="AW99" s="190" t="b">
        <f t="shared" si="32"/>
        <v>0</v>
      </c>
      <c r="AX99" s="192">
        <v>16</v>
      </c>
    </row>
    <row r="100" spans="42:79" ht="20.25" x14ac:dyDescent="0.4">
      <c r="AQ100" s="186">
        <v>17</v>
      </c>
      <c r="AR100" s="387">
        <f t="shared" si="33"/>
        <v>400</v>
      </c>
      <c r="AS100" s="17">
        <f t="shared" si="34"/>
        <v>400</v>
      </c>
      <c r="AT100" s="191">
        <f t="shared" si="30"/>
        <v>146.69577136663594</v>
      </c>
      <c r="AU100" s="190">
        <f t="shared" si="31"/>
        <v>146.69577136663594</v>
      </c>
      <c r="AV100" s="190">
        <f t="shared" si="35"/>
        <v>3.3042286333640618</v>
      </c>
      <c r="AW100" s="190" t="b">
        <f t="shared" si="32"/>
        <v>0</v>
      </c>
      <c r="AX100" s="192">
        <v>17</v>
      </c>
    </row>
    <row r="101" spans="42:79" ht="20.25" x14ac:dyDescent="0.4">
      <c r="AQ101" s="186">
        <v>18</v>
      </c>
      <c r="AR101" s="387">
        <f t="shared" si="33"/>
        <v>425</v>
      </c>
      <c r="AS101" s="17">
        <f t="shared" si="34"/>
        <v>425</v>
      </c>
      <c r="AT101" s="191">
        <f t="shared" si="30"/>
        <v>171.69577136663594</v>
      </c>
      <c r="AU101" s="190">
        <f t="shared" si="31"/>
        <v>171.69577136663594</v>
      </c>
      <c r="AV101" s="190">
        <f t="shared" si="35"/>
        <v>3.3042286333640618</v>
      </c>
      <c r="AW101" s="190" t="b">
        <f t="shared" si="32"/>
        <v>0</v>
      </c>
      <c r="AX101" s="192">
        <v>18</v>
      </c>
    </row>
    <row r="102" spans="42:79" ht="20.25" x14ac:dyDescent="0.4">
      <c r="AQ102" s="186">
        <v>19</v>
      </c>
      <c r="AR102" s="387">
        <f t="shared" si="33"/>
        <v>450</v>
      </c>
      <c r="AS102" s="17">
        <f t="shared" si="34"/>
        <v>450</v>
      </c>
      <c r="AT102" s="191">
        <f t="shared" si="30"/>
        <v>196.69577136663594</v>
      </c>
      <c r="AU102" s="190">
        <f t="shared" si="31"/>
        <v>196.69577136663594</v>
      </c>
      <c r="AV102" s="190">
        <f t="shared" si="35"/>
        <v>3.3042286333640618</v>
      </c>
      <c r="AW102" s="190" t="b">
        <f t="shared" si="32"/>
        <v>0</v>
      </c>
      <c r="AX102" s="192">
        <v>19</v>
      </c>
    </row>
    <row r="103" spans="42:79" ht="20.25" x14ac:dyDescent="0.4">
      <c r="AP103" s="144"/>
      <c r="AQ103" s="186">
        <v>20</v>
      </c>
      <c r="AR103" s="387">
        <f t="shared" si="33"/>
        <v>475</v>
      </c>
      <c r="AS103" s="17">
        <f t="shared" si="34"/>
        <v>475</v>
      </c>
      <c r="AT103" s="191">
        <f t="shared" si="30"/>
        <v>221.69577136663594</v>
      </c>
      <c r="AU103" s="190">
        <f t="shared" si="31"/>
        <v>221.69577136663594</v>
      </c>
      <c r="AV103" s="190">
        <f t="shared" si="35"/>
        <v>3.3042286333640618</v>
      </c>
      <c r="AW103" s="190" t="b">
        <f t="shared" si="32"/>
        <v>0</v>
      </c>
      <c r="AX103" s="192">
        <v>20</v>
      </c>
      <c r="BJ103" s="109"/>
      <c r="BK103" s="109"/>
      <c r="BL103" s="107"/>
    </row>
    <row r="104" spans="42:79" ht="20.25" x14ac:dyDescent="0.4">
      <c r="AQ104" s="186">
        <v>21</v>
      </c>
      <c r="AR104" s="387">
        <f t="shared" si="33"/>
        <v>500</v>
      </c>
      <c r="AS104" s="17">
        <f t="shared" si="34"/>
        <v>500</v>
      </c>
      <c r="AT104" s="191">
        <f t="shared" si="30"/>
        <v>246.69577136663594</v>
      </c>
      <c r="AU104" s="190">
        <f t="shared" si="31"/>
        <v>246.69577136663594</v>
      </c>
      <c r="AV104" s="190">
        <f t="shared" si="35"/>
        <v>3.3042286333640618</v>
      </c>
      <c r="AW104" s="190" t="b">
        <f t="shared" si="32"/>
        <v>0</v>
      </c>
      <c r="AX104" s="192">
        <v>21</v>
      </c>
      <c r="BJ104" s="109"/>
      <c r="BK104" s="109"/>
      <c r="BL104" s="107"/>
      <c r="BT104" s="112"/>
    </row>
    <row r="105" spans="42:79" ht="20.25" x14ac:dyDescent="0.4">
      <c r="AQ105" s="186">
        <v>22</v>
      </c>
      <c r="AR105" s="387">
        <f t="shared" si="33"/>
        <v>525</v>
      </c>
      <c r="AS105" s="17">
        <f t="shared" si="34"/>
        <v>525</v>
      </c>
      <c r="AT105" s="191">
        <f t="shared" si="30"/>
        <v>271.69577136663594</v>
      </c>
      <c r="AU105" s="190">
        <f t="shared" si="31"/>
        <v>271.69577136663594</v>
      </c>
      <c r="AV105" s="190">
        <f t="shared" si="35"/>
        <v>3.3042286333640618</v>
      </c>
      <c r="AW105" s="190" t="b">
        <f t="shared" si="32"/>
        <v>0</v>
      </c>
      <c r="AX105" s="192">
        <v>22</v>
      </c>
      <c r="BJ105" s="109"/>
      <c r="BK105" s="109"/>
      <c r="BL105" s="107"/>
      <c r="BR105" s="119"/>
      <c r="BT105" s="112"/>
    </row>
    <row r="106" spans="42:79" ht="20.25" x14ac:dyDescent="0.4">
      <c r="AQ106" s="186">
        <v>23</v>
      </c>
      <c r="AR106" s="387">
        <f t="shared" si="33"/>
        <v>550</v>
      </c>
      <c r="AS106" s="17">
        <f t="shared" si="34"/>
        <v>550</v>
      </c>
      <c r="AT106" s="191">
        <f t="shared" si="30"/>
        <v>296.69577136663594</v>
      </c>
      <c r="AU106" s="190">
        <f t="shared" si="31"/>
        <v>296.69577136663594</v>
      </c>
      <c r="AV106" s="190">
        <f t="shared" si="35"/>
        <v>3.3042286333640618</v>
      </c>
      <c r="AW106" s="190" t="b">
        <f t="shared" si="32"/>
        <v>0</v>
      </c>
      <c r="AX106" s="192">
        <v>23</v>
      </c>
      <c r="BB106" s="193"/>
      <c r="BC106" s="193"/>
      <c r="BD106" s="193"/>
      <c r="BE106" s="193"/>
      <c r="BF106" s="193"/>
      <c r="BG106" s="193"/>
      <c r="BH106" s="522"/>
      <c r="BI106" s="522"/>
      <c r="BJ106" s="522"/>
      <c r="BK106" s="108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</row>
    <row r="107" spans="42:79" ht="20.25" x14ac:dyDescent="0.4">
      <c r="AQ107" s="186"/>
      <c r="AR107" s="187"/>
      <c r="AS107" s="17"/>
      <c r="AT107" s="191"/>
      <c r="AU107" s="190"/>
      <c r="AV107" s="190"/>
      <c r="AW107" s="190"/>
      <c r="AX107" s="192"/>
      <c r="BB107" s="107"/>
      <c r="BC107" s="107"/>
      <c r="BD107" s="107"/>
      <c r="BE107" s="107"/>
      <c r="BF107" s="107"/>
      <c r="BG107" s="107"/>
      <c r="BH107" s="194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94"/>
      <c r="BV107" s="107"/>
      <c r="BW107" s="107"/>
      <c r="BX107" s="107"/>
      <c r="BY107" s="107"/>
      <c r="BZ107" s="107"/>
      <c r="CA107" s="107"/>
    </row>
    <row r="108" spans="42:79" ht="20.25" x14ac:dyDescent="0.4">
      <c r="AQ108" s="186"/>
      <c r="AR108" s="187"/>
      <c r="AS108" s="17"/>
      <c r="AT108" s="191"/>
      <c r="AU108" s="190"/>
      <c r="AV108" s="190"/>
      <c r="AW108" s="190"/>
      <c r="AX108" s="192"/>
      <c r="BB108" s="195"/>
      <c r="BC108" s="195"/>
      <c r="BD108" s="195"/>
      <c r="BE108" s="195"/>
      <c r="BF108" s="195"/>
      <c r="BG108" s="195"/>
      <c r="BH108" s="521"/>
      <c r="BI108" s="521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503"/>
      <c r="BU108" s="503"/>
      <c r="BV108" s="107"/>
      <c r="BW108" s="107"/>
      <c r="BX108" s="107"/>
      <c r="BY108" s="107"/>
      <c r="BZ108" s="107"/>
      <c r="CA108" s="107"/>
    </row>
    <row r="109" spans="42:79" ht="20.25" x14ac:dyDescent="0.4">
      <c r="AQ109" s="186"/>
      <c r="AR109" s="187"/>
      <c r="AS109" s="17"/>
      <c r="AT109" s="191"/>
      <c r="AU109" s="190"/>
      <c r="AV109" s="190"/>
      <c r="AW109" s="190"/>
      <c r="AX109" s="192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</row>
    <row r="110" spans="42:79" ht="20.25" x14ac:dyDescent="0.4">
      <c r="AQ110" s="186"/>
      <c r="AR110" s="187"/>
      <c r="AS110" s="17"/>
      <c r="AT110" s="191"/>
      <c r="AU110" s="190"/>
      <c r="AV110" s="190"/>
      <c r="AW110" s="190"/>
      <c r="AX110" s="192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</row>
    <row r="111" spans="42:79" ht="20.25" x14ac:dyDescent="0.4">
      <c r="AQ111" s="186"/>
      <c r="AR111" s="187"/>
      <c r="AS111" s="17"/>
      <c r="AT111" s="191"/>
      <c r="AU111" s="190"/>
      <c r="AV111" s="190"/>
      <c r="AW111" s="190"/>
      <c r="AX111" s="192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  <c r="BU111" s="107"/>
      <c r="BV111" s="107"/>
      <c r="BW111" s="107"/>
      <c r="BX111" s="107"/>
      <c r="BY111" s="107"/>
      <c r="BZ111" s="107"/>
      <c r="CA111" s="107"/>
    </row>
    <row r="112" spans="42:79" ht="20.25" x14ac:dyDescent="0.4">
      <c r="AQ112" s="186"/>
      <c r="AR112" s="187"/>
      <c r="AS112" s="17"/>
      <c r="AT112" s="191"/>
      <c r="AU112" s="190"/>
      <c r="AV112" s="190"/>
      <c r="AW112" s="190"/>
      <c r="AX112" s="192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</row>
    <row r="113" spans="43:79" ht="20.25" x14ac:dyDescent="0.4">
      <c r="AQ113" s="186"/>
      <c r="AR113" s="187"/>
      <c r="AS113" s="17"/>
      <c r="AT113" s="191"/>
      <c r="AU113" s="190"/>
      <c r="AV113" s="190"/>
      <c r="AW113" s="190"/>
      <c r="AX113" s="192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07"/>
      <c r="BY113" s="107"/>
      <c r="BZ113" s="107"/>
      <c r="CA113" s="107"/>
    </row>
    <row r="114" spans="43:79" ht="20.25" x14ac:dyDescent="0.4">
      <c r="AQ114" s="186"/>
      <c r="AR114" s="187"/>
      <c r="AS114" s="17"/>
      <c r="AT114" s="191"/>
      <c r="AU114" s="190"/>
      <c r="AV114" s="190"/>
      <c r="AW114" s="190"/>
      <c r="AX114" s="192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</row>
    <row r="115" spans="43:79" ht="20.25" x14ac:dyDescent="0.4">
      <c r="AQ115" s="186"/>
      <c r="AR115" s="187"/>
      <c r="AS115" s="17"/>
      <c r="AT115" s="191"/>
      <c r="AU115" s="190"/>
      <c r="AV115" s="190"/>
      <c r="AW115" s="190"/>
      <c r="AX115" s="192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7"/>
      <c r="BZ115" s="107"/>
      <c r="CA115" s="107"/>
    </row>
    <row r="116" spans="43:79" ht="20.25" x14ac:dyDescent="0.4">
      <c r="AQ116" s="186"/>
      <c r="AR116" s="187"/>
      <c r="AS116" s="17"/>
      <c r="AT116" s="191"/>
      <c r="AU116" s="190"/>
      <c r="AV116" s="190"/>
      <c r="AW116" s="190"/>
      <c r="AX116" s="192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U116" s="107"/>
      <c r="BV116" s="107"/>
      <c r="BW116" s="107"/>
      <c r="BX116" s="107"/>
      <c r="BY116" s="107"/>
      <c r="BZ116" s="107"/>
      <c r="CA116" s="107"/>
    </row>
    <row r="117" spans="43:79" ht="20.25" x14ac:dyDescent="0.4">
      <c r="AQ117" s="186"/>
      <c r="AR117" s="187"/>
      <c r="AS117" s="17"/>
      <c r="AT117" s="191"/>
      <c r="AU117" s="190"/>
      <c r="AV117" s="190"/>
      <c r="AW117" s="190"/>
      <c r="AX117" s="192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7"/>
      <c r="BZ117" s="107"/>
      <c r="CA117" s="107"/>
    </row>
    <row r="118" spans="43:79" ht="20.25" x14ac:dyDescent="0.4">
      <c r="AQ118" s="186"/>
      <c r="AR118" s="187"/>
      <c r="AS118" s="17"/>
      <c r="AT118" s="191"/>
      <c r="AU118" s="190"/>
      <c r="AV118" s="190"/>
      <c r="AW118" s="190"/>
      <c r="AX118" s="192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7"/>
      <c r="BV118" s="107"/>
      <c r="BW118" s="107"/>
      <c r="BX118" s="107"/>
      <c r="BY118" s="107"/>
      <c r="BZ118" s="107"/>
      <c r="CA118" s="107"/>
    </row>
    <row r="119" spans="43:79" ht="20.25" x14ac:dyDescent="0.4">
      <c r="AQ119" s="186"/>
      <c r="AR119" s="187"/>
      <c r="AS119" s="17"/>
      <c r="AT119" s="191"/>
      <c r="AU119" s="190"/>
      <c r="AV119" s="190"/>
      <c r="AW119" s="190"/>
      <c r="AX119" s="192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7"/>
      <c r="BV119" s="107"/>
      <c r="BW119" s="107"/>
      <c r="BX119" s="107"/>
      <c r="BY119" s="107"/>
      <c r="BZ119" s="107"/>
      <c r="CA119" s="107"/>
    </row>
    <row r="120" spans="43:79" ht="20.25" x14ac:dyDescent="0.4">
      <c r="AQ120" s="196"/>
      <c r="AR120" s="187"/>
      <c r="AS120" s="17"/>
      <c r="AT120" s="191"/>
      <c r="AU120" s="190"/>
      <c r="AV120" s="190"/>
      <c r="AW120" s="190"/>
      <c r="AX120" s="19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  <c r="BU120" s="107"/>
      <c r="BV120" s="107"/>
      <c r="BW120" s="107"/>
      <c r="BX120" s="107"/>
      <c r="BY120" s="107"/>
      <c r="BZ120" s="107"/>
      <c r="CA120" s="107"/>
    </row>
    <row r="121" spans="43:79" x14ac:dyDescent="0.25">
      <c r="AQ121" s="107"/>
      <c r="AR121" s="260"/>
      <c r="AS121" s="107"/>
      <c r="BB121" s="107"/>
      <c r="BC121" s="107"/>
      <c r="BD121" s="107"/>
      <c r="BE121" s="107"/>
      <c r="BF121" s="107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</row>
    <row r="122" spans="43:79" x14ac:dyDescent="0.25">
      <c r="AQ122" s="107"/>
      <c r="AR122" s="260"/>
      <c r="AS122" s="107"/>
      <c r="BB122" s="107"/>
      <c r="BC122" s="107"/>
      <c r="BD122" s="107"/>
      <c r="BE122" s="107"/>
      <c r="BF122" s="107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</row>
    <row r="123" spans="43:79" x14ac:dyDescent="0.25">
      <c r="AQ123" s="107"/>
      <c r="AR123" s="260"/>
      <c r="AS123" s="107"/>
      <c r="BB123" s="107"/>
      <c r="BC123" s="107"/>
      <c r="BD123" s="107"/>
      <c r="BE123" s="107"/>
      <c r="BF123" s="107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</row>
    <row r="124" spans="43:79" x14ac:dyDescent="0.25">
      <c r="AQ124" s="107"/>
      <c r="AR124" s="260"/>
      <c r="AS124" s="107"/>
      <c r="BB124" s="107"/>
      <c r="BC124" s="107"/>
      <c r="BD124" s="107"/>
      <c r="BE124" s="107"/>
      <c r="BF124" s="107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</row>
    <row r="125" spans="43:79" x14ac:dyDescent="0.25">
      <c r="AQ125" s="107"/>
      <c r="AR125" s="260"/>
      <c r="AS125" s="107"/>
      <c r="BB125" s="108"/>
      <c r="BC125" s="107"/>
      <c r="BD125" s="108"/>
      <c r="BE125" s="107"/>
      <c r="BF125" s="108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</row>
    <row r="126" spans="43:79" x14ac:dyDescent="0.25">
      <c r="AQ126" s="107"/>
      <c r="AR126" s="260"/>
      <c r="AS126" s="107"/>
      <c r="BB126" s="108"/>
      <c r="BC126" s="107"/>
      <c r="BD126" s="107"/>
      <c r="BE126" s="107"/>
      <c r="BF126" s="108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</row>
    <row r="127" spans="43:79" x14ac:dyDescent="0.25">
      <c r="AQ127" s="107"/>
      <c r="AR127" s="53"/>
      <c r="AS127" s="107"/>
      <c r="BB127" s="108"/>
      <c r="BC127" s="198"/>
      <c r="BD127" s="198"/>
      <c r="BE127" s="198"/>
      <c r="BF127" s="198"/>
      <c r="BG127" s="198"/>
      <c r="BH127" s="198"/>
      <c r="BI127" s="198"/>
      <c r="BJ127" s="198"/>
      <c r="BK127" s="198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07"/>
    </row>
    <row r="128" spans="43:79" x14ac:dyDescent="0.25">
      <c r="AQ128" s="107"/>
      <c r="AR128" s="53"/>
      <c r="AS128" s="107"/>
      <c r="BB128" s="108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</row>
    <row r="129" spans="43:79" x14ac:dyDescent="0.25">
      <c r="AQ129" s="107"/>
      <c r="AR129" s="53"/>
      <c r="AS129" s="107"/>
      <c r="BB129" s="199"/>
      <c r="BC129" s="200"/>
      <c r="BD129" s="200"/>
      <c r="BE129" s="200"/>
      <c r="BF129" s="200"/>
      <c r="BG129" s="200"/>
      <c r="BH129" s="200"/>
      <c r="BI129" s="200"/>
      <c r="BJ129" s="200"/>
      <c r="BK129" s="200"/>
      <c r="BL129" s="200"/>
      <c r="BM129" s="200"/>
      <c r="BN129" s="200"/>
      <c r="BO129" s="200"/>
      <c r="BP129" s="200"/>
      <c r="BQ129" s="200"/>
      <c r="BR129" s="200"/>
      <c r="BS129" s="200"/>
      <c r="BT129" s="200"/>
      <c r="BU129" s="200"/>
      <c r="BV129" s="200"/>
      <c r="BW129" s="200"/>
      <c r="BX129" s="200"/>
      <c r="BY129" s="200"/>
      <c r="BZ129" s="200"/>
      <c r="CA129" s="107"/>
    </row>
    <row r="130" spans="43:79" x14ac:dyDescent="0.25">
      <c r="BB130" s="108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7"/>
    </row>
    <row r="131" spans="43:79" x14ac:dyDescent="0.25"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</row>
    <row r="132" spans="43:79" x14ac:dyDescent="0.25">
      <c r="BB132" s="107"/>
      <c r="BC132" s="201"/>
      <c r="BD132" s="201"/>
      <c r="BE132" s="201"/>
      <c r="BF132" s="201"/>
      <c r="BG132" s="201"/>
      <c r="BH132" s="201"/>
      <c r="BI132" s="108"/>
      <c r="BJ132" s="108"/>
      <c r="BK132" s="108"/>
      <c r="BL132" s="108"/>
      <c r="BM132" s="108"/>
      <c r="BN132" s="201"/>
      <c r="BO132" s="201"/>
      <c r="BP132" s="201"/>
      <c r="BQ132" s="108"/>
      <c r="BR132" s="108"/>
      <c r="BS132" s="108"/>
      <c r="BT132" s="108"/>
      <c r="BU132" s="108"/>
      <c r="BV132" s="108"/>
      <c r="BW132" s="108"/>
      <c r="BX132" s="108"/>
      <c r="BY132" s="108"/>
      <c r="BZ132" s="108"/>
      <c r="CA132" s="107"/>
    </row>
    <row r="133" spans="43:79" x14ac:dyDescent="0.25">
      <c r="BB133" s="107"/>
      <c r="BC133" s="201"/>
      <c r="BD133" s="201"/>
      <c r="BE133" s="201"/>
      <c r="BF133" s="201"/>
      <c r="BG133" s="201"/>
      <c r="BH133" s="201"/>
      <c r="BI133" s="107"/>
      <c r="BJ133" s="107"/>
      <c r="BK133" s="107"/>
      <c r="BL133" s="107"/>
      <c r="BM133" s="201"/>
      <c r="BN133" s="201"/>
      <c r="BO133" s="201"/>
      <c r="BP133" s="201"/>
      <c r="BQ133" s="107"/>
      <c r="BR133" s="107"/>
      <c r="BS133" s="107"/>
      <c r="BT133" s="107"/>
      <c r="BU133" s="201"/>
      <c r="BV133" s="201"/>
      <c r="BW133" s="201"/>
      <c r="BX133" s="201"/>
      <c r="BY133" s="201"/>
      <c r="BZ133" s="201"/>
      <c r="CA133" s="107"/>
    </row>
    <row r="134" spans="43:79" x14ac:dyDescent="0.25"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</row>
    <row r="135" spans="43:79" x14ac:dyDescent="0.25"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</row>
    <row r="183" spans="42:42" x14ac:dyDescent="0.25">
      <c r="AP183" s="107"/>
    </row>
    <row r="184" spans="42:42" x14ac:dyDescent="0.25">
      <c r="AP184" s="107"/>
    </row>
    <row r="185" spans="42:42" x14ac:dyDescent="0.25">
      <c r="AP185" s="107"/>
    </row>
    <row r="186" spans="42:42" x14ac:dyDescent="0.25">
      <c r="AP186" s="107"/>
    </row>
    <row r="187" spans="42:42" x14ac:dyDescent="0.25">
      <c r="AP187" s="107"/>
    </row>
    <row r="188" spans="42:42" x14ac:dyDescent="0.25">
      <c r="AP188" s="107"/>
    </row>
    <row r="189" spans="42:42" x14ac:dyDescent="0.25">
      <c r="AP189" s="107"/>
    </row>
    <row r="190" spans="42:42" x14ac:dyDescent="0.25">
      <c r="AP190" s="107"/>
    </row>
    <row r="191" spans="42:42" x14ac:dyDescent="0.25">
      <c r="AP191" s="107"/>
    </row>
    <row r="192" spans="42:42" x14ac:dyDescent="0.25">
      <c r="AP192" s="107"/>
    </row>
    <row r="193" spans="42:42" x14ac:dyDescent="0.25">
      <c r="AP193" s="107"/>
    </row>
    <row r="194" spans="42:42" x14ac:dyDescent="0.25">
      <c r="AP194" s="107"/>
    </row>
    <row r="195" spans="42:42" x14ac:dyDescent="0.25">
      <c r="AP195" s="107"/>
    </row>
    <row r="196" spans="42:42" x14ac:dyDescent="0.25">
      <c r="AP196" s="107"/>
    </row>
    <row r="197" spans="42:42" x14ac:dyDescent="0.25">
      <c r="AP197" s="107"/>
    </row>
    <row r="198" spans="42:42" x14ac:dyDescent="0.25">
      <c r="AP198" s="107"/>
    </row>
    <row r="199" spans="42:42" x14ac:dyDescent="0.25">
      <c r="AP199" s="107"/>
    </row>
    <row r="200" spans="42:42" x14ac:dyDescent="0.25">
      <c r="AP200" s="107"/>
    </row>
    <row r="201" spans="42:42" x14ac:dyDescent="0.25">
      <c r="AP201" s="107"/>
    </row>
    <row r="202" spans="42:42" x14ac:dyDescent="0.25">
      <c r="AP202" s="107"/>
    </row>
    <row r="203" spans="42:42" x14ac:dyDescent="0.25">
      <c r="AP203" s="107"/>
    </row>
    <row r="204" spans="42:42" x14ac:dyDescent="0.25">
      <c r="AP204" s="198"/>
    </row>
    <row r="205" spans="42:42" x14ac:dyDescent="0.25">
      <c r="AP205" s="107"/>
    </row>
    <row r="206" spans="42:42" x14ac:dyDescent="0.25">
      <c r="AP206" s="200"/>
    </row>
    <row r="207" spans="42:42" x14ac:dyDescent="0.25">
      <c r="AP207" s="109"/>
    </row>
    <row r="208" spans="42:42" x14ac:dyDescent="0.25">
      <c r="AP208" s="107"/>
    </row>
    <row r="209" spans="42:42" x14ac:dyDescent="0.25">
      <c r="AP209" s="108"/>
    </row>
    <row r="210" spans="42:42" x14ac:dyDescent="0.25">
      <c r="AP210" s="201"/>
    </row>
    <row r="211" spans="42:42" x14ac:dyDescent="0.25">
      <c r="AP211" s="107"/>
    </row>
    <row r="212" spans="42:42" x14ac:dyDescent="0.25">
      <c r="AP212" s="107"/>
    </row>
  </sheetData>
  <sheetProtection password="CC22" sheet="1" objects="1" scenarios="1" selectLockedCells="1"/>
  <protectedRanges>
    <protectedRange sqref="B59 B62" name="Range1"/>
  </protectedRanges>
  <mergeCells count="14">
    <mergeCell ref="B56:B58"/>
    <mergeCell ref="D56:D57"/>
    <mergeCell ref="D58:D59"/>
    <mergeCell ref="BF15:BG15"/>
    <mergeCell ref="Z50:AA50"/>
    <mergeCell ref="BC17:BC18"/>
    <mergeCell ref="M26:O26"/>
    <mergeCell ref="M50:N50"/>
    <mergeCell ref="AN61:AO61"/>
    <mergeCell ref="BY18:BZ18"/>
    <mergeCell ref="BD18:BE18"/>
    <mergeCell ref="BH108:BI108"/>
    <mergeCell ref="BT108:BU108"/>
    <mergeCell ref="BH106:BJ106"/>
  </mergeCells>
  <phoneticPr fontId="2" type="noConversion"/>
  <conditionalFormatting sqref="AP206:AP207">
    <cfRule type="cellIs" dxfId="138" priority="37" stopIfTrue="1" operator="equal">
      <formula>FALSE</formula>
    </cfRule>
  </conditionalFormatting>
  <conditionalFormatting sqref="AP204">
    <cfRule type="cellIs" dxfId="137" priority="121" stopIfTrue="1" operator="equal">
      <formula>0</formula>
    </cfRule>
  </conditionalFormatting>
  <conditionalFormatting sqref="E56:F57">
    <cfRule type="cellIs" dxfId="136" priority="154" stopIfTrue="1" operator="equal">
      <formula>"change the angle of frame or of cabinets"</formula>
    </cfRule>
  </conditionalFormatting>
  <conditionalFormatting sqref="E59:F59 E58:E59">
    <cfRule type="cellIs" dxfId="135" priority="155" stopIfTrue="1" operator="equal">
      <formula>"USE EXBAR VR AT THE BACK"</formula>
    </cfRule>
  </conditionalFormatting>
  <conditionalFormatting sqref="E58:F58 E58:E59">
    <cfRule type="cellIs" dxfId="134" priority="156" stopIfTrue="1" operator="equal">
      <formula>"USE EXBAR VR AT THE FRONT"</formula>
    </cfRule>
  </conditionalFormatting>
  <conditionalFormatting sqref="B65:B76">
    <cfRule type="cellIs" dxfId="133" priority="117" stopIfTrue="1" operator="greaterThan">
      <formula>$B$62</formula>
    </cfRule>
  </conditionalFormatting>
  <conditionalFormatting sqref="U65 AL65:AO65 D65:E65">
    <cfRule type="expression" dxfId="132" priority="116" stopIfTrue="1">
      <formula>$B$62&lt;1</formula>
    </cfRule>
  </conditionalFormatting>
  <conditionalFormatting sqref="U66 AL66:AO66 D66:E66">
    <cfRule type="expression" dxfId="131" priority="115" stopIfTrue="1">
      <formula>$B$62&lt;2</formula>
    </cfRule>
  </conditionalFormatting>
  <conditionalFormatting sqref="U67 AL67:AO67 D67:E67">
    <cfRule type="expression" dxfId="130" priority="114" stopIfTrue="1">
      <formula>$B$62&lt;3</formula>
    </cfRule>
  </conditionalFormatting>
  <conditionalFormatting sqref="U68 AL68:AO68 D68:E68">
    <cfRule type="expression" dxfId="129" priority="113" stopIfTrue="1">
      <formula>$B$62&lt;4</formula>
    </cfRule>
  </conditionalFormatting>
  <conditionalFormatting sqref="U69 AL69:AO69 D69:E69">
    <cfRule type="expression" dxfId="128" priority="112" stopIfTrue="1">
      <formula>$B$62&lt;5</formula>
    </cfRule>
  </conditionalFormatting>
  <conditionalFormatting sqref="D70 U70 AL70:AO70 E70:E71">
    <cfRule type="expression" dxfId="127" priority="111" stopIfTrue="1">
      <formula>$B$62&lt;6</formula>
    </cfRule>
  </conditionalFormatting>
  <conditionalFormatting sqref="U71 AL71:AO71 D71:E71">
    <cfRule type="expression" dxfId="126" priority="110" stopIfTrue="1">
      <formula>$B$62&lt;7</formula>
    </cfRule>
  </conditionalFormatting>
  <conditionalFormatting sqref="U72 AL72:AO72 D72:E72">
    <cfRule type="expression" dxfId="125" priority="109" stopIfTrue="1">
      <formula>$B$62&lt;8</formula>
    </cfRule>
  </conditionalFormatting>
  <conditionalFormatting sqref="U73 AL73:AO73 D73:E73">
    <cfRule type="expression" dxfId="124" priority="108" stopIfTrue="1">
      <formula>$B$62&lt;9</formula>
    </cfRule>
  </conditionalFormatting>
  <conditionalFormatting sqref="U74 AL74:AO74 D74:E74">
    <cfRule type="expression" dxfId="123" priority="83" stopIfTrue="1">
      <formula>$B$62&lt;10</formula>
    </cfRule>
  </conditionalFormatting>
  <conditionalFormatting sqref="U75 AL75:AO75 D75:E75">
    <cfRule type="expression" dxfId="122" priority="46" stopIfTrue="1">
      <formula>$B$62&lt;11</formula>
    </cfRule>
  </conditionalFormatting>
  <conditionalFormatting sqref="U76 AL76:AO76 D76:E76">
    <cfRule type="expression" dxfId="121" priority="43" stopIfTrue="1">
      <formula>$B$62&lt;12</formula>
    </cfRule>
  </conditionalFormatting>
  <conditionalFormatting sqref="D56 D58">
    <cfRule type="cellIs" dxfId="120" priority="181" stopIfTrue="1" operator="equal">
      <formula>"change the angle of frame"</formula>
    </cfRule>
  </conditionalFormatting>
  <conditionalFormatting sqref="AN65:AO76">
    <cfRule type="cellIs" dxfId="119" priority="120" stopIfTrue="1" operator="lessThan">
      <formula>10</formula>
    </cfRule>
  </conditionalFormatting>
  <conditionalFormatting sqref="D65:D76">
    <cfRule type="cellIs" dxfId="118" priority="118" stopIfTrue="1" operator="notEqual">
      <formula>0</formula>
    </cfRule>
  </conditionalFormatting>
  <conditionalFormatting sqref="BH59:BU59 BC129:BZ130">
    <cfRule type="cellIs" dxfId="117" priority="31" stopIfTrue="1" operator="equal">
      <formula>FALSE</formula>
    </cfRule>
  </conditionalFormatting>
  <conditionalFormatting sqref="AW84">
    <cfRule type="cellIs" dxfId="116" priority="33" stopIfTrue="1" operator="equal">
      <formula>FALSE</formula>
    </cfRule>
  </conditionalFormatting>
  <conditionalFormatting sqref="AW85:AW120">
    <cfRule type="cellIs" dxfId="115" priority="28" stopIfTrue="1" operator="equal">
      <formula>FALSE</formula>
    </cfRule>
  </conditionalFormatting>
  <conditionalFormatting sqref="BD43">
    <cfRule type="cellIs" dxfId="114" priority="3" operator="equal">
      <formula>0</formula>
    </cfRule>
    <cfRule type="expression" dxfId="113" priority="4">
      <formula>$B$59=0</formula>
    </cfRule>
  </conditionalFormatting>
  <conditionalFormatting sqref="BE43:BZ43">
    <cfRule type="cellIs" dxfId="112" priority="1" operator="equal">
      <formula>0</formula>
    </cfRule>
    <cfRule type="expression" dxfId="111" priority="2">
      <formula>$B$59=0</formula>
    </cfRule>
  </conditionalFormatting>
  <dataValidations count="5">
    <dataValidation type="whole" allowBlank="1" showInputMessage="1" showErrorMessage="1" errorTitle="Coda Audio" error="YOU HAVE ENTERED A WRONG NUMBER OF CABINETS" promptTitle="Coda Audio" prompt="ENTER THE NUMBER OF CABINETS FROM 1 UP TO 3" sqref="B62">
      <formula1>1</formula1>
      <formula2>3</formula2>
    </dataValidation>
    <dataValidation type="decimal" allowBlank="1" showInputMessage="1" showErrorMessage="1" sqref="F66:F76">
      <formula1>0</formula1>
      <formula2>8</formula2>
    </dataValidation>
    <dataValidation type="decimal" allowBlank="1" showInputMessage="1" showErrorMessage="1" sqref="F65">
      <formula1>0</formula1>
      <formula2>4</formula2>
    </dataValidation>
    <dataValidation type="custom" allowBlank="1" showInputMessage="1" showErrorMessage="1" sqref="D65:D76">
      <formula1>OR(D65=0,D65=2.5,D65=5)</formula1>
    </dataValidation>
    <dataValidation type="decimal" allowBlank="1" showInputMessage="1" showErrorMessage="1" sqref="B59">
      <formula1>-89.9</formula1>
      <formula2>89.9</formula2>
    </dataValidation>
  </dataValidations>
  <pageMargins left="0.75" right="0.75" top="1" bottom="1" header="0.5" footer="0.5"/>
  <pageSetup orientation="portrait" r:id="rId1"/>
  <headerFooter alignWithMargins="0"/>
  <ignoredErrors>
    <ignoredError sqref="BI43 BK43 BS43 BU43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L152"/>
  <sheetViews>
    <sheetView topLeftCell="A26" zoomScale="50" zoomScaleNormal="50" workbookViewId="0">
      <selection activeCell="B78" sqref="B78"/>
    </sheetView>
  </sheetViews>
  <sheetFormatPr baseColWidth="10" defaultColWidth="9.140625" defaultRowHeight="18" x14ac:dyDescent="0.25"/>
  <cols>
    <col min="1" max="1" width="1.5703125" style="14" customWidth="1"/>
    <col min="2" max="2" width="48.42578125" style="11" bestFit="1" customWidth="1"/>
    <col min="3" max="3" width="20.140625" style="11" hidden="1" customWidth="1"/>
    <col min="4" max="4" width="38.5703125" style="20" customWidth="1"/>
    <col min="5" max="5" width="27.140625" style="20" hidden="1" customWidth="1"/>
    <col min="6" max="6" width="19.42578125" style="20" hidden="1" customWidth="1"/>
    <col min="7" max="7" width="12.85546875" style="20" hidden="1" customWidth="1"/>
    <col min="8" max="8" width="13.42578125" style="112" hidden="1" customWidth="1"/>
    <col min="9" max="9" width="16.7109375" style="112" hidden="1" customWidth="1"/>
    <col min="10" max="11" width="17.5703125" style="112" hidden="1" customWidth="1"/>
    <col min="12" max="15" width="8.28515625" style="112" hidden="1" customWidth="1"/>
    <col min="16" max="20" width="14.28515625" style="112" hidden="1" customWidth="1"/>
    <col min="21" max="21" width="8.28515625" style="112" hidden="1" customWidth="1"/>
    <col min="22" max="22" width="17.42578125" style="112" hidden="1" customWidth="1"/>
    <col min="23" max="27" width="15.5703125" style="112" hidden="1" customWidth="1"/>
    <col min="28" max="28" width="29.5703125" style="112" hidden="1" customWidth="1"/>
    <col min="29" max="39" width="19.140625" style="112" hidden="1" customWidth="1"/>
    <col min="40" max="40" width="31.42578125" style="112" hidden="1" customWidth="1"/>
    <col min="41" max="41" width="24" style="112" hidden="1" customWidth="1"/>
    <col min="42" max="42" width="18.85546875" style="112" hidden="1" customWidth="1"/>
    <col min="43" max="43" width="32.85546875" style="112" hidden="1" customWidth="1"/>
    <col min="44" max="45" width="18.85546875" style="112" hidden="1" customWidth="1"/>
    <col min="46" max="46" width="34.85546875" style="112" hidden="1" customWidth="1"/>
    <col min="47" max="47" width="18.85546875" style="112" hidden="1" customWidth="1"/>
    <col min="48" max="48" width="19.85546875" style="112" hidden="1" customWidth="1"/>
    <col min="49" max="49" width="19.7109375" style="112" hidden="1" customWidth="1"/>
    <col min="50" max="50" width="10.7109375" style="112" hidden="1" customWidth="1"/>
    <col min="51" max="53" width="14.42578125" style="112" hidden="1" customWidth="1"/>
    <col min="54" max="54" width="11.85546875" style="14" hidden="1" customWidth="1"/>
    <col min="55" max="55" width="33" style="14" customWidth="1"/>
    <col min="56" max="56" width="7.28515625" style="14" hidden="1" customWidth="1"/>
    <col min="57" max="79" width="8.28515625" style="14" customWidth="1"/>
    <col min="80" max="82" width="7.28515625" style="14" customWidth="1"/>
    <col min="83" max="83" width="21.5703125" style="14" hidden="1" customWidth="1"/>
    <col min="84" max="84" width="7.28515625" style="14" customWidth="1"/>
    <col min="85" max="114" width="6.5703125" style="14" customWidth="1"/>
    <col min="115" max="117" width="9.140625" style="14"/>
    <col min="118" max="118" width="11.42578125" style="14" customWidth="1"/>
    <col min="119" max="119" width="9.28515625" style="14" customWidth="1"/>
    <col min="120" max="16384" width="9.140625" style="14"/>
  </cols>
  <sheetData>
    <row r="1" spans="2:6" hidden="1" x14ac:dyDescent="0.25">
      <c r="D1" s="12" t="s">
        <v>71</v>
      </c>
      <c r="E1" s="12" t="s">
        <v>72</v>
      </c>
      <c r="F1" s="12" t="s">
        <v>73</v>
      </c>
    </row>
    <row r="2" spans="2:6" ht="20.25" hidden="1" x14ac:dyDescent="0.3">
      <c r="B2" s="261" t="s">
        <v>23</v>
      </c>
      <c r="C2" s="375">
        <v>550</v>
      </c>
      <c r="D2" s="375">
        <f>+COS(($B$78*-1)*3.14159265358979/180)*C2</f>
        <v>550</v>
      </c>
      <c r="E2" s="375">
        <f>+COS(($B$78*-1)*3.14159265358979/180)*25</f>
        <v>25</v>
      </c>
      <c r="F2" s="355">
        <f>+COS((($B$78*-1)+37.6445729)*3.14159265358979/180)*41.1604209</f>
        <v>32.591428177885007</v>
      </c>
    </row>
    <row r="3" spans="2:6" ht="23.25" hidden="1" x14ac:dyDescent="0.35">
      <c r="B3" s="15" t="s">
        <v>74</v>
      </c>
      <c r="C3" s="377">
        <f>+C9-32.5914</f>
        <v>244.88417587584777</v>
      </c>
      <c r="D3" s="378">
        <f>+C9-F2</f>
        <v>244.88414769796276</v>
      </c>
    </row>
    <row r="4" spans="2:6" ht="54.75" hidden="1" x14ac:dyDescent="0.3">
      <c r="B4" s="423" t="s">
        <v>75</v>
      </c>
      <c r="C4" s="424"/>
      <c r="D4" s="425"/>
    </row>
    <row r="5" spans="2:6" ht="36.75" hidden="1" x14ac:dyDescent="0.3">
      <c r="B5" s="423" t="s">
        <v>76</v>
      </c>
      <c r="C5" s="424"/>
      <c r="D5" s="425"/>
    </row>
    <row r="6" spans="2:6" hidden="1" x14ac:dyDescent="0.25">
      <c r="B6" s="97"/>
      <c r="C6" s="97"/>
    </row>
    <row r="7" spans="2:6" hidden="1" x14ac:dyDescent="0.25">
      <c r="B7" s="262" t="s">
        <v>17</v>
      </c>
      <c r="C7" s="263">
        <f>+C11+C14+5+5</f>
        <v>85.5</v>
      </c>
    </row>
    <row r="8" spans="2:6" hidden="1" x14ac:dyDescent="0.25">
      <c r="B8" s="262"/>
      <c r="C8" s="262"/>
    </row>
    <row r="9" spans="2:6" hidden="1" x14ac:dyDescent="0.25">
      <c r="B9" s="262" t="s">
        <v>13</v>
      </c>
      <c r="C9" s="262">
        <f>+AO80</f>
        <v>277.47557587584777</v>
      </c>
    </row>
    <row r="10" spans="2:6" hidden="1" x14ac:dyDescent="0.25"/>
    <row r="11" spans="2:6" ht="23.25" hidden="1" x14ac:dyDescent="0.35">
      <c r="B11" s="411" t="s">
        <v>100</v>
      </c>
      <c r="C11" s="378">
        <f>+B81*47.5</f>
        <v>47.5</v>
      </c>
    </row>
    <row r="12" spans="2:6" hidden="1" x14ac:dyDescent="0.25">
      <c r="B12" s="264"/>
      <c r="C12" s="265"/>
      <c r="D12" s="266"/>
    </row>
    <row r="13" spans="2:6" hidden="1" x14ac:dyDescent="0.25">
      <c r="D13" s="266"/>
    </row>
    <row r="14" spans="2:6" ht="23.25" hidden="1" x14ac:dyDescent="0.35">
      <c r="B14" s="411" t="s">
        <v>101</v>
      </c>
      <c r="C14" s="378">
        <f>(+B102*28)</f>
        <v>28</v>
      </c>
      <c r="D14" s="266"/>
    </row>
    <row r="15" spans="2:6" hidden="1" x14ac:dyDescent="0.25">
      <c r="B15" s="267"/>
      <c r="C15" s="265"/>
      <c r="D15" s="266"/>
    </row>
    <row r="16" spans="2:6" hidden="1" x14ac:dyDescent="0.25">
      <c r="B16" s="268"/>
      <c r="C16" s="268"/>
      <c r="D16" s="266"/>
    </row>
    <row r="17" spans="2:79" hidden="1" x14ac:dyDescent="0.25">
      <c r="B17" s="268"/>
      <c r="C17" s="268"/>
      <c r="D17" s="266"/>
    </row>
    <row r="18" spans="2:79" hidden="1" x14ac:dyDescent="0.25">
      <c r="B18" s="412" t="s">
        <v>55</v>
      </c>
      <c r="C18" s="413">
        <v>5800</v>
      </c>
      <c r="D18" s="413">
        <v>10000</v>
      </c>
      <c r="E18" s="414"/>
    </row>
    <row r="19" spans="2:79" hidden="1" x14ac:dyDescent="0.25">
      <c r="B19" s="412" t="s">
        <v>56</v>
      </c>
      <c r="C19" s="413">
        <v>5800</v>
      </c>
      <c r="D19" s="413">
        <v>5800</v>
      </c>
      <c r="E19" s="414"/>
    </row>
    <row r="20" spans="2:79" hidden="1" x14ac:dyDescent="0.25">
      <c r="B20" s="412" t="s">
        <v>59</v>
      </c>
      <c r="C20" s="413">
        <v>8000</v>
      </c>
      <c r="D20" s="413">
        <v>8000</v>
      </c>
      <c r="E20" s="358">
        <v>8000</v>
      </c>
    </row>
    <row r="21" spans="2:79" hidden="1" x14ac:dyDescent="0.25">
      <c r="B21" s="413"/>
      <c r="C21" s="413" t="s">
        <v>18</v>
      </c>
      <c r="D21" s="413" t="s">
        <v>19</v>
      </c>
      <c r="E21" s="414"/>
    </row>
    <row r="22" spans="2:79" hidden="1" x14ac:dyDescent="0.25">
      <c r="B22" s="415" t="s">
        <v>50</v>
      </c>
      <c r="C22" s="413" t="e">
        <f>+((C8-C9)/C8)*C7</f>
        <v>#DIV/0!</v>
      </c>
      <c r="D22" s="413" t="e">
        <f>+(C9/C8)*C7</f>
        <v>#DIV/0!</v>
      </c>
      <c r="E22" s="414"/>
    </row>
    <row r="23" spans="2:79" hidden="1" x14ac:dyDescent="0.25">
      <c r="B23" s="416"/>
      <c r="C23" s="416"/>
      <c r="D23" s="414"/>
      <c r="E23" s="414"/>
    </row>
    <row r="24" spans="2:79" hidden="1" x14ac:dyDescent="0.25">
      <c r="E24" s="266"/>
      <c r="F24" s="266"/>
      <c r="G24" s="266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</row>
    <row r="25" spans="2:79" hidden="1" x14ac:dyDescent="0.25">
      <c r="E25" s="266"/>
      <c r="F25" s="266"/>
      <c r="G25" s="266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</row>
    <row r="26" spans="2:79" ht="39" customHeight="1" thickBot="1" x14ac:dyDescent="0.35">
      <c r="E26" s="266"/>
      <c r="F26" s="266"/>
      <c r="G26" s="266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67"/>
      <c r="V26" s="269"/>
      <c r="W26" s="269"/>
      <c r="X26" s="269"/>
      <c r="Y26" s="269"/>
      <c r="Z26" s="269"/>
      <c r="AA26" s="269"/>
      <c r="AB26" s="67"/>
      <c r="AC26" s="67"/>
      <c r="AD26" s="67"/>
      <c r="AE26" s="67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D26" s="42"/>
      <c r="BE26" s="46"/>
      <c r="BF26" s="44" t="s">
        <v>22</v>
      </c>
      <c r="BG26" s="504">
        <f>+C7</f>
        <v>85.5</v>
      </c>
      <c r="BH26" s="504"/>
      <c r="BI26" s="45" t="s">
        <v>16</v>
      </c>
      <c r="BJ26" s="45"/>
      <c r="BK26" s="408" t="s">
        <v>112</v>
      </c>
      <c r="BL26" s="46"/>
      <c r="BM26" s="46"/>
      <c r="BN26" s="46"/>
      <c r="BO26" s="46"/>
      <c r="BP26" s="46"/>
      <c r="BQ26" s="46"/>
      <c r="BR26" s="47"/>
      <c r="BS26" s="47"/>
      <c r="BT26" s="47"/>
      <c r="BU26" s="47"/>
      <c r="BV26" s="47"/>
      <c r="BW26" s="47"/>
    </row>
    <row r="27" spans="2:79" ht="45" hidden="1" customHeight="1" thickBot="1" x14ac:dyDescent="0.35">
      <c r="E27" s="266"/>
      <c r="F27" s="266"/>
      <c r="G27" s="266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32"/>
      <c r="T27" s="270"/>
      <c r="U27" s="270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C27" s="59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1"/>
      <c r="BR27" s="62"/>
      <c r="BS27" s="62"/>
      <c r="BT27" s="62"/>
      <c r="BU27" s="62"/>
      <c r="BV27" s="58"/>
      <c r="BW27" s="58"/>
      <c r="BX27" s="58"/>
      <c r="BY27" s="58"/>
      <c r="BZ27" s="58"/>
      <c r="CA27" s="58"/>
    </row>
    <row r="28" spans="2:79" ht="31.5" customHeight="1" x14ac:dyDescent="0.3">
      <c r="E28" s="266"/>
      <c r="F28" s="266"/>
      <c r="G28" s="266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32"/>
      <c r="T28" s="271"/>
      <c r="U28" s="270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C28" s="334" t="s">
        <v>24</v>
      </c>
      <c r="BD28" s="501"/>
      <c r="BE28" s="393" t="s">
        <v>25</v>
      </c>
      <c r="BF28" s="394"/>
      <c r="BG28" s="395"/>
      <c r="BH28" s="395"/>
      <c r="BI28" s="395"/>
      <c r="BJ28" s="395"/>
      <c r="BK28" s="395"/>
      <c r="BL28" s="396"/>
      <c r="BM28" s="397"/>
      <c r="BN28" s="398"/>
      <c r="BO28" s="398"/>
      <c r="BP28" s="399"/>
      <c r="BQ28" s="399"/>
      <c r="BR28" s="399"/>
      <c r="BS28" s="399"/>
      <c r="BT28" s="51"/>
      <c r="BU28" s="51"/>
      <c r="BV28" s="400"/>
      <c r="BW28" s="400"/>
      <c r="BX28" s="400"/>
      <c r="BY28" s="400"/>
      <c r="BZ28" s="394"/>
      <c r="CA28" s="401" t="s">
        <v>26</v>
      </c>
    </row>
    <row r="29" spans="2:79" ht="31.5" customHeight="1" thickBot="1" x14ac:dyDescent="0.35">
      <c r="E29" s="266"/>
      <c r="F29" s="266"/>
      <c r="G29" s="266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32"/>
      <c r="T29" s="32"/>
      <c r="U29" s="67"/>
      <c r="V29" s="269"/>
      <c r="W29" s="269"/>
      <c r="X29" s="269"/>
      <c r="Y29" s="269"/>
      <c r="Z29" s="269"/>
      <c r="AA29" s="269"/>
      <c r="AB29" s="67"/>
      <c r="AC29" s="67"/>
      <c r="AD29" s="67"/>
      <c r="AE29" s="67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C29" s="335"/>
      <c r="BD29" s="502"/>
      <c r="BE29" s="519">
        <f>+((D2-D3)/D2)*C7</f>
        <v>47.431646130589428</v>
      </c>
      <c r="BF29" s="520"/>
      <c r="BG29" s="402"/>
      <c r="BH29" s="402"/>
      <c r="BI29" s="402"/>
      <c r="BJ29" s="402"/>
      <c r="BK29" s="402"/>
      <c r="BL29" s="403"/>
      <c r="BM29" s="404"/>
      <c r="BN29" s="405"/>
      <c r="BO29" s="405"/>
      <c r="BP29" s="406"/>
      <c r="BQ29" s="406"/>
      <c r="BR29" s="406"/>
      <c r="BS29" s="406"/>
      <c r="BT29" s="57"/>
      <c r="BU29" s="57"/>
      <c r="BV29" s="407"/>
      <c r="BW29" s="407"/>
      <c r="BX29" s="407"/>
      <c r="BY29" s="407"/>
      <c r="BZ29" s="517">
        <f>+(D3/D2)*C7</f>
        <v>38.068353869410572</v>
      </c>
      <c r="CA29" s="518"/>
    </row>
    <row r="30" spans="2:79" ht="45" hidden="1" customHeight="1" x14ac:dyDescent="0.3">
      <c r="E30" s="266"/>
      <c r="F30" s="266"/>
      <c r="G30" s="266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U30" s="67"/>
      <c r="V30" s="269"/>
      <c r="W30" s="269"/>
      <c r="X30" s="269"/>
      <c r="Y30" s="269"/>
      <c r="Z30" s="269"/>
      <c r="AA30" s="269"/>
      <c r="AB30" s="67"/>
      <c r="AC30" s="67"/>
      <c r="AD30" s="67"/>
      <c r="AE30" s="67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C30" s="59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59"/>
      <c r="BO30" s="60"/>
      <c r="BP30" s="60"/>
      <c r="BQ30" s="61"/>
      <c r="BR30" s="62"/>
      <c r="BS30" s="62"/>
      <c r="BT30" s="62"/>
      <c r="BU30" s="62"/>
      <c r="BV30" s="58"/>
      <c r="BW30" s="58"/>
      <c r="BX30" s="58"/>
      <c r="BY30" s="58"/>
      <c r="BZ30" s="58"/>
      <c r="CA30" s="58"/>
    </row>
    <row r="31" spans="2:79" ht="15.95" hidden="1" customHeight="1" thickBot="1" x14ac:dyDescent="0.3">
      <c r="E31" s="266"/>
      <c r="F31" s="266"/>
      <c r="G31" s="266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U31" s="67"/>
      <c r="V31" s="269"/>
      <c r="W31" s="269"/>
      <c r="X31" s="269"/>
      <c r="Y31" s="269"/>
      <c r="Z31" s="269"/>
      <c r="AA31" s="269"/>
      <c r="AB31" s="67"/>
      <c r="AC31" s="67"/>
      <c r="AD31" s="67"/>
      <c r="AE31" s="67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D31" s="391"/>
      <c r="BE31" s="391">
        <v>1</v>
      </c>
      <c r="BF31" s="391">
        <v>2</v>
      </c>
      <c r="BG31" s="391">
        <v>3</v>
      </c>
      <c r="BH31" s="391">
        <v>4</v>
      </c>
      <c r="BI31" s="391">
        <v>5</v>
      </c>
      <c r="BJ31" s="391">
        <v>6</v>
      </c>
      <c r="BK31" s="391">
        <v>7</v>
      </c>
      <c r="BL31" s="391">
        <v>8</v>
      </c>
      <c r="BM31" s="391">
        <v>9</v>
      </c>
      <c r="BN31" s="391">
        <v>10</v>
      </c>
      <c r="BO31" s="392"/>
      <c r="BP31" s="392"/>
      <c r="BQ31" s="392"/>
      <c r="BR31" s="391">
        <v>11</v>
      </c>
      <c r="BS31" s="391">
        <v>12</v>
      </c>
      <c r="BT31" s="391">
        <v>13</v>
      </c>
      <c r="BU31" s="391">
        <v>14</v>
      </c>
      <c r="BV31" s="391">
        <v>15</v>
      </c>
      <c r="BW31" s="391">
        <v>16</v>
      </c>
      <c r="BX31" s="391">
        <v>17</v>
      </c>
      <c r="BY31" s="391">
        <v>18</v>
      </c>
      <c r="BZ31" s="391">
        <v>19</v>
      </c>
      <c r="CA31" s="391">
        <v>20</v>
      </c>
    </row>
    <row r="32" spans="2:79" ht="44.25" hidden="1" customHeight="1" thickBot="1" x14ac:dyDescent="0.35">
      <c r="E32" s="266"/>
      <c r="F32" s="266"/>
      <c r="G32" s="266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U32" s="67"/>
      <c r="V32" s="269"/>
      <c r="W32" s="269"/>
      <c r="X32" s="269"/>
      <c r="Y32" s="269"/>
      <c r="Z32" s="269"/>
      <c r="AA32" s="269"/>
      <c r="AB32" s="67"/>
      <c r="AC32" s="67"/>
      <c r="AD32" s="67"/>
      <c r="AE32" s="67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D32" s="391"/>
      <c r="BE32" s="391"/>
      <c r="BF32" s="391"/>
      <c r="BG32" s="391"/>
      <c r="BH32" s="391"/>
      <c r="BI32" s="391"/>
      <c r="BJ32" s="391"/>
      <c r="BK32" s="391"/>
      <c r="BL32" s="391"/>
      <c r="BM32" s="391"/>
      <c r="BN32" s="391"/>
      <c r="BO32" s="392"/>
      <c r="BP32" s="392"/>
      <c r="BQ32" s="392"/>
      <c r="BR32" s="391"/>
      <c r="BS32" s="391"/>
      <c r="BT32" s="391"/>
      <c r="BU32" s="391"/>
      <c r="BV32" s="391"/>
      <c r="BW32" s="391"/>
      <c r="BX32" s="391"/>
      <c r="BY32" s="68" t="b">
        <f>IF(BZ56=22,18)</f>
        <v>0</v>
      </c>
      <c r="BZ32" s="391"/>
      <c r="CA32" s="63" t="b">
        <f>IF(BZ56=22,20)</f>
        <v>0</v>
      </c>
    </row>
    <row r="33" spans="5:116" ht="45" hidden="1" customHeight="1" thickBot="1" x14ac:dyDescent="0.35">
      <c r="E33" s="266"/>
      <c r="F33" s="266"/>
      <c r="G33" s="266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67"/>
      <c r="V33" s="269"/>
      <c r="W33" s="269"/>
      <c r="X33" s="269"/>
      <c r="Y33" s="269"/>
      <c r="Z33" s="269"/>
      <c r="AA33" s="269"/>
      <c r="AB33" s="67"/>
      <c r="AC33" s="67"/>
      <c r="AD33" s="67"/>
      <c r="AE33" s="67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2"/>
      <c r="BP33" s="392"/>
      <c r="BQ33" s="392"/>
      <c r="BR33" s="391"/>
      <c r="BS33" s="391"/>
      <c r="BT33" s="391"/>
      <c r="BU33" s="391"/>
      <c r="BW33" s="68" t="b">
        <f>IF(BY56=21,16)</f>
        <v>0</v>
      </c>
      <c r="BX33" s="391"/>
      <c r="BY33" s="391"/>
      <c r="BZ33" s="391"/>
      <c r="CA33" s="63" t="b">
        <f>IF(BY56=21,20)</f>
        <v>0</v>
      </c>
    </row>
    <row r="34" spans="5:116" ht="15.95" hidden="1" customHeight="1" thickBot="1" x14ac:dyDescent="0.35">
      <c r="E34" s="266"/>
      <c r="F34" s="266"/>
      <c r="G34" s="266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67"/>
      <c r="V34" s="269"/>
      <c r="W34" s="269"/>
      <c r="X34" s="269"/>
      <c r="Y34" s="269"/>
      <c r="Z34" s="269"/>
      <c r="AA34" s="269"/>
      <c r="AB34" s="67"/>
      <c r="AC34" s="67"/>
      <c r="AD34" s="67"/>
      <c r="AE34" s="67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D34" s="91">
        <v>20</v>
      </c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2"/>
      <c r="BP34" s="392"/>
      <c r="BQ34" s="392"/>
      <c r="BR34" s="391"/>
      <c r="BS34" s="391"/>
      <c r="BT34" s="391"/>
      <c r="BU34" s="68" t="b">
        <f>IF(BX56=20,14)</f>
        <v>0</v>
      </c>
      <c r="BV34" s="391"/>
      <c r="BW34" s="391"/>
      <c r="BX34" s="391"/>
      <c r="BY34" s="391"/>
      <c r="BZ34" s="391"/>
      <c r="CA34" s="63" t="b">
        <f>IF(BX56=20,20)</f>
        <v>0</v>
      </c>
    </row>
    <row r="35" spans="5:116" ht="47.25" hidden="1" customHeight="1" thickBot="1" x14ac:dyDescent="0.35">
      <c r="BD35" s="91">
        <v>19</v>
      </c>
      <c r="BS35" s="68" t="b">
        <f>IF(BW56=19,12)</f>
        <v>0</v>
      </c>
      <c r="CA35" s="63" t="b">
        <f>IF(BW56=19,20)</f>
        <v>0</v>
      </c>
      <c r="DK35" s="47"/>
      <c r="DL35" s="47"/>
    </row>
    <row r="36" spans="5:116" ht="47.25" hidden="1" customHeight="1" thickBot="1" x14ac:dyDescent="0.35">
      <c r="BC36" s="86"/>
      <c r="BD36" s="91">
        <v>18</v>
      </c>
      <c r="BE36" s="88"/>
      <c r="BF36" s="88"/>
      <c r="BG36" s="88"/>
      <c r="BH36" s="88"/>
      <c r="BI36" s="88"/>
      <c r="BJ36" s="88"/>
      <c r="BK36" s="88"/>
      <c r="BL36" s="61"/>
      <c r="BM36" s="60"/>
      <c r="BN36" s="89"/>
      <c r="BO36" s="89"/>
      <c r="BP36" s="55"/>
      <c r="BQ36" s="55"/>
      <c r="BR36" s="68" t="b">
        <f>IF(BV56=18,11)</f>
        <v>0</v>
      </c>
      <c r="BS36" s="55"/>
      <c r="BT36" s="55"/>
      <c r="BU36" s="55"/>
      <c r="BV36" s="55"/>
      <c r="BW36" s="55"/>
      <c r="BX36" s="55"/>
      <c r="BY36" s="55"/>
      <c r="BZ36" s="63" t="b">
        <f>IF(BV56=18,19)</f>
        <v>0</v>
      </c>
      <c r="CA36" s="87"/>
      <c r="DK36" s="47"/>
      <c r="DL36" s="47"/>
    </row>
    <row r="37" spans="5:116" ht="21" hidden="1" thickBot="1" x14ac:dyDescent="0.35">
      <c r="BC37" s="86"/>
      <c r="BD37" s="91">
        <v>17</v>
      </c>
      <c r="BE37" s="88"/>
      <c r="BF37" s="88"/>
      <c r="BG37" s="88"/>
      <c r="BH37" s="88"/>
      <c r="BI37" s="88"/>
      <c r="BJ37" s="88"/>
      <c r="BK37" s="88"/>
      <c r="BL37" s="61"/>
      <c r="BM37" s="60"/>
      <c r="BP37" s="55"/>
      <c r="BR37" s="68" t="b">
        <f>IF(BU56=17,11)</f>
        <v>0</v>
      </c>
      <c r="BS37" s="55"/>
      <c r="BT37" s="55"/>
      <c r="BU37" s="55"/>
      <c r="BV37" s="55"/>
      <c r="BW37" s="55"/>
      <c r="BX37" s="63" t="b">
        <f>IF(BU56=17,17)</f>
        <v>0</v>
      </c>
      <c r="BZ37" s="87"/>
      <c r="DK37" s="47"/>
      <c r="DL37" s="47"/>
    </row>
    <row r="38" spans="5:116" ht="48" hidden="1" customHeight="1" thickBot="1" x14ac:dyDescent="0.35">
      <c r="BC38" s="86"/>
      <c r="BD38" s="91">
        <v>16</v>
      </c>
      <c r="BE38" s="88"/>
      <c r="BF38" s="88"/>
      <c r="BG38" s="88"/>
      <c r="BH38" s="88"/>
      <c r="BI38" s="88"/>
      <c r="BJ38" s="88"/>
      <c r="BK38" s="88"/>
      <c r="BL38" s="61"/>
      <c r="BM38" s="68" t="b">
        <f>IF(BT56=16,9)</f>
        <v>0</v>
      </c>
      <c r="BN38" s="89"/>
      <c r="BO38" s="89"/>
      <c r="BP38" s="55"/>
      <c r="BQ38" s="55"/>
      <c r="BR38" s="55"/>
      <c r="BT38" s="92"/>
      <c r="BV38" s="55"/>
      <c r="BW38" s="55"/>
      <c r="BX38" s="55"/>
      <c r="BY38" s="55"/>
      <c r="BZ38" s="87"/>
      <c r="CA38" s="63" t="b">
        <f>IF(BT56=16,20)</f>
        <v>0</v>
      </c>
      <c r="DK38" s="47"/>
      <c r="DL38" s="47"/>
    </row>
    <row r="39" spans="5:116" ht="36" hidden="1" customHeight="1" thickBot="1" x14ac:dyDescent="0.35">
      <c r="BC39" s="86"/>
      <c r="BD39" s="91">
        <v>15</v>
      </c>
      <c r="BE39" s="88"/>
      <c r="BF39" s="88"/>
      <c r="BG39" s="88"/>
      <c r="BH39" s="88"/>
      <c r="BI39" s="88"/>
      <c r="BJ39" s="88"/>
      <c r="BK39" s="68" t="b">
        <f>IF(BS56=15,7)</f>
        <v>0</v>
      </c>
      <c r="BL39" s="61"/>
      <c r="BM39" s="60"/>
      <c r="BN39" s="89"/>
      <c r="BO39" s="89"/>
      <c r="BP39" s="55"/>
      <c r="BR39" s="92"/>
      <c r="BS39" s="92"/>
      <c r="BT39" s="92"/>
      <c r="BV39" s="55"/>
      <c r="BW39" s="55"/>
      <c r="BX39" s="55"/>
      <c r="BY39" s="55"/>
      <c r="BZ39" s="87"/>
      <c r="CA39" s="63" t="b">
        <f>IF(BS56=15,20)</f>
        <v>0</v>
      </c>
      <c r="DK39" s="47"/>
      <c r="DL39" s="47"/>
    </row>
    <row r="40" spans="5:116" ht="21" hidden="1" thickBot="1" x14ac:dyDescent="0.35">
      <c r="BC40" s="86"/>
      <c r="BD40" s="91">
        <v>14</v>
      </c>
      <c r="BE40" s="88"/>
      <c r="BF40" s="88"/>
      <c r="BG40" s="88"/>
      <c r="BH40" s="88"/>
      <c r="BI40" s="68" t="b">
        <f>IF(BR56=14,5)</f>
        <v>0</v>
      </c>
      <c r="BJ40" s="88"/>
      <c r="BK40" s="88"/>
      <c r="BL40" s="61"/>
      <c r="BM40" s="60"/>
      <c r="BN40" s="89"/>
      <c r="BP40" s="92"/>
      <c r="BQ40" s="93"/>
      <c r="BR40" s="93"/>
      <c r="BS40" s="93"/>
      <c r="BT40" s="93"/>
      <c r="BV40" s="55"/>
      <c r="BW40" s="55"/>
      <c r="BX40" s="55"/>
      <c r="BY40" s="55"/>
      <c r="BZ40" s="87"/>
      <c r="CA40" s="73" t="b">
        <f>IF(BR56=14,20)</f>
        <v>0</v>
      </c>
      <c r="DK40" s="47"/>
      <c r="DL40" s="47"/>
    </row>
    <row r="41" spans="5:116" ht="21" hidden="1" thickBot="1" x14ac:dyDescent="0.35">
      <c r="BC41" s="86"/>
      <c r="BD41" s="91">
        <v>13</v>
      </c>
      <c r="BE41" s="87"/>
      <c r="BF41" s="86"/>
      <c r="BG41" s="68" t="b">
        <f>IF(BQ56=13,3)</f>
        <v>0</v>
      </c>
      <c r="BH41" s="86"/>
      <c r="BI41" s="86"/>
      <c r="BJ41" s="86"/>
      <c r="BK41" s="86"/>
      <c r="BL41" s="86"/>
      <c r="BN41" s="95"/>
      <c r="BO41" s="96"/>
      <c r="BP41" s="72"/>
      <c r="BQ41" s="96"/>
      <c r="BR41" s="72"/>
      <c r="BS41" s="72"/>
      <c r="BT41" s="71"/>
      <c r="BV41" s="47"/>
      <c r="BW41" s="47"/>
      <c r="BX41" s="47"/>
      <c r="BY41" s="47"/>
      <c r="BZ41" s="47"/>
      <c r="CA41" s="73" t="b">
        <f>IF(BQ56=13,20)</f>
        <v>0</v>
      </c>
      <c r="DK41" s="47"/>
      <c r="DL41" s="47"/>
    </row>
    <row r="42" spans="5:116" ht="21" hidden="1" thickBot="1" x14ac:dyDescent="0.35">
      <c r="BC42" s="86"/>
      <c r="BD42" s="91">
        <v>12</v>
      </c>
      <c r="BE42" s="68" t="b">
        <f>IF(BP56=12,1)</f>
        <v>0</v>
      </c>
      <c r="BF42" s="86"/>
      <c r="BG42" s="86"/>
      <c r="BH42" s="86"/>
      <c r="BI42" s="86"/>
      <c r="BJ42" s="86"/>
      <c r="BL42" s="95"/>
      <c r="BM42" s="95"/>
      <c r="BN42" s="69"/>
      <c r="BO42" s="95"/>
      <c r="BP42" s="95"/>
      <c r="BQ42" s="95"/>
      <c r="BR42" s="69"/>
      <c r="BS42" s="69"/>
      <c r="BT42" s="66"/>
      <c r="BV42" s="47"/>
      <c r="BW42" s="47"/>
      <c r="BX42" s="47"/>
      <c r="BY42" s="47"/>
      <c r="BZ42" s="47"/>
      <c r="CA42" s="63" t="b">
        <f>IF(BP56=12,20)</f>
        <v>0</v>
      </c>
      <c r="DK42" s="47"/>
      <c r="DL42" s="47"/>
    </row>
    <row r="43" spans="5:116" ht="21" hidden="1" customHeight="1" thickBot="1" x14ac:dyDescent="0.35">
      <c r="BC43" s="86"/>
      <c r="BD43" s="91">
        <v>11</v>
      </c>
      <c r="BE43" s="68">
        <f>IF(BO56=11,1)</f>
        <v>1</v>
      </c>
      <c r="BF43" s="86"/>
      <c r="BG43" s="86"/>
      <c r="BH43" s="86"/>
      <c r="BJ43" s="95"/>
      <c r="BK43" s="95"/>
      <c r="BL43" s="69"/>
      <c r="BM43" s="95"/>
      <c r="BN43" s="69"/>
      <c r="BO43" s="95"/>
      <c r="BP43" s="69"/>
      <c r="BQ43" s="95"/>
      <c r="BR43" s="69"/>
      <c r="BS43" s="69"/>
      <c r="BT43" s="66"/>
      <c r="BV43" s="47"/>
      <c r="BW43" s="47"/>
      <c r="BY43" s="63">
        <f>IF(BO56=11,18)</f>
        <v>18</v>
      </c>
      <c r="BZ43" s="47"/>
      <c r="CA43" s="47"/>
      <c r="DK43" s="47"/>
      <c r="DL43" s="47"/>
    </row>
    <row r="44" spans="5:116" ht="21" hidden="1" customHeight="1" thickBot="1" x14ac:dyDescent="0.35">
      <c r="BC44" s="86"/>
      <c r="BD44" s="91">
        <v>10</v>
      </c>
      <c r="BE44" s="68" t="b">
        <f>IF(BN56=10,1)</f>
        <v>0</v>
      </c>
      <c r="BF44" s="86"/>
      <c r="BH44" s="95"/>
      <c r="BI44" s="95"/>
      <c r="BJ44" s="69"/>
      <c r="BK44" s="69"/>
      <c r="BL44" s="69"/>
      <c r="BM44" s="95"/>
      <c r="BN44" s="95"/>
      <c r="BO44" s="95"/>
      <c r="BP44" s="69"/>
      <c r="BQ44" s="95"/>
      <c r="BR44" s="69"/>
      <c r="BS44" s="69"/>
      <c r="BT44" s="66"/>
      <c r="BV44" s="47"/>
      <c r="BW44" s="63" t="b">
        <f>IF(BN56=10,16)</f>
        <v>0</v>
      </c>
      <c r="BX44" s="47"/>
      <c r="BY44" s="47"/>
      <c r="BZ44" s="47"/>
      <c r="CA44" s="47"/>
      <c r="DK44" s="47"/>
      <c r="DL44" s="47"/>
    </row>
    <row r="45" spans="5:116" ht="21" hidden="1" customHeight="1" thickBot="1" x14ac:dyDescent="0.35">
      <c r="BC45" s="86"/>
      <c r="BD45" s="91">
        <v>9</v>
      </c>
      <c r="BE45" s="68" t="b">
        <f>IF(BM56=9,1)</f>
        <v>0</v>
      </c>
      <c r="BF45" s="95"/>
      <c r="BG45" s="95"/>
      <c r="BH45" s="69"/>
      <c r="BI45" s="95"/>
      <c r="BJ45" s="95"/>
      <c r="BK45" s="95"/>
      <c r="BL45" s="95"/>
      <c r="BM45" s="95"/>
      <c r="BN45" s="95"/>
      <c r="BO45" s="95"/>
      <c r="BP45" s="95"/>
      <c r="BQ45" s="95"/>
      <c r="BR45" s="69"/>
      <c r="BS45" s="69"/>
      <c r="BT45" s="66"/>
      <c r="BU45" s="63" t="b">
        <f>IF(BM56=9,14)</f>
        <v>0</v>
      </c>
      <c r="BV45" s="47"/>
      <c r="BW45" s="47"/>
      <c r="BX45" s="47"/>
      <c r="BY45" s="47"/>
      <c r="BZ45" s="47"/>
      <c r="CA45" s="47"/>
      <c r="DK45" s="47"/>
      <c r="DL45" s="47"/>
    </row>
    <row r="46" spans="5:116" ht="21" hidden="1" customHeight="1" thickBot="1" x14ac:dyDescent="0.35">
      <c r="BC46" s="86"/>
      <c r="BD46" s="91">
        <v>8</v>
      </c>
      <c r="BE46" s="70" t="b">
        <f>IF(BL56=8,1)</f>
        <v>0</v>
      </c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72"/>
      <c r="BS46" s="73" t="b">
        <f>IF(BL56=8,12)</f>
        <v>0</v>
      </c>
      <c r="BT46" s="47"/>
      <c r="BU46" s="47"/>
      <c r="BV46" s="47"/>
      <c r="BW46" s="47"/>
      <c r="BX46" s="47"/>
      <c r="BY46" s="47"/>
      <c r="BZ46" s="47"/>
      <c r="CA46" s="47"/>
      <c r="DK46" s="47"/>
      <c r="DL46" s="47"/>
    </row>
    <row r="47" spans="5:116" ht="21" hidden="1" customHeight="1" thickBot="1" x14ac:dyDescent="0.35">
      <c r="BC47" s="86"/>
      <c r="BD47" s="91">
        <v>7</v>
      </c>
      <c r="BF47" s="96"/>
      <c r="BG47" s="96"/>
      <c r="BH47" s="70" t="b">
        <f>IF(BK56=7,4)</f>
        <v>0</v>
      </c>
      <c r="BI47" s="96"/>
      <c r="BJ47" s="96"/>
      <c r="BK47" s="96"/>
      <c r="BL47" s="96"/>
      <c r="BM47" s="96"/>
      <c r="BN47" s="73" t="b">
        <f>IF(BK56=7,10)</f>
        <v>0</v>
      </c>
      <c r="BO47" s="96"/>
      <c r="BP47" s="96"/>
      <c r="BR47" s="87"/>
      <c r="BT47" s="47"/>
      <c r="BU47" s="47"/>
      <c r="BV47" s="47"/>
      <c r="BW47" s="47"/>
      <c r="BX47" s="47"/>
      <c r="BY47" s="47"/>
      <c r="BZ47" s="47"/>
      <c r="CA47" s="47"/>
      <c r="DK47" s="47"/>
      <c r="DL47" s="47"/>
    </row>
    <row r="48" spans="5:116" ht="21" hidden="1" customHeight="1" thickBot="1" x14ac:dyDescent="0.35">
      <c r="BC48" s="86"/>
      <c r="BD48" s="91">
        <v>6</v>
      </c>
      <c r="BF48" s="70" t="b">
        <f>IF(BJ56=6,2)</f>
        <v>0</v>
      </c>
      <c r="BG48" s="96"/>
      <c r="BH48" s="96"/>
      <c r="BI48" s="96"/>
      <c r="BJ48" s="96"/>
      <c r="BK48" s="96"/>
      <c r="BL48" s="96"/>
      <c r="BM48" s="96"/>
      <c r="BN48" s="73" t="b">
        <f>IF(BJ56=6,10)</f>
        <v>0</v>
      </c>
      <c r="BP48" s="86"/>
      <c r="BQ48" s="86"/>
      <c r="BR48" s="87"/>
      <c r="BT48" s="47"/>
      <c r="BU48" s="47"/>
      <c r="BV48" s="47"/>
      <c r="BW48" s="47"/>
      <c r="BX48" s="47"/>
      <c r="BY48" s="47"/>
      <c r="BZ48" s="47"/>
      <c r="CA48" s="47"/>
      <c r="DK48" s="47"/>
      <c r="DL48" s="47"/>
    </row>
    <row r="49" spans="2:116" ht="21" hidden="1" customHeight="1" thickBot="1" x14ac:dyDescent="0.35">
      <c r="BC49" s="86"/>
      <c r="BD49" s="91">
        <v>5</v>
      </c>
      <c r="BE49" s="68" t="b">
        <f>IF(BI56=5,1)</f>
        <v>0</v>
      </c>
      <c r="BF49" s="95"/>
      <c r="BG49" s="95"/>
      <c r="BH49" s="69"/>
      <c r="BI49" s="95"/>
      <c r="BJ49" s="69"/>
      <c r="BK49" s="95"/>
      <c r="BL49" s="95"/>
      <c r="BM49" s="63" t="b">
        <f>IF(BI56=5,9)</f>
        <v>0</v>
      </c>
      <c r="BN49" s="86"/>
      <c r="BO49" s="86"/>
      <c r="BP49" s="86"/>
      <c r="BQ49" s="86"/>
      <c r="BR49" s="87"/>
      <c r="BT49" s="47"/>
      <c r="BU49" s="47"/>
      <c r="BV49" s="47"/>
      <c r="BW49" s="47"/>
      <c r="BX49" s="47"/>
      <c r="BY49" s="47"/>
      <c r="BZ49" s="47"/>
      <c r="CA49" s="47"/>
      <c r="DK49" s="47"/>
      <c r="DL49" s="47"/>
    </row>
    <row r="50" spans="2:116" ht="21" hidden="1" customHeight="1" thickBot="1" x14ac:dyDescent="0.35">
      <c r="BC50" s="86"/>
      <c r="BD50" s="91">
        <v>4</v>
      </c>
      <c r="BE50" s="68" t="b">
        <f>IF(BH56=4,1)</f>
        <v>0</v>
      </c>
      <c r="BF50" s="69"/>
      <c r="BG50" s="69"/>
      <c r="BH50" s="95"/>
      <c r="BI50" s="69"/>
      <c r="BJ50" s="69"/>
      <c r="BK50" s="63" t="b">
        <f>IF(BH56=4,7)</f>
        <v>0</v>
      </c>
      <c r="BL50" s="86"/>
      <c r="BM50" s="86"/>
      <c r="BN50" s="86"/>
      <c r="BO50" s="86"/>
      <c r="BP50" s="86"/>
      <c r="BQ50" s="86"/>
      <c r="BR50" s="87"/>
      <c r="BT50" s="47"/>
      <c r="BU50" s="47"/>
      <c r="BV50" s="47"/>
      <c r="BW50" s="47"/>
      <c r="BX50" s="47"/>
      <c r="BY50" s="47"/>
      <c r="BZ50" s="47"/>
      <c r="CA50" s="47"/>
      <c r="DK50" s="47"/>
      <c r="DL50" s="47"/>
    </row>
    <row r="51" spans="2:116" ht="21" hidden="1" customHeight="1" thickBot="1" x14ac:dyDescent="0.35">
      <c r="BC51" s="86"/>
      <c r="BD51" s="91">
        <v>3</v>
      </c>
      <c r="BE51" s="70" t="b">
        <f>IF(BG56=3,1)</f>
        <v>0</v>
      </c>
      <c r="BF51" s="96"/>
      <c r="BG51" s="96"/>
      <c r="BH51" s="96"/>
      <c r="BI51" s="73" t="b">
        <f>IF(BG56=3,5)</f>
        <v>0</v>
      </c>
      <c r="BJ51" s="86"/>
      <c r="BK51" s="86"/>
      <c r="BL51" s="86"/>
      <c r="BM51" s="86"/>
      <c r="BN51" s="86"/>
      <c r="BO51" s="86"/>
      <c r="BP51" s="86"/>
      <c r="BQ51" s="86"/>
      <c r="BR51" s="87"/>
      <c r="BT51" s="47"/>
      <c r="BU51" s="47"/>
      <c r="BV51" s="47"/>
      <c r="BW51" s="47"/>
      <c r="BX51" s="47"/>
      <c r="BY51" s="47"/>
      <c r="BZ51" s="47"/>
      <c r="CA51" s="47"/>
      <c r="DK51" s="47"/>
      <c r="DL51" s="47"/>
    </row>
    <row r="52" spans="2:116" ht="21" hidden="1" customHeight="1" thickBot="1" x14ac:dyDescent="0.35">
      <c r="BC52" s="86"/>
      <c r="BD52" s="91">
        <v>2</v>
      </c>
      <c r="BE52" s="70" t="b">
        <f>IF(BF56=2,1)</f>
        <v>0</v>
      </c>
      <c r="BF52" s="96"/>
      <c r="BG52" s="73" t="b">
        <f>IF(BF56=2,3)</f>
        <v>0</v>
      </c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7"/>
      <c r="BT52" s="47"/>
      <c r="BU52" s="47"/>
      <c r="BV52" s="47"/>
      <c r="BW52" s="47"/>
      <c r="BX52" s="47"/>
      <c r="BY52" s="47"/>
      <c r="BZ52" s="47"/>
      <c r="CA52" s="47"/>
      <c r="DK52" s="47"/>
      <c r="DL52" s="47"/>
    </row>
    <row r="53" spans="2:116" ht="21" customHeight="1" thickBot="1" x14ac:dyDescent="0.35"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7"/>
      <c r="BP53" s="64"/>
      <c r="BQ53" s="64"/>
      <c r="BR53" s="64"/>
      <c r="BT53" s="47"/>
      <c r="BU53" s="47"/>
      <c r="BV53" s="47"/>
      <c r="BW53" s="47"/>
      <c r="BX53" s="47"/>
      <c r="BY53" s="47"/>
      <c r="BZ53" s="47"/>
      <c r="CA53" s="47"/>
      <c r="DK53" s="47"/>
      <c r="DL53" s="47"/>
    </row>
    <row r="54" spans="2:116" ht="31.5" customHeight="1" thickBot="1" x14ac:dyDescent="0.4">
      <c r="BC54" s="492" t="s">
        <v>97</v>
      </c>
      <c r="BD54" s="47"/>
      <c r="BE54" s="82">
        <f>SUM(BE32:BE53)</f>
        <v>1</v>
      </c>
      <c r="BF54" s="83">
        <f t="shared" ref="BF54:CA54" si="0">SUM(BF32:BF53)</f>
        <v>0</v>
      </c>
      <c r="BG54" s="83">
        <f t="shared" si="0"/>
        <v>0</v>
      </c>
      <c r="BH54" s="83">
        <f t="shared" si="0"/>
        <v>0</v>
      </c>
      <c r="BI54" s="83">
        <f t="shared" si="0"/>
        <v>0</v>
      </c>
      <c r="BJ54" s="83">
        <f t="shared" si="0"/>
        <v>0</v>
      </c>
      <c r="BK54" s="83">
        <f t="shared" si="0"/>
        <v>0</v>
      </c>
      <c r="BL54" s="83">
        <f t="shared" si="0"/>
        <v>0</v>
      </c>
      <c r="BM54" s="83">
        <f t="shared" si="0"/>
        <v>0</v>
      </c>
      <c r="BN54" s="83">
        <f t="shared" si="0"/>
        <v>0</v>
      </c>
      <c r="BO54" s="83">
        <f t="shared" si="0"/>
        <v>0</v>
      </c>
      <c r="BP54" s="83">
        <f t="shared" si="0"/>
        <v>0</v>
      </c>
      <c r="BQ54" s="83">
        <f t="shared" si="0"/>
        <v>0</v>
      </c>
      <c r="BR54" s="83">
        <f t="shared" si="0"/>
        <v>0</v>
      </c>
      <c r="BS54" s="83">
        <f t="shared" si="0"/>
        <v>0</v>
      </c>
      <c r="BT54" s="83">
        <f t="shared" si="0"/>
        <v>0</v>
      </c>
      <c r="BU54" s="83">
        <f t="shared" si="0"/>
        <v>0</v>
      </c>
      <c r="BV54" s="83">
        <f t="shared" si="0"/>
        <v>0</v>
      </c>
      <c r="BW54" s="83">
        <f t="shared" si="0"/>
        <v>0</v>
      </c>
      <c r="BX54" s="83">
        <f t="shared" si="0"/>
        <v>0</v>
      </c>
      <c r="BY54" s="83">
        <f t="shared" si="0"/>
        <v>18</v>
      </c>
      <c r="BZ54" s="83">
        <f t="shared" si="0"/>
        <v>0</v>
      </c>
      <c r="CA54" s="84">
        <f t="shared" si="0"/>
        <v>0</v>
      </c>
      <c r="DK54" s="47"/>
      <c r="DL54" s="47"/>
    </row>
    <row r="55" spans="2:116" ht="50.25" hidden="1" customHeight="1" x14ac:dyDescent="0.3">
      <c r="BC55" s="99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47"/>
      <c r="BW55" s="47"/>
      <c r="BX55" s="47"/>
      <c r="BY55" s="47"/>
      <c r="BZ55" s="47"/>
      <c r="CA55" s="47"/>
    </row>
    <row r="56" spans="2:116" ht="22.5" hidden="1" customHeight="1" x14ac:dyDescent="0.3">
      <c r="BC56" s="45"/>
      <c r="BD56" s="47"/>
      <c r="BE56" s="100" t="b">
        <f>+BA123</f>
        <v>0</v>
      </c>
      <c r="BF56" s="100" t="b">
        <f>+BA124</f>
        <v>0</v>
      </c>
      <c r="BG56" s="100" t="b">
        <f>+BA125</f>
        <v>0</v>
      </c>
      <c r="BH56" s="100" t="b">
        <f>+BA126</f>
        <v>0</v>
      </c>
      <c r="BI56" s="100" t="b">
        <f>+BA127</f>
        <v>0</v>
      </c>
      <c r="BJ56" s="100" t="b">
        <f>+BA128</f>
        <v>0</v>
      </c>
      <c r="BK56" s="100" t="b">
        <f>+BA129</f>
        <v>0</v>
      </c>
      <c r="BL56" s="100" t="b">
        <f>+BA130</f>
        <v>0</v>
      </c>
      <c r="BM56" s="100" t="b">
        <f>+BA131</f>
        <v>0</v>
      </c>
      <c r="BN56" s="100" t="b">
        <f>+BA132</f>
        <v>0</v>
      </c>
      <c r="BO56" s="388">
        <f>+BA133</f>
        <v>11</v>
      </c>
      <c r="BP56" s="388" t="b">
        <f>+BA134</f>
        <v>0</v>
      </c>
      <c r="BQ56" s="388" t="b">
        <f>+BA135</f>
        <v>0</v>
      </c>
      <c r="BR56" s="100" t="b">
        <f>+BA136</f>
        <v>0</v>
      </c>
      <c r="BS56" s="100" t="b">
        <f>+BA137</f>
        <v>0</v>
      </c>
      <c r="BT56" s="100" t="b">
        <f>+BA138</f>
        <v>0</v>
      </c>
      <c r="BU56" s="100" t="b">
        <f>+BA139</f>
        <v>0</v>
      </c>
      <c r="BV56" s="100" t="b">
        <f>+BA140</f>
        <v>0</v>
      </c>
      <c r="BW56" s="100" t="b">
        <f>+BA141</f>
        <v>0</v>
      </c>
      <c r="BX56" s="100" t="b">
        <f>+BA142</f>
        <v>0</v>
      </c>
      <c r="BY56" s="100" t="b">
        <f>+BA143</f>
        <v>0</v>
      </c>
      <c r="BZ56" s="100" t="b">
        <f>+BA144</f>
        <v>0</v>
      </c>
      <c r="CA56" s="100" t="b">
        <f>+BA145</f>
        <v>0</v>
      </c>
    </row>
    <row r="57" spans="2:116" ht="22.5" hidden="1" customHeight="1" x14ac:dyDescent="0.3">
      <c r="BC57" s="46"/>
      <c r="BD57" s="101"/>
      <c r="BE57" s="101" t="b">
        <f>+BE56</f>
        <v>0</v>
      </c>
      <c r="BF57" s="101" t="b">
        <f>+BF56</f>
        <v>0</v>
      </c>
      <c r="BG57" s="101" t="b">
        <f>+BG56</f>
        <v>0</v>
      </c>
      <c r="BH57" s="101" t="b">
        <f>+BH56</f>
        <v>0</v>
      </c>
      <c r="BI57" s="101" t="b">
        <f>+BI56</f>
        <v>0</v>
      </c>
      <c r="BJ57" s="101" t="b">
        <f t="shared" ref="BJ57:BL57" si="1">+BJ56</f>
        <v>0</v>
      </c>
      <c r="BK57" s="101" t="b">
        <f t="shared" si="1"/>
        <v>0</v>
      </c>
      <c r="BL57" s="101" t="b">
        <f t="shared" si="1"/>
        <v>0</v>
      </c>
      <c r="BM57" s="101" t="b">
        <f>+BM56</f>
        <v>0</v>
      </c>
      <c r="BN57" s="101" t="b">
        <f>+BN56</f>
        <v>0</v>
      </c>
      <c r="BO57" s="389">
        <f t="shared" ref="BO57:CA57" si="2">+BO56</f>
        <v>11</v>
      </c>
      <c r="BP57" s="389" t="b">
        <f t="shared" si="2"/>
        <v>0</v>
      </c>
      <c r="BQ57" s="389" t="b">
        <f t="shared" si="2"/>
        <v>0</v>
      </c>
      <c r="BR57" s="101" t="b">
        <f t="shared" si="2"/>
        <v>0</v>
      </c>
      <c r="BS57" s="101" t="b">
        <f t="shared" si="2"/>
        <v>0</v>
      </c>
      <c r="BT57" s="101" t="b">
        <f t="shared" si="2"/>
        <v>0</v>
      </c>
      <c r="BU57" s="101" t="b">
        <f t="shared" si="2"/>
        <v>0</v>
      </c>
      <c r="BV57" s="101" t="b">
        <f t="shared" si="2"/>
        <v>0</v>
      </c>
      <c r="BW57" s="101" t="b">
        <f t="shared" si="2"/>
        <v>0</v>
      </c>
      <c r="BX57" s="101" t="b">
        <f t="shared" si="2"/>
        <v>0</v>
      </c>
      <c r="BY57" s="101" t="b">
        <f t="shared" si="2"/>
        <v>0</v>
      </c>
      <c r="BZ57" s="101" t="b">
        <f t="shared" si="2"/>
        <v>0</v>
      </c>
      <c r="CA57" s="101" t="b">
        <f t="shared" si="2"/>
        <v>0</v>
      </c>
    </row>
    <row r="58" spans="2:116" ht="22.5" customHeight="1" thickBot="1" x14ac:dyDescent="0.35">
      <c r="BC58" s="46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</row>
    <row r="59" spans="2:116" ht="31.5" customHeight="1" thickBot="1" x14ac:dyDescent="0.4">
      <c r="BC59" s="102" t="s">
        <v>80</v>
      </c>
      <c r="BD59" s="14" t="str">
        <f>IF(BD57=11,"7","")</f>
        <v/>
      </c>
      <c r="BE59" s="489" t="str">
        <f>IF(BE57=1,"1","")</f>
        <v/>
      </c>
      <c r="BF59" s="490" t="str">
        <f>IF(BF57=2,"2","")</f>
        <v/>
      </c>
      <c r="BG59" s="490" t="str">
        <f>IF(BG57=3,"3","")</f>
        <v/>
      </c>
      <c r="BH59" s="490" t="str">
        <f>IF(BH57=4,"4","")</f>
        <v/>
      </c>
      <c r="BI59" s="490" t="str">
        <f>IF(BI57=5,"5","")</f>
        <v/>
      </c>
      <c r="BJ59" s="490" t="str">
        <f>IF(BJ57=6,"6","")</f>
        <v/>
      </c>
      <c r="BK59" s="490" t="str">
        <f>IF(BK57=7,"7","")</f>
        <v/>
      </c>
      <c r="BL59" s="490" t="str">
        <f>IF(BL57=8,"8","")</f>
        <v/>
      </c>
      <c r="BM59" s="490" t="str">
        <f>IF(BM57=9,"9","")</f>
        <v/>
      </c>
      <c r="BN59" s="490" t="str">
        <f>IF(BN57=10,"10","")</f>
        <v/>
      </c>
      <c r="BO59" s="390" t="str">
        <f>IF(BO57=11,"X","")</f>
        <v>X</v>
      </c>
      <c r="BP59" s="390" t="str">
        <f>IF(BP57=12,"X","")</f>
        <v/>
      </c>
      <c r="BQ59" s="390" t="str">
        <f>IF(BQ57=13,"X","")</f>
        <v/>
      </c>
      <c r="BR59" s="490" t="str">
        <f>IF(BR57=14,"11","")</f>
        <v/>
      </c>
      <c r="BS59" s="490" t="str">
        <f>IF(BS57=15,"12","")</f>
        <v/>
      </c>
      <c r="BT59" s="490" t="str">
        <f>IF(BT57=16,"13","")</f>
        <v/>
      </c>
      <c r="BU59" s="490" t="str">
        <f>IF(BU57=17,"14","")</f>
        <v/>
      </c>
      <c r="BV59" s="490" t="str">
        <f>IF(BV57=18,"15","")</f>
        <v/>
      </c>
      <c r="BW59" s="490" t="str">
        <f>IF(BW57=19,"16","")</f>
        <v/>
      </c>
      <c r="BX59" s="490" t="str">
        <f>IF(BX57=20,"17","")</f>
        <v/>
      </c>
      <c r="BY59" s="490" t="str">
        <f>IF(BY57=21,"18","")</f>
        <v/>
      </c>
      <c r="BZ59" s="490" t="str">
        <f>IF(BZ57=22,"19","")</f>
        <v/>
      </c>
      <c r="CA59" s="491" t="str">
        <f>IF(CA57=23,"20","")</f>
        <v/>
      </c>
    </row>
    <row r="60" spans="2:116" ht="20.25" x14ac:dyDescent="0.3">
      <c r="B60" s="272"/>
      <c r="C60" s="272"/>
      <c r="D60" s="219"/>
      <c r="E60" s="219"/>
      <c r="F60" s="266"/>
      <c r="G60" s="266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67"/>
      <c r="V60" s="269"/>
      <c r="W60" s="269"/>
      <c r="X60" s="269"/>
      <c r="Y60" s="269"/>
      <c r="Z60" s="269"/>
      <c r="AA60" s="269"/>
      <c r="AB60" s="67"/>
      <c r="AC60" s="67"/>
      <c r="AD60" s="67"/>
      <c r="AE60" s="67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69"/>
      <c r="AR60" s="269"/>
      <c r="AS60" s="269"/>
      <c r="AT60" s="269"/>
      <c r="AU60" s="269"/>
      <c r="AV60" s="269"/>
      <c r="AW60" s="269"/>
      <c r="AX60" s="269"/>
      <c r="AY60" s="269"/>
      <c r="AZ60" s="269"/>
      <c r="BA60" s="269"/>
      <c r="CG60" s="64"/>
      <c r="CH60" s="64"/>
      <c r="CI60" s="64"/>
      <c r="CJ60" s="64"/>
      <c r="CK60" s="64"/>
      <c r="CL60" s="65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5"/>
      <c r="DE60" s="47"/>
      <c r="DF60" s="47"/>
      <c r="DG60" s="47"/>
      <c r="DH60" s="47"/>
      <c r="DI60" s="47"/>
      <c r="DJ60" s="47"/>
      <c r="DK60" s="47"/>
      <c r="DL60" s="47"/>
    </row>
    <row r="61" spans="2:116" ht="20.25" x14ac:dyDescent="0.3">
      <c r="B61" s="218"/>
      <c r="C61" s="272"/>
      <c r="D61" s="218"/>
      <c r="E61" s="5"/>
      <c r="F61" s="266"/>
      <c r="G61" s="266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67"/>
      <c r="V61" s="269"/>
      <c r="W61" s="269"/>
      <c r="X61" s="269"/>
      <c r="Y61" s="269"/>
      <c r="Z61" s="269"/>
      <c r="AA61" s="269"/>
      <c r="AB61" s="67"/>
      <c r="AC61" s="67"/>
      <c r="AD61" s="67"/>
      <c r="AE61" s="67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110" t="s">
        <v>49</v>
      </c>
      <c r="CE61" s="110" t="s">
        <v>48</v>
      </c>
      <c r="DK61" s="47"/>
      <c r="DL61" s="47"/>
    </row>
    <row r="62" spans="2:116" ht="20.25" hidden="1" x14ac:dyDescent="0.3">
      <c r="B62" s="268"/>
      <c r="C62" s="268"/>
      <c r="D62" s="53"/>
      <c r="E62" s="53"/>
      <c r="F62" s="266"/>
      <c r="G62" s="266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67"/>
      <c r="V62" s="269"/>
      <c r="W62" s="269"/>
      <c r="X62" s="269"/>
      <c r="Y62" s="269"/>
      <c r="Z62" s="269"/>
      <c r="AA62" s="269"/>
      <c r="AB62" s="67"/>
      <c r="AC62" s="67"/>
      <c r="AD62" s="67"/>
      <c r="AE62" s="67"/>
      <c r="AF62" s="269"/>
      <c r="AG62" s="269"/>
      <c r="AH62" s="269"/>
      <c r="AI62" s="269"/>
      <c r="AJ62" s="269"/>
      <c r="AK62" s="269"/>
      <c r="AL62" s="269"/>
      <c r="AM62" s="269"/>
      <c r="AN62" s="269"/>
      <c r="AO62" s="269"/>
      <c r="AP62" s="269"/>
      <c r="AQ62" s="269"/>
      <c r="AR62" s="269"/>
      <c r="AS62" s="269"/>
      <c r="AT62" s="269"/>
      <c r="AU62" s="269"/>
      <c r="AV62" s="269"/>
      <c r="AW62" s="269"/>
      <c r="AX62" s="269"/>
      <c r="AY62" s="269"/>
      <c r="AZ62" s="269"/>
      <c r="BA62" s="269"/>
      <c r="BB62" s="110">
        <f>-+AX123</f>
        <v>244.88414769796276</v>
      </c>
      <c r="CE62" s="110">
        <f>+-AX145</f>
        <v>-305.11585230203724</v>
      </c>
      <c r="DK62" s="47"/>
      <c r="DL62" s="47"/>
    </row>
    <row r="63" spans="2:116" ht="20.25" hidden="1" x14ac:dyDescent="0.3">
      <c r="B63" s="268"/>
      <c r="C63" s="268"/>
      <c r="D63" s="53"/>
      <c r="E63" s="53"/>
      <c r="F63" s="53"/>
      <c r="G63" s="266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67"/>
      <c r="V63" s="269"/>
      <c r="W63" s="269"/>
      <c r="X63" s="269"/>
      <c r="Y63" s="269"/>
      <c r="Z63" s="269"/>
      <c r="AA63" s="269"/>
      <c r="AB63" s="67"/>
      <c r="AC63" s="67"/>
      <c r="AD63" s="67"/>
      <c r="AE63" s="67"/>
      <c r="AF63" s="269"/>
      <c r="AG63" s="269"/>
      <c r="AH63" s="269"/>
      <c r="AI63" s="269"/>
      <c r="AJ63" s="269"/>
      <c r="AK63" s="269"/>
      <c r="AL63" s="269"/>
      <c r="AM63" s="269"/>
      <c r="AN63" s="269"/>
      <c r="AO63" s="269"/>
      <c r="AP63" s="269"/>
      <c r="AQ63" s="269"/>
      <c r="AR63" s="269"/>
      <c r="AS63" s="269"/>
      <c r="AT63" s="269"/>
      <c r="AU63" s="269"/>
      <c r="AV63" s="269"/>
      <c r="AW63" s="269"/>
      <c r="AX63" s="269"/>
      <c r="AY63" s="269"/>
      <c r="AZ63" s="269"/>
      <c r="BA63" s="269"/>
      <c r="DK63" s="47"/>
      <c r="DL63" s="47"/>
    </row>
    <row r="64" spans="2:116" ht="20.25" hidden="1" x14ac:dyDescent="0.3">
      <c r="B64" s="268"/>
      <c r="C64" s="268"/>
      <c r="G64" s="266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67"/>
      <c r="V64" s="269"/>
      <c r="W64" s="269"/>
      <c r="X64" s="269"/>
      <c r="Y64" s="269"/>
      <c r="Z64" s="269"/>
      <c r="AA64" s="269"/>
      <c r="AB64" s="67"/>
      <c r="AC64" s="67"/>
      <c r="AD64" s="67"/>
      <c r="AE64" s="67"/>
      <c r="AF64" s="269"/>
      <c r="AG64" s="269"/>
      <c r="AH64" s="269"/>
      <c r="AI64" s="269"/>
      <c r="AJ64" s="269"/>
      <c r="AK64" s="269"/>
      <c r="AL64" s="269"/>
      <c r="AM64" s="269"/>
      <c r="AN64" s="269"/>
      <c r="AO64" s="269"/>
      <c r="AP64" s="269"/>
      <c r="AQ64" s="269"/>
      <c r="AR64" s="269"/>
      <c r="AS64" s="269"/>
      <c r="AT64" s="269"/>
      <c r="AU64" s="269"/>
      <c r="AV64" s="269"/>
      <c r="AW64" s="269"/>
      <c r="AX64" s="269"/>
      <c r="AY64" s="269"/>
      <c r="AZ64" s="269"/>
      <c r="BA64" s="269"/>
      <c r="DK64" s="47"/>
      <c r="DL64" s="47"/>
    </row>
    <row r="65" spans="2:116" ht="20.25" hidden="1" x14ac:dyDescent="0.3">
      <c r="C65" s="67"/>
      <c r="G65" s="266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67"/>
      <c r="V65" s="269"/>
      <c r="W65" s="269"/>
      <c r="X65" s="269"/>
      <c r="Y65" s="269"/>
      <c r="Z65" s="269"/>
      <c r="AA65" s="269"/>
      <c r="AB65" s="67"/>
      <c r="AC65" s="67"/>
      <c r="AD65" s="67"/>
      <c r="AE65" s="67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O65" s="50"/>
      <c r="BQ65" s="75"/>
      <c r="BR65" s="75"/>
      <c r="BT65" s="75"/>
      <c r="BU65" s="75"/>
      <c r="BV65" s="75"/>
      <c r="BW65" s="75"/>
      <c r="DK65" s="47"/>
      <c r="DL65" s="47"/>
    </row>
    <row r="66" spans="2:116" ht="20.25" hidden="1" x14ac:dyDescent="0.3">
      <c r="B66" s="273"/>
      <c r="C66" s="273"/>
      <c r="D66" s="274"/>
      <c r="E66" s="274"/>
      <c r="F66" s="274"/>
      <c r="G66" s="274"/>
      <c r="DK66" s="47"/>
      <c r="DL66" s="47"/>
    </row>
    <row r="67" spans="2:116" ht="20.25" hidden="1" x14ac:dyDescent="0.3">
      <c r="DK67" s="47"/>
      <c r="DL67" s="47"/>
    </row>
    <row r="68" spans="2:116" ht="20.25" hidden="1" x14ac:dyDescent="0.3">
      <c r="B68" s="20"/>
      <c r="DK68" s="47"/>
      <c r="DL68" s="47"/>
    </row>
    <row r="69" spans="2:116" ht="20.25" hidden="1" x14ac:dyDescent="0.3">
      <c r="B69" s="273"/>
      <c r="C69" s="273"/>
      <c r="D69" s="274"/>
      <c r="E69" s="274"/>
      <c r="F69" s="274"/>
      <c r="G69" s="274"/>
      <c r="BC69" s="79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DK69" s="47"/>
      <c r="DL69" s="47"/>
    </row>
    <row r="70" spans="2:116" ht="20.25" hidden="1" x14ac:dyDescent="0.3">
      <c r="B70" s="273"/>
      <c r="C70" s="273"/>
      <c r="D70" s="274"/>
      <c r="E70" s="274"/>
      <c r="F70" s="274"/>
      <c r="G70" s="274"/>
      <c r="DK70" s="47"/>
      <c r="DL70" s="47"/>
    </row>
    <row r="71" spans="2:116" ht="20.25" hidden="1" x14ac:dyDescent="0.3">
      <c r="DK71" s="47"/>
      <c r="DL71" s="47"/>
    </row>
    <row r="72" spans="2:116" ht="56.1" hidden="1" customHeight="1" x14ac:dyDescent="0.3">
      <c r="DK72" s="47"/>
      <c r="DL72" s="47"/>
    </row>
    <row r="73" spans="2:116" ht="45" customHeight="1" thickBot="1" x14ac:dyDescent="0.35">
      <c r="DK73" s="47"/>
      <c r="DL73" s="47"/>
    </row>
    <row r="74" spans="2:116" ht="45" customHeight="1" thickBot="1" x14ac:dyDescent="0.35">
      <c r="D74" s="493" t="str">
        <f>IF(BG26&gt;180,"WLL of FRV APS is exceeded","")</f>
        <v/>
      </c>
      <c r="BC74" s="494" t="str">
        <f>IF(BG26&gt;180,"WLL=180kg","")</f>
        <v/>
      </c>
      <c r="DK74" s="47"/>
      <c r="DL74" s="47"/>
    </row>
    <row r="75" spans="2:116" ht="41.25" customHeight="1" x14ac:dyDescent="0.3">
      <c r="B75" s="523" t="s">
        <v>95</v>
      </c>
      <c r="D75" s="532" t="str">
        <f>IF(BB62&gt;0," ","change the angle of frame")</f>
        <v xml:space="preserve"> </v>
      </c>
      <c r="E75" s="115"/>
      <c r="F75" s="115"/>
      <c r="G75" s="115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V75" s="270"/>
      <c r="W75" s="270"/>
      <c r="X75" s="270"/>
      <c r="Y75" s="270"/>
      <c r="Z75" s="270"/>
      <c r="AA75" s="270"/>
      <c r="AF75" s="270"/>
      <c r="AG75" s="270"/>
      <c r="AH75" s="270"/>
      <c r="AI75" s="270"/>
      <c r="AJ75" s="270"/>
      <c r="AK75" s="270"/>
      <c r="AL75" s="270"/>
      <c r="AM75" s="270"/>
      <c r="AN75" s="270"/>
      <c r="AO75" s="270"/>
      <c r="AP75" s="270"/>
      <c r="AQ75" s="270"/>
      <c r="AR75" s="270"/>
      <c r="AS75" s="270"/>
      <c r="AT75" s="270"/>
      <c r="AU75" s="270"/>
      <c r="AV75" s="270"/>
      <c r="AW75" s="270"/>
      <c r="AX75" s="270"/>
      <c r="AY75" s="270"/>
      <c r="AZ75" s="270"/>
      <c r="BA75" s="270"/>
      <c r="BK75" s="109"/>
      <c r="BL75" s="109"/>
      <c r="BM75" s="107"/>
    </row>
    <row r="76" spans="2:116" ht="41.25" customHeight="1" thickBot="1" x14ac:dyDescent="0.35">
      <c r="B76" s="524"/>
      <c r="D76" s="533"/>
      <c r="E76" s="115"/>
      <c r="F76" s="115"/>
      <c r="G76" s="115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V76" s="275"/>
      <c r="W76" s="275"/>
      <c r="X76" s="275"/>
      <c r="Y76" s="275"/>
      <c r="Z76" s="275"/>
      <c r="AA76" s="275"/>
      <c r="AF76" s="271"/>
      <c r="AG76" s="271"/>
      <c r="AH76" s="271"/>
      <c r="AI76" s="271"/>
      <c r="AJ76" s="271"/>
      <c r="AK76" s="271"/>
      <c r="AL76" s="271"/>
      <c r="AM76" s="271"/>
      <c r="AN76" s="271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K76" s="109"/>
      <c r="BL76" s="109"/>
      <c r="BM76" s="107"/>
      <c r="BU76" s="112"/>
    </row>
    <row r="77" spans="2:116" ht="41.25" customHeight="1" thickBot="1" x14ac:dyDescent="0.35">
      <c r="B77" s="525"/>
      <c r="C77" s="120"/>
      <c r="D77" s="532" t="str">
        <f>IF(CE62&lt;0," ","change the angle of frame")</f>
        <v xml:space="preserve"> </v>
      </c>
      <c r="E77" s="115"/>
      <c r="F77" s="115"/>
      <c r="G77" s="115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K77" s="109"/>
      <c r="BL77" s="109"/>
      <c r="BM77" s="107"/>
      <c r="BS77" s="119"/>
      <c r="BU77" s="112"/>
    </row>
    <row r="78" spans="2:116" ht="41.25" customHeight="1" thickBot="1" x14ac:dyDescent="0.4">
      <c r="B78" s="3">
        <v>0</v>
      </c>
      <c r="C78" s="120"/>
      <c r="D78" s="533"/>
      <c r="E78" s="115"/>
      <c r="F78" s="115"/>
      <c r="G78" s="115"/>
      <c r="AF78" s="270"/>
      <c r="AG78" s="270"/>
      <c r="AH78" s="270"/>
      <c r="AI78" s="270"/>
      <c r="AJ78" s="270"/>
      <c r="AK78" s="344" t="s">
        <v>85</v>
      </c>
      <c r="AL78" s="345"/>
      <c r="AM78" s="345"/>
      <c r="AN78" s="345"/>
      <c r="AO78" s="346" t="s">
        <v>89</v>
      </c>
      <c r="AP78" s="270"/>
      <c r="AQ78" s="270"/>
      <c r="AR78" s="270"/>
      <c r="AS78" s="270"/>
      <c r="AT78" s="270"/>
      <c r="AU78" s="270"/>
      <c r="AV78" s="270"/>
      <c r="AW78" s="270"/>
      <c r="AX78" s="270"/>
      <c r="AY78" s="270"/>
      <c r="AZ78" s="270"/>
      <c r="BA78" s="270"/>
      <c r="BC78" s="193"/>
      <c r="BD78" s="193"/>
      <c r="BE78" s="193"/>
      <c r="BF78" s="193"/>
      <c r="BG78" s="193"/>
      <c r="BH78" s="193"/>
      <c r="BI78" s="522"/>
      <c r="BJ78" s="522"/>
      <c r="BK78" s="522"/>
      <c r="BL78" s="108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</row>
    <row r="79" spans="2:116" ht="34.5" customHeight="1" thickBot="1" x14ac:dyDescent="0.4">
      <c r="AF79" s="270"/>
      <c r="AG79" s="270"/>
      <c r="AH79" s="270"/>
      <c r="AI79" s="270"/>
      <c r="AJ79" s="270"/>
      <c r="AK79" s="368" t="s">
        <v>86</v>
      </c>
      <c r="AL79" s="344" t="s">
        <v>87</v>
      </c>
      <c r="AM79" s="344" t="s">
        <v>88</v>
      </c>
      <c r="AN79" s="366" t="s">
        <v>91</v>
      </c>
      <c r="AO79" s="347" t="s">
        <v>90</v>
      </c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C79" s="107"/>
      <c r="BD79" s="107"/>
      <c r="BE79" s="107"/>
      <c r="BF79" s="107"/>
      <c r="BG79" s="107"/>
      <c r="BH79" s="107"/>
      <c r="BI79" s="194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94"/>
      <c r="BW79" s="107"/>
      <c r="BX79" s="107"/>
      <c r="BY79" s="107"/>
      <c r="BZ79" s="107"/>
      <c r="CA79" s="107"/>
      <c r="CB79" s="107"/>
    </row>
    <row r="80" spans="2:116" ht="73.5" customHeight="1" thickBot="1" x14ac:dyDescent="0.4">
      <c r="B80" s="225" t="s">
        <v>113</v>
      </c>
      <c r="C80" s="276"/>
      <c r="D80" s="13"/>
      <c r="E80" s="13"/>
      <c r="F80" s="13"/>
      <c r="G80" s="13"/>
      <c r="T80" s="277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470">
        <v>3.9983525000000002</v>
      </c>
      <c r="AL80" s="344">
        <f>+$B$78-AK80</f>
        <v>-3.9983525000000002</v>
      </c>
      <c r="AM80" s="348">
        <f>COS(AL80*3.14159265358979/180)</f>
        <v>0.99756605564595913</v>
      </c>
      <c r="AN80" s="471">
        <f>+AM80*308.3419</f>
        <v>307.59141297338078</v>
      </c>
      <c r="AO80" s="343">
        <f>+((AO84*AQ84)+(AN80*5))/(AQ84+5)</f>
        <v>277.47557587584777</v>
      </c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C80" s="195"/>
      <c r="BD80" s="195"/>
      <c r="BE80" s="195"/>
      <c r="BF80" s="195"/>
      <c r="BG80" s="195"/>
      <c r="BH80" s="195"/>
      <c r="BI80" s="521"/>
      <c r="BJ80" s="521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503"/>
      <c r="BV80" s="503"/>
      <c r="BW80" s="107"/>
      <c r="BX80" s="107"/>
      <c r="BY80" s="107"/>
      <c r="BZ80" s="107"/>
      <c r="CA80" s="107"/>
      <c r="CB80" s="107"/>
    </row>
    <row r="81" spans="2:80" ht="43.5" customHeight="1" thickBot="1" x14ac:dyDescent="0.45">
      <c r="B81" s="10">
        <v>1</v>
      </c>
      <c r="C81" s="123"/>
      <c r="D81" s="195"/>
      <c r="E81" s="217"/>
      <c r="F81" s="217"/>
      <c r="G81" s="217"/>
      <c r="H81" s="222" t="s">
        <v>60</v>
      </c>
      <c r="I81" s="222" t="s">
        <v>61</v>
      </c>
      <c r="J81" s="222" t="s">
        <v>62</v>
      </c>
      <c r="K81" s="14"/>
      <c r="L81" s="14"/>
      <c r="M81" s="14"/>
      <c r="N81" s="14"/>
      <c r="O81" s="14"/>
      <c r="P81" s="222" t="s">
        <v>63</v>
      </c>
      <c r="Q81" s="222" t="s">
        <v>64</v>
      </c>
      <c r="R81" s="217"/>
      <c r="S81" s="222" t="s">
        <v>65</v>
      </c>
      <c r="T81" s="278"/>
      <c r="W81" s="529" t="s">
        <v>66</v>
      </c>
      <c r="X81" s="529"/>
      <c r="Y81" s="529"/>
      <c r="Z81" s="529"/>
      <c r="AA81" s="529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9"/>
      <c r="AZ81" s="530" t="s">
        <v>44</v>
      </c>
      <c r="BA81" s="531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</row>
    <row r="82" spans="2:80" ht="46.5" hidden="1" thickBot="1" x14ac:dyDescent="0.3">
      <c r="B82" s="280"/>
      <c r="C82" s="281"/>
      <c r="D82" s="460" t="s">
        <v>107</v>
      </c>
      <c r="E82" s="53"/>
      <c r="F82" s="53"/>
      <c r="G82" s="53"/>
      <c r="H82" s="235" t="s">
        <v>4</v>
      </c>
      <c r="I82" s="235" t="s">
        <v>1</v>
      </c>
      <c r="J82" s="253" t="s">
        <v>54</v>
      </c>
      <c r="K82" s="205" t="s">
        <v>2</v>
      </c>
      <c r="L82" s="205" t="s">
        <v>3</v>
      </c>
      <c r="M82" s="205" t="s">
        <v>8</v>
      </c>
      <c r="N82" s="205" t="s">
        <v>5</v>
      </c>
      <c r="O82" s="205" t="s">
        <v>6</v>
      </c>
      <c r="P82" s="205" t="s">
        <v>7</v>
      </c>
      <c r="Q82" s="205" t="s">
        <v>9</v>
      </c>
      <c r="R82" s="235" t="s">
        <v>10</v>
      </c>
      <c r="S82" s="205" t="s">
        <v>11</v>
      </c>
      <c r="T82" s="282" t="s">
        <v>12</v>
      </c>
      <c r="W82" s="235" t="s">
        <v>103</v>
      </c>
      <c r="X82" s="283" t="s">
        <v>67</v>
      </c>
      <c r="Y82" s="235" t="s">
        <v>102</v>
      </c>
      <c r="Z82" s="284" t="s">
        <v>68</v>
      </c>
      <c r="AA82" s="284" t="s">
        <v>69</v>
      </c>
      <c r="AC82" s="205" t="s">
        <v>70</v>
      </c>
      <c r="AD82" s="205"/>
      <c r="AE82" s="205"/>
      <c r="AF82" s="285"/>
      <c r="AG82" s="285"/>
      <c r="AH82" s="285"/>
      <c r="AI82" s="439" t="s">
        <v>93</v>
      </c>
      <c r="AJ82" s="439" t="s">
        <v>93</v>
      </c>
      <c r="AK82" s="439" t="s">
        <v>93</v>
      </c>
      <c r="AL82" s="439" t="s">
        <v>93</v>
      </c>
      <c r="AM82" s="439" t="s">
        <v>93</v>
      </c>
      <c r="AN82" s="439" t="s">
        <v>93</v>
      </c>
      <c r="AO82" s="285" t="s">
        <v>104</v>
      </c>
      <c r="AP82" s="285"/>
      <c r="AQ82" s="285" t="s">
        <v>104</v>
      </c>
      <c r="AR82" s="329"/>
      <c r="AS82" s="329"/>
      <c r="AT82" s="329" t="s">
        <v>82</v>
      </c>
      <c r="AU82" s="329"/>
      <c r="AV82" s="329"/>
      <c r="AW82" s="329"/>
      <c r="AX82" s="279"/>
      <c r="AY82" s="279"/>
      <c r="AZ82" s="285"/>
      <c r="BA82" s="285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</row>
    <row r="83" spans="2:80" ht="70.5" hidden="1" customHeight="1" thickBot="1" x14ac:dyDescent="0.35">
      <c r="B83" s="286"/>
      <c r="C83" s="287"/>
      <c r="D83" s="228"/>
      <c r="E83" s="217"/>
      <c r="F83" s="217"/>
      <c r="G83" s="147"/>
      <c r="H83" s="235"/>
      <c r="I83" s="235"/>
      <c r="J83" s="253"/>
      <c r="K83" s="205"/>
      <c r="L83" s="205"/>
      <c r="M83" s="205"/>
      <c r="N83" s="205"/>
      <c r="O83" s="205"/>
      <c r="P83" s="205"/>
      <c r="Q83" s="205"/>
      <c r="R83" s="235"/>
      <c r="S83" s="205"/>
      <c r="T83" s="282"/>
      <c r="U83" s="32"/>
      <c r="V83" s="285"/>
      <c r="W83" s="285"/>
      <c r="X83" s="285"/>
      <c r="Y83" s="285"/>
      <c r="Z83" s="285"/>
      <c r="AA83" s="285"/>
      <c r="AB83" s="285"/>
      <c r="AC83" s="288">
        <f>SUM(AC84:AC95)</f>
        <v>283.61189300470892</v>
      </c>
      <c r="AD83" s="289"/>
      <c r="AE83" s="289"/>
      <c r="AF83" s="285" t="s">
        <v>34</v>
      </c>
      <c r="AG83" s="290" t="s">
        <v>27</v>
      </c>
      <c r="AH83" s="290"/>
      <c r="AI83" s="446" t="s">
        <v>51</v>
      </c>
      <c r="AJ83" s="447" t="s">
        <v>28</v>
      </c>
      <c r="AK83" s="446" t="s">
        <v>29</v>
      </c>
      <c r="AL83" s="448" t="s">
        <v>52</v>
      </c>
      <c r="AM83" s="446" t="s">
        <v>30</v>
      </c>
      <c r="AN83" s="446" t="s">
        <v>31</v>
      </c>
      <c r="AO83" s="292" t="s">
        <v>41</v>
      </c>
      <c r="AP83" s="443" t="s">
        <v>96</v>
      </c>
      <c r="AQ83" s="292" t="s">
        <v>106</v>
      </c>
      <c r="AR83" s="329" t="s">
        <v>40</v>
      </c>
      <c r="AS83" s="329" t="s">
        <v>35</v>
      </c>
      <c r="AT83" s="329" t="s">
        <v>43</v>
      </c>
      <c r="AU83" s="329" t="s">
        <v>42</v>
      </c>
      <c r="AV83" s="444" t="s">
        <v>37</v>
      </c>
      <c r="AW83" s="444" t="s">
        <v>38</v>
      </c>
      <c r="AX83" s="294" t="s">
        <v>20</v>
      </c>
      <c r="AY83" s="294" t="s">
        <v>21</v>
      </c>
      <c r="AZ83" s="295" t="s">
        <v>20</v>
      </c>
      <c r="BA83" s="295" t="s">
        <v>21</v>
      </c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</row>
    <row r="84" spans="2:80" ht="24.75" hidden="1" customHeight="1" thickBot="1" x14ac:dyDescent="0.3">
      <c r="B84" s="157">
        <v>1</v>
      </c>
      <c r="C84" s="158">
        <f>+(B78*-1)+D84</f>
        <v>0</v>
      </c>
      <c r="D84" s="8">
        <v>0</v>
      </c>
      <c r="E84" s="296"/>
      <c r="F84" s="174"/>
      <c r="G84" s="174"/>
      <c r="H84" s="382">
        <v>402.55309999999997</v>
      </c>
      <c r="I84" s="383">
        <v>45.2081819</v>
      </c>
      <c r="J84" s="222">
        <f>+I84-C84</f>
        <v>45.2081819</v>
      </c>
      <c r="K84" s="174"/>
      <c r="L84" s="174"/>
      <c r="M84" s="174"/>
      <c r="N84" s="174"/>
      <c r="O84" s="174"/>
      <c r="P84" s="222">
        <f>COS(J84*3.14159265358979/180)</f>
        <v>0.70453287530193887</v>
      </c>
      <c r="Q84" s="222">
        <f>+P84*H84</f>
        <v>283.61189300470892</v>
      </c>
      <c r="R84" s="384">
        <v>283.61189999999999</v>
      </c>
      <c r="S84" s="222">
        <f>+Q84</f>
        <v>283.61189300470892</v>
      </c>
      <c r="T84" s="174">
        <f t="shared" ref="T84:T95" si="3">+S84</f>
        <v>283.61189300470892</v>
      </c>
      <c r="U84" s="174"/>
      <c r="V84" s="174">
        <f t="shared" ref="V84:V95" si="4">IF(B84&lt;($B$81+1),T84,0)</f>
        <v>283.61189300470892</v>
      </c>
      <c r="W84" s="428">
        <v>45.2081819</v>
      </c>
      <c r="X84" s="174">
        <f>+W84+AH96</f>
        <v>45.2081819</v>
      </c>
      <c r="Y84" s="428">
        <v>402.55309999999997</v>
      </c>
      <c r="Z84" s="297">
        <f>+COS(X84*3.14159265358979/180)*Y84</f>
        <v>283.61189300470892</v>
      </c>
      <c r="AA84" s="298">
        <f>+AC83-Z84</f>
        <v>0</v>
      </c>
      <c r="AB84" s="174"/>
      <c r="AC84" s="299">
        <f>IF(AD84=1,AF84)</f>
        <v>283.61189300470892</v>
      </c>
      <c r="AD84" s="299">
        <f t="shared" ref="AD84:AD95" si="5">MAX(AE$84:AE$95)</f>
        <v>1</v>
      </c>
      <c r="AE84" s="299">
        <f>IF(V84=0,0,1)</f>
        <v>1</v>
      </c>
      <c r="AF84" s="300">
        <f>SUM(V84:V95)/($B$81)</f>
        <v>283.61189300470892</v>
      </c>
      <c r="AG84" s="301">
        <f>+D84+C84</f>
        <v>0</v>
      </c>
      <c r="AH84" s="302">
        <f t="shared" ref="AH84:AH95" si="6">IF(B84&lt;($B$81+1),AG84)</f>
        <v>0</v>
      </c>
      <c r="AI84" s="449">
        <f>54.5017821+AG84</f>
        <v>54.5017821</v>
      </c>
      <c r="AJ84" s="450">
        <f>SIN(AI84*3.14159265358979/180)</f>
        <v>0.81413357986421619</v>
      </c>
      <c r="AK84" s="449">
        <f>+AJ84*421.92</f>
        <v>343.49924001631013</v>
      </c>
      <c r="AL84" s="449">
        <f>58.7344156-AG84</f>
        <v>58.734415599999998</v>
      </c>
      <c r="AM84" s="450">
        <f>SIN(AL84*3.14159265358979/180)</f>
        <v>0.85477073319485097</v>
      </c>
      <c r="AN84" s="449">
        <f>+AM84*472.06</f>
        <v>403.50307231196138</v>
      </c>
      <c r="AO84" s="441">
        <f t="shared" ref="AO84:AO95" si="7">+((AF84*AP84)+($AP$105*($AF$105+$AA$84)))/AQ84</f>
        <v>275.48114957799788</v>
      </c>
      <c r="AP84" s="443">
        <f>47.5*B81</f>
        <v>47.5</v>
      </c>
      <c r="AQ84" s="442">
        <f>+AP84+$AP$105</f>
        <v>75.5</v>
      </c>
      <c r="AR84" s="445">
        <f>+AN84+AK84</f>
        <v>747.0023123282715</v>
      </c>
      <c r="AS84" s="331">
        <f>+V84-AN84</f>
        <v>-119.89117930725246</v>
      </c>
      <c r="AT84" s="331">
        <f>+AO84-AS84</f>
        <v>395.37232888525034</v>
      </c>
      <c r="AU84" s="331">
        <f>+AF84-AS84</f>
        <v>403.50307231196138</v>
      </c>
      <c r="AV84" s="331">
        <f>+((AR84-AT84)/AR84)*AQ84</f>
        <v>35.539466627891116</v>
      </c>
      <c r="AW84" s="331">
        <f>+(AT84/AR84)*AQ84</f>
        <v>39.960533372108891</v>
      </c>
      <c r="AX84" s="304">
        <f t="shared" ref="AX84:AX95" si="8">2*$C$19/AV84</f>
        <v>326.39769531308622</v>
      </c>
      <c r="AY84" s="304">
        <f t="shared" ref="AY84:AY95" si="9">2*$D$19/AW84</f>
        <v>290.28641564870628</v>
      </c>
      <c r="AZ84" s="305">
        <f>ABS(AX84)</f>
        <v>326.39769531308622</v>
      </c>
      <c r="BA84" s="305">
        <f>ABS(AY84)</f>
        <v>290.28641564870628</v>
      </c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</row>
    <row r="85" spans="2:80" ht="24.75" hidden="1" customHeight="1" thickBot="1" x14ac:dyDescent="0.3">
      <c r="B85" s="171">
        <v>2</v>
      </c>
      <c r="C85" s="172"/>
      <c r="D85" s="8">
        <v>0</v>
      </c>
      <c r="E85" s="159"/>
      <c r="F85" s="160"/>
      <c r="G85" s="160"/>
      <c r="H85" s="461">
        <v>402.55</v>
      </c>
      <c r="I85" s="461">
        <v>90.416363899999993</v>
      </c>
      <c r="J85" s="160">
        <f>+I85+D85</f>
        <v>90.416363899999993</v>
      </c>
      <c r="K85" s="160">
        <f t="shared" ref="K85:K95" si="10">+J85/2</f>
        <v>45.208181949999997</v>
      </c>
      <c r="L85" s="160">
        <f t="shared" ref="L85:L95" si="11">SIN(K85*3.14159265358979/180)</f>
        <v>0.70967135245226309</v>
      </c>
      <c r="M85" s="160">
        <f t="shared" ref="M85:M95" si="12">+L85*H85</f>
        <v>285.67820292965854</v>
      </c>
      <c r="N85" s="160">
        <f t="shared" ref="N85:N95" si="13">+M85*2</f>
        <v>571.35640585931708</v>
      </c>
      <c r="O85" s="160">
        <f>+C84+(D85/2)</f>
        <v>0</v>
      </c>
      <c r="P85" s="160">
        <f t="shared" ref="P85:P95" si="14">SIN(O85*3.14159265358979/180)</f>
        <v>0</v>
      </c>
      <c r="Q85" s="160">
        <f t="shared" ref="Q85:Q95" si="15">+P85*N85</f>
        <v>0</v>
      </c>
      <c r="R85" s="160">
        <f t="shared" ref="R85:R95" si="16">+T84</f>
        <v>283.61189300470892</v>
      </c>
      <c r="S85" s="160">
        <f>+R85+Q85</f>
        <v>283.61189300470892</v>
      </c>
      <c r="T85" s="160">
        <f t="shared" si="3"/>
        <v>283.61189300470892</v>
      </c>
      <c r="U85" s="160"/>
      <c r="V85" s="160">
        <f t="shared" si="4"/>
        <v>0</v>
      </c>
      <c r="W85" s="160"/>
      <c r="X85" s="160"/>
      <c r="Y85" s="160"/>
      <c r="Z85" s="160"/>
      <c r="AA85" s="160"/>
      <c r="AB85" s="160"/>
      <c r="AC85" s="299" t="b">
        <f>IF(AD85=2,AF85)</f>
        <v>0</v>
      </c>
      <c r="AD85" s="299">
        <f t="shared" si="5"/>
        <v>1</v>
      </c>
      <c r="AE85" s="299">
        <f>IF(V85=0,0,2)</f>
        <v>0</v>
      </c>
      <c r="AF85" s="300" t="e">
        <f>SUM(V85:V95)/($B$81-B84)</f>
        <v>#DIV/0!</v>
      </c>
      <c r="AG85" s="306">
        <f>SUM(D85)+$C$84</f>
        <v>0</v>
      </c>
      <c r="AH85" s="302" t="b">
        <f t="shared" si="6"/>
        <v>0</v>
      </c>
      <c r="AI85" s="449">
        <f t="shared" ref="AI85:AI95" si="17">54.5017821+AG85</f>
        <v>54.5017821</v>
      </c>
      <c r="AJ85" s="450">
        <f>SIN(AI85*3.14159265358979/180)</f>
        <v>0.81413357986421619</v>
      </c>
      <c r="AK85" s="449">
        <f t="shared" ref="AK85:AK95" si="18">+AJ85*421.92</f>
        <v>343.49924001631013</v>
      </c>
      <c r="AL85" s="449">
        <f t="shared" ref="AL85:AL95" si="19">58.7344156-AG85</f>
        <v>58.734415599999998</v>
      </c>
      <c r="AM85" s="450">
        <f t="shared" ref="AM85:AM95" si="20">SIN(AL85*3.14159265358979/180)</f>
        <v>0.85477073319485097</v>
      </c>
      <c r="AN85" s="449">
        <f t="shared" ref="AN85:AN95" si="21">+AM85*472.06</f>
        <v>403.50307231196138</v>
      </c>
      <c r="AO85" s="441" t="e">
        <f t="shared" si="7"/>
        <v>#DIV/0!</v>
      </c>
      <c r="AP85" s="443">
        <f>47.5*($B$81-B84)</f>
        <v>0</v>
      </c>
      <c r="AQ85" s="442">
        <f>+AP85+$AP$105</f>
        <v>28</v>
      </c>
      <c r="AR85" s="445">
        <f t="shared" ref="AR85:AR95" si="22">+AN85+AK85</f>
        <v>747.0023123282715</v>
      </c>
      <c r="AS85" s="331">
        <f>+V85-AN85</f>
        <v>-403.50307231196138</v>
      </c>
      <c r="AT85" s="331" t="e">
        <f t="shared" ref="AT85:AT95" si="23">+AO85-AS85</f>
        <v>#DIV/0!</v>
      </c>
      <c r="AU85" s="331" t="e">
        <f>+AF85-AS85</f>
        <v>#DIV/0!</v>
      </c>
      <c r="AV85" s="331" t="e">
        <f t="shared" ref="AV85:AV95" si="24">+((AR85-AT85)/AR85)*AQ85</f>
        <v>#DIV/0!</v>
      </c>
      <c r="AW85" s="331" t="e">
        <f t="shared" ref="AW85:AW95" si="25">+(AT85/AR85)*AQ85</f>
        <v>#DIV/0!</v>
      </c>
      <c r="AX85" s="304" t="e">
        <f t="shared" si="8"/>
        <v>#DIV/0!</v>
      </c>
      <c r="AY85" s="304" t="e">
        <f t="shared" si="9"/>
        <v>#DIV/0!</v>
      </c>
      <c r="AZ85" s="307" t="e">
        <f t="shared" ref="AZ85:BA95" si="26">ABS(AX85)</f>
        <v>#DIV/0!</v>
      </c>
      <c r="BA85" s="307" t="e">
        <f t="shared" si="26"/>
        <v>#DIV/0!</v>
      </c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</row>
    <row r="86" spans="2:80" ht="24.75" hidden="1" customHeight="1" thickBot="1" x14ac:dyDescent="0.3">
      <c r="B86" s="171">
        <v>3</v>
      </c>
      <c r="C86" s="172"/>
      <c r="D86" s="8">
        <v>0</v>
      </c>
      <c r="E86" s="159"/>
      <c r="F86" s="160"/>
      <c r="G86" s="160"/>
      <c r="H86" s="461">
        <v>402.55</v>
      </c>
      <c r="I86" s="461">
        <v>90.416363899999993</v>
      </c>
      <c r="J86" s="160">
        <f t="shared" ref="J86:J95" si="27">+I86+D86</f>
        <v>90.416363899999993</v>
      </c>
      <c r="K86" s="160">
        <f t="shared" si="10"/>
        <v>45.208181949999997</v>
      </c>
      <c r="L86" s="160">
        <f t="shared" si="11"/>
        <v>0.70967135245226309</v>
      </c>
      <c r="M86" s="160">
        <f t="shared" si="12"/>
        <v>285.67820292965854</v>
      </c>
      <c r="N86" s="160">
        <f t="shared" si="13"/>
        <v>571.35640585931708</v>
      </c>
      <c r="O86" s="160">
        <f>+C84+D85+(D86/2)</f>
        <v>0</v>
      </c>
      <c r="P86" s="160">
        <f t="shared" si="14"/>
        <v>0</v>
      </c>
      <c r="Q86" s="160">
        <f t="shared" si="15"/>
        <v>0</v>
      </c>
      <c r="R86" s="160">
        <f t="shared" si="16"/>
        <v>283.61189300470892</v>
      </c>
      <c r="S86" s="160">
        <f t="shared" ref="S86:S95" si="28">+S85+Q86</f>
        <v>283.61189300470892</v>
      </c>
      <c r="T86" s="160">
        <f t="shared" si="3"/>
        <v>283.61189300470892</v>
      </c>
      <c r="U86" s="160"/>
      <c r="V86" s="160">
        <f t="shared" si="4"/>
        <v>0</v>
      </c>
      <c r="W86" s="160"/>
      <c r="X86" s="160"/>
      <c r="Y86" s="160"/>
      <c r="Z86" s="160"/>
      <c r="AA86" s="160"/>
      <c r="AB86" s="160"/>
      <c r="AC86" s="299" t="b">
        <f>IF(AD86=3,AF86)</f>
        <v>0</v>
      </c>
      <c r="AD86" s="299">
        <f t="shared" si="5"/>
        <v>1</v>
      </c>
      <c r="AE86" s="299">
        <f>IF(V86=0,0,3)</f>
        <v>0</v>
      </c>
      <c r="AF86" s="300">
        <f>SUM(V86:V95)/($B$81-B85)</f>
        <v>0</v>
      </c>
      <c r="AG86" s="306">
        <f>SUM(D85:D86)+$C$84</f>
        <v>0</v>
      </c>
      <c r="AH86" s="302" t="b">
        <f t="shared" si="6"/>
        <v>0</v>
      </c>
      <c r="AI86" s="449">
        <f t="shared" si="17"/>
        <v>54.5017821</v>
      </c>
      <c r="AJ86" s="450">
        <f t="shared" ref="AJ86:AJ95" si="29">SIN(AI86*3.14159265358979/180)</f>
        <v>0.81413357986421619</v>
      </c>
      <c r="AK86" s="449">
        <f t="shared" si="18"/>
        <v>343.49924001631013</v>
      </c>
      <c r="AL86" s="449">
        <f t="shared" si="19"/>
        <v>58.734415599999998</v>
      </c>
      <c r="AM86" s="450">
        <f t="shared" si="20"/>
        <v>0.85477073319485097</v>
      </c>
      <c r="AN86" s="449">
        <f t="shared" si="21"/>
        <v>403.50307231196138</v>
      </c>
      <c r="AO86" s="441">
        <f t="shared" si="7"/>
        <v>-375.75701925205976</v>
      </c>
      <c r="AP86" s="443">
        <f t="shared" ref="AP86:AP95" si="30">47.5*($B$81-B85)</f>
        <v>-47.5</v>
      </c>
      <c r="AQ86" s="442">
        <f t="shared" ref="AQ86:AQ95" si="31">+AP86+$AP$105</f>
        <v>-19.5</v>
      </c>
      <c r="AR86" s="445">
        <f t="shared" si="22"/>
        <v>747.0023123282715</v>
      </c>
      <c r="AS86" s="331">
        <f>+V86-AN86</f>
        <v>-403.50307231196138</v>
      </c>
      <c r="AT86" s="331">
        <f t="shared" si="23"/>
        <v>27.746053059901612</v>
      </c>
      <c r="AU86" s="331">
        <f>+AF86-AS86</f>
        <v>403.50307231196138</v>
      </c>
      <c r="AV86" s="331">
        <f t="shared" si="24"/>
        <v>-18.775707684248349</v>
      </c>
      <c r="AW86" s="331">
        <f t="shared" si="25"/>
        <v>-0.72429231575165043</v>
      </c>
      <c r="AX86" s="304">
        <f t="shared" si="8"/>
        <v>-617.81958875146302</v>
      </c>
      <c r="AY86" s="304">
        <f t="shared" si="9"/>
        <v>-16015.633119014721</v>
      </c>
      <c r="AZ86" s="307">
        <f t="shared" si="26"/>
        <v>617.81958875146302</v>
      </c>
      <c r="BA86" s="307">
        <f t="shared" si="26"/>
        <v>16015.633119014721</v>
      </c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</row>
    <row r="87" spans="2:80" ht="24.75" hidden="1" customHeight="1" thickBot="1" x14ac:dyDescent="0.3">
      <c r="B87" s="171">
        <v>4</v>
      </c>
      <c r="C87" s="172"/>
      <c r="D87" s="8">
        <v>0</v>
      </c>
      <c r="E87" s="159"/>
      <c r="F87" s="160"/>
      <c r="G87" s="160"/>
      <c r="H87" s="461">
        <v>402.55</v>
      </c>
      <c r="I87" s="461">
        <v>90.416363899999993</v>
      </c>
      <c r="J87" s="160">
        <f t="shared" si="27"/>
        <v>90.416363899999993</v>
      </c>
      <c r="K87" s="160">
        <f t="shared" si="10"/>
        <v>45.208181949999997</v>
      </c>
      <c r="L87" s="160">
        <f t="shared" si="11"/>
        <v>0.70967135245226309</v>
      </c>
      <c r="M87" s="160">
        <f t="shared" si="12"/>
        <v>285.67820292965854</v>
      </c>
      <c r="N87" s="160">
        <f t="shared" si="13"/>
        <v>571.35640585931708</v>
      </c>
      <c r="O87" s="160">
        <f>+C84+D85+D86+(D87/2)</f>
        <v>0</v>
      </c>
      <c r="P87" s="160">
        <f t="shared" si="14"/>
        <v>0</v>
      </c>
      <c r="Q87" s="160">
        <f t="shared" si="15"/>
        <v>0</v>
      </c>
      <c r="R87" s="160">
        <f t="shared" si="16"/>
        <v>283.61189300470892</v>
      </c>
      <c r="S87" s="160">
        <f t="shared" si="28"/>
        <v>283.61189300470892</v>
      </c>
      <c r="T87" s="160">
        <f t="shared" si="3"/>
        <v>283.61189300470892</v>
      </c>
      <c r="U87" s="160"/>
      <c r="V87" s="160">
        <f t="shared" si="4"/>
        <v>0</v>
      </c>
      <c r="W87" s="160"/>
      <c r="X87" s="160"/>
      <c r="Y87" s="160"/>
      <c r="Z87" s="160"/>
      <c r="AA87" s="160"/>
      <c r="AB87" s="160"/>
      <c r="AC87" s="299" t="b">
        <f>IF(AD87=4,AF87)</f>
        <v>0</v>
      </c>
      <c r="AD87" s="299">
        <f t="shared" si="5"/>
        <v>1</v>
      </c>
      <c r="AE87" s="299">
        <f>IF(V87=0,0,4)</f>
        <v>0</v>
      </c>
      <c r="AF87" s="300">
        <f>SUM(V87:V95)/($B$81-B86)</f>
        <v>0</v>
      </c>
      <c r="AG87" s="306">
        <f>SUM(D85:D87)+$C$84</f>
        <v>0</v>
      </c>
      <c r="AH87" s="302" t="b">
        <f t="shared" si="6"/>
        <v>0</v>
      </c>
      <c r="AI87" s="449">
        <f t="shared" si="17"/>
        <v>54.5017821</v>
      </c>
      <c r="AJ87" s="450">
        <f t="shared" si="29"/>
        <v>0.81413357986421619</v>
      </c>
      <c r="AK87" s="449">
        <f t="shared" si="18"/>
        <v>343.49924001631013</v>
      </c>
      <c r="AL87" s="449">
        <f t="shared" si="19"/>
        <v>58.734415599999998</v>
      </c>
      <c r="AM87" s="450">
        <f t="shared" si="20"/>
        <v>0.85477073319485097</v>
      </c>
      <c r="AN87" s="449">
        <f t="shared" si="21"/>
        <v>403.50307231196138</v>
      </c>
      <c r="AO87" s="441">
        <f t="shared" si="7"/>
        <v>-109.36211754350992</v>
      </c>
      <c r="AP87" s="443">
        <f t="shared" si="30"/>
        <v>-95</v>
      </c>
      <c r="AQ87" s="442">
        <f t="shared" si="31"/>
        <v>-67</v>
      </c>
      <c r="AR87" s="445">
        <f t="shared" si="22"/>
        <v>747.0023123282715</v>
      </c>
      <c r="AS87" s="331">
        <f>+V87-AN87</f>
        <v>-403.50307231196138</v>
      </c>
      <c r="AT87" s="331">
        <f t="shared" si="23"/>
        <v>294.14095476845148</v>
      </c>
      <c r="AU87" s="331">
        <f t="shared" ref="AU87:AU95" si="32">+AF87-AS87</f>
        <v>403.50307231196138</v>
      </c>
      <c r="AV87" s="331">
        <f t="shared" si="24"/>
        <v>-40.617961224160474</v>
      </c>
      <c r="AW87" s="331">
        <f t="shared" si="25"/>
        <v>-26.382038775839529</v>
      </c>
      <c r="AX87" s="304">
        <f t="shared" si="8"/>
        <v>-285.5879431265019</v>
      </c>
      <c r="AY87" s="304">
        <f t="shared" si="9"/>
        <v>-439.69308432004851</v>
      </c>
      <c r="AZ87" s="307">
        <f t="shared" si="26"/>
        <v>285.5879431265019</v>
      </c>
      <c r="BA87" s="307">
        <f t="shared" si="26"/>
        <v>439.69308432004851</v>
      </c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</row>
    <row r="88" spans="2:80" ht="24.75" hidden="1" customHeight="1" thickBot="1" x14ac:dyDescent="0.3">
      <c r="B88" s="171">
        <v>5</v>
      </c>
      <c r="C88" s="172"/>
      <c r="D88" s="8">
        <v>0</v>
      </c>
      <c r="E88" s="159"/>
      <c r="F88" s="160"/>
      <c r="G88" s="160"/>
      <c r="H88" s="461">
        <v>402.55</v>
      </c>
      <c r="I88" s="461">
        <v>90.416363899999993</v>
      </c>
      <c r="J88" s="160">
        <f t="shared" si="27"/>
        <v>90.416363899999993</v>
      </c>
      <c r="K88" s="160">
        <f t="shared" si="10"/>
        <v>45.208181949999997</v>
      </c>
      <c r="L88" s="160">
        <f t="shared" si="11"/>
        <v>0.70967135245226309</v>
      </c>
      <c r="M88" s="160">
        <f t="shared" si="12"/>
        <v>285.67820292965854</v>
      </c>
      <c r="N88" s="160">
        <f t="shared" si="13"/>
        <v>571.35640585931708</v>
      </c>
      <c r="O88" s="160">
        <f>+C84+D85+D86+D87+(D88/2)</f>
        <v>0</v>
      </c>
      <c r="P88" s="160">
        <f t="shared" si="14"/>
        <v>0</v>
      </c>
      <c r="Q88" s="160">
        <f t="shared" si="15"/>
        <v>0</v>
      </c>
      <c r="R88" s="160">
        <f t="shared" si="16"/>
        <v>283.61189300470892</v>
      </c>
      <c r="S88" s="160">
        <f t="shared" si="28"/>
        <v>283.61189300470892</v>
      </c>
      <c r="T88" s="160">
        <f t="shared" si="3"/>
        <v>283.61189300470892</v>
      </c>
      <c r="U88" s="160"/>
      <c r="V88" s="160">
        <f t="shared" si="4"/>
        <v>0</v>
      </c>
      <c r="W88" s="160"/>
      <c r="X88" s="160"/>
      <c r="Y88" s="160"/>
      <c r="Z88" s="160"/>
      <c r="AA88" s="160"/>
      <c r="AB88" s="160"/>
      <c r="AC88" s="299" t="b">
        <f>IF(AD88=5,AF88)</f>
        <v>0</v>
      </c>
      <c r="AD88" s="299">
        <f t="shared" si="5"/>
        <v>1</v>
      </c>
      <c r="AE88" s="299">
        <f>IF(V88=0,0,5)</f>
        <v>0</v>
      </c>
      <c r="AF88" s="300">
        <f>SUM(V88:V95)/($B$81-B87)</f>
        <v>0</v>
      </c>
      <c r="AG88" s="306">
        <f>SUM(D85:D88)+$C$84</f>
        <v>0</v>
      </c>
      <c r="AH88" s="302" t="b">
        <f t="shared" si="6"/>
        <v>0</v>
      </c>
      <c r="AI88" s="449">
        <f t="shared" si="17"/>
        <v>54.5017821</v>
      </c>
      <c r="AJ88" s="450">
        <f t="shared" si="29"/>
        <v>0.81413357986421619</v>
      </c>
      <c r="AK88" s="449">
        <f t="shared" si="18"/>
        <v>343.49924001631013</v>
      </c>
      <c r="AL88" s="449">
        <f t="shared" si="19"/>
        <v>58.734415599999998</v>
      </c>
      <c r="AM88" s="450">
        <f t="shared" si="20"/>
        <v>0.85477073319485097</v>
      </c>
      <c r="AN88" s="449">
        <f t="shared" si="21"/>
        <v>403.50307231196138</v>
      </c>
      <c r="AO88" s="441">
        <f t="shared" si="7"/>
        <v>-63.993553497075681</v>
      </c>
      <c r="AP88" s="443">
        <f t="shared" si="30"/>
        <v>-142.5</v>
      </c>
      <c r="AQ88" s="442">
        <f t="shared" si="31"/>
        <v>-114.5</v>
      </c>
      <c r="AR88" s="445">
        <f t="shared" si="22"/>
        <v>747.0023123282715</v>
      </c>
      <c r="AS88" s="331">
        <f t="shared" ref="AS88:AS95" si="33">+V88-AN88</f>
        <v>-403.50307231196138</v>
      </c>
      <c r="AT88" s="331">
        <f t="shared" si="23"/>
        <v>339.50951881488572</v>
      </c>
      <c r="AU88" s="331">
        <f t="shared" si="32"/>
        <v>403.50307231196138</v>
      </c>
      <c r="AV88" s="331">
        <f t="shared" si="24"/>
        <v>-62.460214764072603</v>
      </c>
      <c r="AW88" s="331">
        <f t="shared" si="25"/>
        <v>-52.039785235927404</v>
      </c>
      <c r="AX88" s="304">
        <f t="shared" si="8"/>
        <v>-185.71822149212929</v>
      </c>
      <c r="AY88" s="304">
        <f t="shared" si="9"/>
        <v>-222.90637725367768</v>
      </c>
      <c r="AZ88" s="307">
        <f t="shared" si="26"/>
        <v>185.71822149212929</v>
      </c>
      <c r="BA88" s="307">
        <f t="shared" si="26"/>
        <v>222.90637725367768</v>
      </c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</row>
    <row r="89" spans="2:80" ht="24.75" hidden="1" customHeight="1" thickBot="1" x14ac:dyDescent="0.3">
      <c r="B89" s="171">
        <v>6</v>
      </c>
      <c r="C89" s="172"/>
      <c r="D89" s="8">
        <v>0</v>
      </c>
      <c r="E89" s="159"/>
      <c r="F89" s="160"/>
      <c r="G89" s="160"/>
      <c r="H89" s="461">
        <v>402.55</v>
      </c>
      <c r="I89" s="461">
        <v>90.416363899999993</v>
      </c>
      <c r="J89" s="160">
        <f t="shared" si="27"/>
        <v>90.416363899999993</v>
      </c>
      <c r="K89" s="160">
        <f t="shared" si="10"/>
        <v>45.208181949999997</v>
      </c>
      <c r="L89" s="160">
        <f t="shared" si="11"/>
        <v>0.70967135245226309</v>
      </c>
      <c r="M89" s="160">
        <f t="shared" si="12"/>
        <v>285.67820292965854</v>
      </c>
      <c r="N89" s="160">
        <f t="shared" si="13"/>
        <v>571.35640585931708</v>
      </c>
      <c r="O89" s="160">
        <f>+C84+D85+D86+D87+D88+(D89/2)</f>
        <v>0</v>
      </c>
      <c r="P89" s="160">
        <f t="shared" si="14"/>
        <v>0</v>
      </c>
      <c r="Q89" s="160">
        <f t="shared" si="15"/>
        <v>0</v>
      </c>
      <c r="R89" s="160">
        <f t="shared" si="16"/>
        <v>283.61189300470892</v>
      </c>
      <c r="S89" s="160">
        <f t="shared" si="28"/>
        <v>283.61189300470892</v>
      </c>
      <c r="T89" s="160">
        <f t="shared" si="3"/>
        <v>283.61189300470892</v>
      </c>
      <c r="U89" s="160"/>
      <c r="V89" s="160">
        <f t="shared" si="4"/>
        <v>0</v>
      </c>
      <c r="W89" s="160"/>
      <c r="X89" s="160"/>
      <c r="Y89" s="160"/>
      <c r="Z89" s="160"/>
      <c r="AA89" s="160"/>
      <c r="AB89" s="160"/>
      <c r="AC89" s="299" t="b">
        <f>IF(AD89=6,AF89)</f>
        <v>0</v>
      </c>
      <c r="AD89" s="299">
        <f t="shared" si="5"/>
        <v>1</v>
      </c>
      <c r="AE89" s="299">
        <f>IF(V89=0,0,6)</f>
        <v>0</v>
      </c>
      <c r="AF89" s="300">
        <f>SUM(V89:V95)/($B$81-B88)</f>
        <v>0</v>
      </c>
      <c r="AG89" s="306">
        <f>SUM(D85:D89)+$C$84</f>
        <v>0</v>
      </c>
      <c r="AH89" s="302" t="b">
        <f t="shared" si="6"/>
        <v>0</v>
      </c>
      <c r="AI89" s="449">
        <f t="shared" si="17"/>
        <v>54.5017821</v>
      </c>
      <c r="AJ89" s="450">
        <f t="shared" si="29"/>
        <v>0.81413357986421619</v>
      </c>
      <c r="AK89" s="449">
        <f t="shared" si="18"/>
        <v>343.49924001631013</v>
      </c>
      <c r="AL89" s="449">
        <f t="shared" si="19"/>
        <v>58.734415599999998</v>
      </c>
      <c r="AM89" s="450">
        <f t="shared" si="20"/>
        <v>0.85477073319485097</v>
      </c>
      <c r="AN89" s="449">
        <f t="shared" si="21"/>
        <v>403.50307231196138</v>
      </c>
      <c r="AO89" s="441">
        <f t="shared" si="7"/>
        <v>-45.230011576636826</v>
      </c>
      <c r="AP89" s="443">
        <f t="shared" si="30"/>
        <v>-190</v>
      </c>
      <c r="AQ89" s="442">
        <f t="shared" si="31"/>
        <v>-162</v>
      </c>
      <c r="AR89" s="445">
        <f t="shared" si="22"/>
        <v>747.0023123282715</v>
      </c>
      <c r="AS89" s="331">
        <f t="shared" si="33"/>
        <v>-403.50307231196138</v>
      </c>
      <c r="AT89" s="331">
        <f t="shared" si="23"/>
        <v>358.27306073532452</v>
      </c>
      <c r="AU89" s="331">
        <f t="shared" si="32"/>
        <v>403.50307231196138</v>
      </c>
      <c r="AV89" s="331">
        <f t="shared" si="24"/>
        <v>-84.302468303984739</v>
      </c>
      <c r="AW89" s="331">
        <f t="shared" si="25"/>
        <v>-77.697531696015261</v>
      </c>
      <c r="AX89" s="304">
        <f t="shared" si="8"/>
        <v>-137.5997670456311</v>
      </c>
      <c r="AY89" s="304">
        <f t="shared" si="9"/>
        <v>-149.29689202205259</v>
      </c>
      <c r="AZ89" s="307">
        <f t="shared" si="26"/>
        <v>137.5997670456311</v>
      </c>
      <c r="BA89" s="307">
        <f t="shared" si="26"/>
        <v>149.29689202205259</v>
      </c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</row>
    <row r="90" spans="2:80" ht="24.75" hidden="1" customHeight="1" thickBot="1" x14ac:dyDescent="0.3">
      <c r="B90" s="171">
        <v>7</v>
      </c>
      <c r="C90" s="172"/>
      <c r="D90" s="8">
        <v>0</v>
      </c>
      <c r="E90" s="159"/>
      <c r="F90" s="160"/>
      <c r="G90" s="160"/>
      <c r="H90" s="461">
        <v>402.55</v>
      </c>
      <c r="I90" s="461">
        <v>90.416363899999993</v>
      </c>
      <c r="J90" s="160">
        <f t="shared" si="27"/>
        <v>90.416363899999993</v>
      </c>
      <c r="K90" s="160">
        <f t="shared" si="10"/>
        <v>45.208181949999997</v>
      </c>
      <c r="L90" s="160">
        <f t="shared" si="11"/>
        <v>0.70967135245226309</v>
      </c>
      <c r="M90" s="160">
        <f t="shared" si="12"/>
        <v>285.67820292965854</v>
      </c>
      <c r="N90" s="160">
        <f t="shared" si="13"/>
        <v>571.35640585931708</v>
      </c>
      <c r="O90" s="160">
        <f>+C84+D85+D86+D87+D88+D89+(D90/2)</f>
        <v>0</v>
      </c>
      <c r="P90" s="160">
        <f t="shared" si="14"/>
        <v>0</v>
      </c>
      <c r="Q90" s="160">
        <f t="shared" si="15"/>
        <v>0</v>
      </c>
      <c r="R90" s="160">
        <f t="shared" si="16"/>
        <v>283.61189300470892</v>
      </c>
      <c r="S90" s="160">
        <f t="shared" si="28"/>
        <v>283.61189300470892</v>
      </c>
      <c r="T90" s="160">
        <f t="shared" si="3"/>
        <v>283.61189300470892</v>
      </c>
      <c r="U90" s="160"/>
      <c r="V90" s="160">
        <f t="shared" si="4"/>
        <v>0</v>
      </c>
      <c r="W90" s="160"/>
      <c r="X90" s="160"/>
      <c r="Y90" s="160"/>
      <c r="Z90" s="160"/>
      <c r="AA90" s="160"/>
      <c r="AB90" s="160"/>
      <c r="AC90" s="299" t="b">
        <f>IF(AD90=7,AF90)</f>
        <v>0</v>
      </c>
      <c r="AD90" s="299">
        <f t="shared" si="5"/>
        <v>1</v>
      </c>
      <c r="AE90" s="299">
        <f>IF(V90=0,0,7)</f>
        <v>0</v>
      </c>
      <c r="AF90" s="300">
        <f>SUM(V90:V95)/($B$81-B89)</f>
        <v>0</v>
      </c>
      <c r="AG90" s="306">
        <f>SUM(D85:D90)+$C$84</f>
        <v>0</v>
      </c>
      <c r="AH90" s="302" t="b">
        <f t="shared" si="6"/>
        <v>0</v>
      </c>
      <c r="AI90" s="449">
        <f t="shared" si="17"/>
        <v>54.5017821</v>
      </c>
      <c r="AJ90" s="450">
        <f t="shared" si="29"/>
        <v>0.81413357986421619</v>
      </c>
      <c r="AK90" s="449">
        <f t="shared" si="18"/>
        <v>343.49924001631013</v>
      </c>
      <c r="AL90" s="449">
        <f t="shared" si="19"/>
        <v>58.734415599999998</v>
      </c>
      <c r="AM90" s="450">
        <f t="shared" si="20"/>
        <v>0.85477073319485097</v>
      </c>
      <c r="AN90" s="449">
        <f t="shared" si="21"/>
        <v>403.50307231196138</v>
      </c>
      <c r="AO90" s="441">
        <f t="shared" si="7"/>
        <v>-34.974997018688143</v>
      </c>
      <c r="AP90" s="443">
        <f t="shared" si="30"/>
        <v>-237.5</v>
      </c>
      <c r="AQ90" s="442">
        <f t="shared" si="31"/>
        <v>-209.5</v>
      </c>
      <c r="AR90" s="445">
        <f t="shared" si="22"/>
        <v>747.0023123282715</v>
      </c>
      <c r="AS90" s="331">
        <f t="shared" si="33"/>
        <v>-403.50307231196138</v>
      </c>
      <c r="AT90" s="331">
        <f t="shared" si="23"/>
        <v>368.52807529327322</v>
      </c>
      <c r="AU90" s="331">
        <f t="shared" si="32"/>
        <v>403.50307231196138</v>
      </c>
      <c r="AV90" s="331">
        <f t="shared" si="24"/>
        <v>-106.14472184389686</v>
      </c>
      <c r="AW90" s="331">
        <f t="shared" si="25"/>
        <v>-103.35527815610315</v>
      </c>
      <c r="AX90" s="304">
        <f t="shared" si="8"/>
        <v>-109.28475574187941</v>
      </c>
      <c r="AY90" s="304">
        <f t="shared" si="9"/>
        <v>-112.23422941671042</v>
      </c>
      <c r="AZ90" s="307">
        <f t="shared" si="26"/>
        <v>109.28475574187941</v>
      </c>
      <c r="BA90" s="307">
        <f t="shared" si="26"/>
        <v>112.23422941671042</v>
      </c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</row>
    <row r="91" spans="2:80" ht="24.75" hidden="1" customHeight="1" thickBot="1" x14ac:dyDescent="0.3">
      <c r="B91" s="171">
        <v>8</v>
      </c>
      <c r="C91" s="172"/>
      <c r="D91" s="8">
        <v>0</v>
      </c>
      <c r="E91" s="159"/>
      <c r="F91" s="160"/>
      <c r="G91" s="160"/>
      <c r="H91" s="461">
        <v>402.55</v>
      </c>
      <c r="I91" s="461">
        <v>90.416363899999993</v>
      </c>
      <c r="J91" s="160">
        <f t="shared" si="27"/>
        <v>90.416363899999993</v>
      </c>
      <c r="K91" s="160">
        <f t="shared" si="10"/>
        <v>45.208181949999997</v>
      </c>
      <c r="L91" s="160">
        <f t="shared" si="11"/>
        <v>0.70967135245226309</v>
      </c>
      <c r="M91" s="160">
        <f t="shared" si="12"/>
        <v>285.67820292965854</v>
      </c>
      <c r="N91" s="160">
        <f t="shared" si="13"/>
        <v>571.35640585931708</v>
      </c>
      <c r="O91" s="160">
        <f>+C84+D85+D86+D87+D88+D89+D90+(D91/2)</f>
        <v>0</v>
      </c>
      <c r="P91" s="160">
        <f t="shared" si="14"/>
        <v>0</v>
      </c>
      <c r="Q91" s="160">
        <f t="shared" si="15"/>
        <v>0</v>
      </c>
      <c r="R91" s="160">
        <f t="shared" si="16"/>
        <v>283.61189300470892</v>
      </c>
      <c r="S91" s="160">
        <f t="shared" si="28"/>
        <v>283.61189300470892</v>
      </c>
      <c r="T91" s="160">
        <f t="shared" si="3"/>
        <v>283.61189300470892</v>
      </c>
      <c r="U91" s="160"/>
      <c r="V91" s="160">
        <f t="shared" si="4"/>
        <v>0</v>
      </c>
      <c r="W91" s="160"/>
      <c r="X91" s="160"/>
      <c r="Y91" s="160"/>
      <c r="Z91" s="160"/>
      <c r="AA91" s="160"/>
      <c r="AB91" s="160"/>
      <c r="AC91" s="299" t="b">
        <f>IF(AD91=8,AF91)</f>
        <v>0</v>
      </c>
      <c r="AD91" s="299">
        <f t="shared" si="5"/>
        <v>1</v>
      </c>
      <c r="AE91" s="299">
        <f>IF(V91=0,0,8)</f>
        <v>0</v>
      </c>
      <c r="AF91" s="300">
        <f>SUM(V91:V95)/($B$81-B90)</f>
        <v>0</v>
      </c>
      <c r="AG91" s="306">
        <f>SUM(D85:D91)+$C$84</f>
        <v>0</v>
      </c>
      <c r="AH91" s="302" t="b">
        <f t="shared" si="6"/>
        <v>0</v>
      </c>
      <c r="AI91" s="449">
        <f t="shared" si="17"/>
        <v>54.5017821</v>
      </c>
      <c r="AJ91" s="450">
        <f t="shared" si="29"/>
        <v>0.81413357986421619</v>
      </c>
      <c r="AK91" s="449">
        <f t="shared" si="18"/>
        <v>343.49924001631013</v>
      </c>
      <c r="AL91" s="449">
        <f t="shared" si="19"/>
        <v>58.734415599999998</v>
      </c>
      <c r="AM91" s="450">
        <f t="shared" si="20"/>
        <v>0.85477073319485097</v>
      </c>
      <c r="AN91" s="449">
        <f t="shared" si="21"/>
        <v>403.50307231196138</v>
      </c>
      <c r="AO91" s="441">
        <f t="shared" si="7"/>
        <v>-28.51074659694617</v>
      </c>
      <c r="AP91" s="443">
        <f t="shared" si="30"/>
        <v>-285</v>
      </c>
      <c r="AQ91" s="442">
        <f t="shared" si="31"/>
        <v>-257</v>
      </c>
      <c r="AR91" s="445">
        <f t="shared" si="22"/>
        <v>747.0023123282715</v>
      </c>
      <c r="AS91" s="331">
        <f t="shared" si="33"/>
        <v>-403.50307231196138</v>
      </c>
      <c r="AT91" s="331">
        <f t="shared" si="23"/>
        <v>374.99232571501523</v>
      </c>
      <c r="AU91" s="331">
        <f t="shared" si="32"/>
        <v>403.50307231196138</v>
      </c>
      <c r="AV91" s="331">
        <f t="shared" si="24"/>
        <v>-127.98697538380897</v>
      </c>
      <c r="AW91" s="331">
        <f t="shared" si="25"/>
        <v>-129.01302461619102</v>
      </c>
      <c r="AX91" s="304">
        <f t="shared" si="8"/>
        <v>-90.634222468448627</v>
      </c>
      <c r="AY91" s="304">
        <f t="shared" si="9"/>
        <v>-89.913402422038942</v>
      </c>
      <c r="AZ91" s="307">
        <f t="shared" si="26"/>
        <v>90.634222468448627</v>
      </c>
      <c r="BA91" s="307">
        <f t="shared" si="26"/>
        <v>89.913402422038942</v>
      </c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</row>
    <row r="92" spans="2:80" ht="24.75" hidden="1" customHeight="1" thickBot="1" x14ac:dyDescent="0.3">
      <c r="B92" s="171">
        <v>9</v>
      </c>
      <c r="C92" s="172"/>
      <c r="D92" s="8">
        <v>0</v>
      </c>
      <c r="E92" s="159"/>
      <c r="F92" s="160"/>
      <c r="G92" s="160"/>
      <c r="H92" s="461">
        <v>402.55</v>
      </c>
      <c r="I92" s="461">
        <v>90.416363899999993</v>
      </c>
      <c r="J92" s="160">
        <f t="shared" si="27"/>
        <v>90.416363899999993</v>
      </c>
      <c r="K92" s="160">
        <f t="shared" si="10"/>
        <v>45.208181949999997</v>
      </c>
      <c r="L92" s="160">
        <f t="shared" si="11"/>
        <v>0.70967135245226309</v>
      </c>
      <c r="M92" s="160">
        <f t="shared" si="12"/>
        <v>285.67820292965854</v>
      </c>
      <c r="N92" s="160">
        <f t="shared" si="13"/>
        <v>571.35640585931708</v>
      </c>
      <c r="O92" s="160">
        <f>+C84+D85+D86+D87+D88+D89+D90+D91+(D92/2)</f>
        <v>0</v>
      </c>
      <c r="P92" s="160">
        <f t="shared" si="14"/>
        <v>0</v>
      </c>
      <c r="Q92" s="160">
        <f t="shared" si="15"/>
        <v>0</v>
      </c>
      <c r="R92" s="160">
        <f t="shared" si="16"/>
        <v>283.61189300470892</v>
      </c>
      <c r="S92" s="160">
        <f t="shared" si="28"/>
        <v>283.61189300470892</v>
      </c>
      <c r="T92" s="160">
        <f t="shared" si="3"/>
        <v>283.61189300470892</v>
      </c>
      <c r="U92" s="160"/>
      <c r="V92" s="160">
        <f t="shared" si="4"/>
        <v>0</v>
      </c>
      <c r="W92" s="160"/>
      <c r="X92" s="160"/>
      <c r="Y92" s="160"/>
      <c r="Z92" s="160"/>
      <c r="AA92" s="160"/>
      <c r="AB92" s="160"/>
      <c r="AC92" s="299" t="b">
        <f>IF(AD92=9,AF92)</f>
        <v>0</v>
      </c>
      <c r="AD92" s="299">
        <f t="shared" si="5"/>
        <v>1</v>
      </c>
      <c r="AE92" s="299">
        <f>IF(V92=0,0,9)</f>
        <v>0</v>
      </c>
      <c r="AF92" s="300">
        <f>SUM(V92:V95)/($B$81-B91)</f>
        <v>0</v>
      </c>
      <c r="AG92" s="306">
        <f>SUM(D85:D92)+$C$84</f>
        <v>0</v>
      </c>
      <c r="AH92" s="302" t="b">
        <f t="shared" si="6"/>
        <v>0</v>
      </c>
      <c r="AI92" s="449">
        <f t="shared" si="17"/>
        <v>54.5017821</v>
      </c>
      <c r="AJ92" s="450">
        <f t="shared" si="29"/>
        <v>0.81413357986421619</v>
      </c>
      <c r="AK92" s="449">
        <f t="shared" si="18"/>
        <v>343.49924001631013</v>
      </c>
      <c r="AL92" s="449">
        <f t="shared" si="19"/>
        <v>58.734415599999998</v>
      </c>
      <c r="AM92" s="450">
        <f t="shared" si="20"/>
        <v>0.85477073319485097</v>
      </c>
      <c r="AN92" s="449">
        <f t="shared" si="21"/>
        <v>403.50307231196138</v>
      </c>
      <c r="AO92" s="441">
        <f t="shared" si="7"/>
        <v>-24.063257390525994</v>
      </c>
      <c r="AP92" s="443">
        <f t="shared" si="30"/>
        <v>-332.5</v>
      </c>
      <c r="AQ92" s="442">
        <f t="shared" si="31"/>
        <v>-304.5</v>
      </c>
      <c r="AR92" s="445">
        <f t="shared" si="22"/>
        <v>747.0023123282715</v>
      </c>
      <c r="AS92" s="331">
        <f t="shared" si="33"/>
        <v>-403.50307231196138</v>
      </c>
      <c r="AT92" s="331">
        <f t="shared" si="23"/>
        <v>379.43981492143536</v>
      </c>
      <c r="AU92" s="331">
        <f t="shared" si="32"/>
        <v>403.50307231196138</v>
      </c>
      <c r="AV92" s="331">
        <f t="shared" si="24"/>
        <v>-149.8292289237211</v>
      </c>
      <c r="AW92" s="331">
        <f t="shared" si="25"/>
        <v>-154.67077107627887</v>
      </c>
      <c r="AX92" s="304">
        <f t="shared" si="8"/>
        <v>-77.421475658168305</v>
      </c>
      <c r="AY92" s="304">
        <f t="shared" si="9"/>
        <v>-74.998009767981543</v>
      </c>
      <c r="AZ92" s="307">
        <f t="shared" si="26"/>
        <v>77.421475658168305</v>
      </c>
      <c r="BA92" s="307">
        <f t="shared" si="26"/>
        <v>74.998009767981543</v>
      </c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</row>
    <row r="93" spans="2:80" ht="24.75" hidden="1" customHeight="1" thickBot="1" x14ac:dyDescent="0.3">
      <c r="B93" s="171">
        <v>10</v>
      </c>
      <c r="C93" s="172"/>
      <c r="D93" s="8">
        <v>0</v>
      </c>
      <c r="E93" s="159"/>
      <c r="F93" s="160"/>
      <c r="G93" s="160"/>
      <c r="H93" s="461">
        <v>402.55</v>
      </c>
      <c r="I93" s="461">
        <v>90.416363899999993</v>
      </c>
      <c r="J93" s="160">
        <f t="shared" si="27"/>
        <v>90.416363899999993</v>
      </c>
      <c r="K93" s="160">
        <f t="shared" si="10"/>
        <v>45.208181949999997</v>
      </c>
      <c r="L93" s="160">
        <f t="shared" si="11"/>
        <v>0.70967135245226309</v>
      </c>
      <c r="M93" s="160">
        <f t="shared" si="12"/>
        <v>285.67820292965854</v>
      </c>
      <c r="N93" s="160">
        <f t="shared" si="13"/>
        <v>571.35640585931708</v>
      </c>
      <c r="O93" s="160">
        <f>+C84+D85+D86+D87+D88+D89+D90+D91+D92+(D93/2)</f>
        <v>0</v>
      </c>
      <c r="P93" s="160">
        <f t="shared" si="14"/>
        <v>0</v>
      </c>
      <c r="Q93" s="160">
        <f t="shared" si="15"/>
        <v>0</v>
      </c>
      <c r="R93" s="160">
        <f t="shared" si="16"/>
        <v>283.61189300470892</v>
      </c>
      <c r="S93" s="160">
        <f t="shared" si="28"/>
        <v>283.61189300470892</v>
      </c>
      <c r="T93" s="160">
        <f t="shared" si="3"/>
        <v>283.61189300470892</v>
      </c>
      <c r="U93" s="160"/>
      <c r="V93" s="160">
        <f t="shared" si="4"/>
        <v>0</v>
      </c>
      <c r="W93" s="160"/>
      <c r="X93" s="160"/>
      <c r="Y93" s="160"/>
      <c r="Z93" s="160"/>
      <c r="AA93" s="160"/>
      <c r="AB93" s="160"/>
      <c r="AC93" s="299" t="b">
        <f>IF(AD93=10,AF93)</f>
        <v>0</v>
      </c>
      <c r="AD93" s="299">
        <f t="shared" si="5"/>
        <v>1</v>
      </c>
      <c r="AE93" s="299">
        <f>IF(V93=0,0,10)</f>
        <v>0</v>
      </c>
      <c r="AF93" s="300">
        <f>SUM(V93:V95)/($B$81-B92)</f>
        <v>0</v>
      </c>
      <c r="AG93" s="306">
        <f>SUM(D85:D93)+$C$84</f>
        <v>0</v>
      </c>
      <c r="AH93" s="302" t="b">
        <f t="shared" si="6"/>
        <v>0</v>
      </c>
      <c r="AI93" s="449">
        <f t="shared" si="17"/>
        <v>54.5017821</v>
      </c>
      <c r="AJ93" s="450">
        <f t="shared" si="29"/>
        <v>0.81413357986421619</v>
      </c>
      <c r="AK93" s="449">
        <f t="shared" si="18"/>
        <v>343.49924001631013</v>
      </c>
      <c r="AL93" s="449">
        <f t="shared" si="19"/>
        <v>58.734415599999998</v>
      </c>
      <c r="AM93" s="450">
        <f t="shared" si="20"/>
        <v>0.85477073319485097</v>
      </c>
      <c r="AN93" s="449">
        <f t="shared" si="21"/>
        <v>403.50307231196138</v>
      </c>
      <c r="AO93" s="441">
        <f t="shared" si="7"/>
        <v>-20.816084873338539</v>
      </c>
      <c r="AP93" s="443">
        <f t="shared" si="30"/>
        <v>-380</v>
      </c>
      <c r="AQ93" s="442">
        <f t="shared" si="31"/>
        <v>-352</v>
      </c>
      <c r="AR93" s="445">
        <f t="shared" si="22"/>
        <v>747.0023123282715</v>
      </c>
      <c r="AS93" s="331">
        <f t="shared" si="33"/>
        <v>-403.50307231196138</v>
      </c>
      <c r="AT93" s="331">
        <f t="shared" si="23"/>
        <v>382.68698743862285</v>
      </c>
      <c r="AU93" s="331">
        <f t="shared" si="32"/>
        <v>403.50307231196138</v>
      </c>
      <c r="AV93" s="331">
        <f t="shared" si="24"/>
        <v>-171.67148246363323</v>
      </c>
      <c r="AW93" s="331">
        <f t="shared" si="25"/>
        <v>-180.3285175363668</v>
      </c>
      <c r="AX93" s="304">
        <f t="shared" si="8"/>
        <v>-67.570919954380514</v>
      </c>
      <c r="AY93" s="304">
        <f t="shared" si="9"/>
        <v>-64.32704132700826</v>
      </c>
      <c r="AZ93" s="307">
        <f t="shared" si="26"/>
        <v>67.570919954380514</v>
      </c>
      <c r="BA93" s="307">
        <f t="shared" si="26"/>
        <v>64.32704132700826</v>
      </c>
      <c r="BC93" s="107"/>
      <c r="BD93" s="107"/>
      <c r="BE93" s="107"/>
      <c r="BF93" s="107"/>
      <c r="BG93" s="107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</row>
    <row r="94" spans="2:80" ht="24.75" hidden="1" customHeight="1" thickBot="1" x14ac:dyDescent="0.3">
      <c r="B94" s="171">
        <v>11</v>
      </c>
      <c r="C94" s="172"/>
      <c r="D94" s="8">
        <v>0</v>
      </c>
      <c r="E94" s="159"/>
      <c r="F94" s="160"/>
      <c r="G94" s="160"/>
      <c r="H94" s="461">
        <v>402.55</v>
      </c>
      <c r="I94" s="461">
        <v>90.416363899999993</v>
      </c>
      <c r="J94" s="160">
        <f t="shared" si="27"/>
        <v>90.416363899999993</v>
      </c>
      <c r="K94" s="160">
        <f t="shared" si="10"/>
        <v>45.208181949999997</v>
      </c>
      <c r="L94" s="160">
        <f t="shared" si="11"/>
        <v>0.70967135245226309</v>
      </c>
      <c r="M94" s="160">
        <f t="shared" si="12"/>
        <v>285.67820292965854</v>
      </c>
      <c r="N94" s="160">
        <f t="shared" si="13"/>
        <v>571.35640585931708</v>
      </c>
      <c r="O94" s="160">
        <f>+C84+D85+D86+D87+D88+D89+D90+D91+D92+D93+(D94/2)</f>
        <v>0</v>
      </c>
      <c r="P94" s="160">
        <f t="shared" si="14"/>
        <v>0</v>
      </c>
      <c r="Q94" s="160">
        <f t="shared" si="15"/>
        <v>0</v>
      </c>
      <c r="R94" s="160">
        <f t="shared" si="16"/>
        <v>283.61189300470892</v>
      </c>
      <c r="S94" s="160">
        <f t="shared" si="28"/>
        <v>283.61189300470892</v>
      </c>
      <c r="T94" s="160">
        <f t="shared" si="3"/>
        <v>283.61189300470892</v>
      </c>
      <c r="U94" s="160"/>
      <c r="V94" s="160">
        <f t="shared" si="4"/>
        <v>0</v>
      </c>
      <c r="W94" s="160"/>
      <c r="X94" s="160"/>
      <c r="Y94" s="160"/>
      <c r="Z94" s="160"/>
      <c r="AA94" s="160"/>
      <c r="AB94" s="160"/>
      <c r="AC94" s="299" t="b">
        <f>IF(AD94=11,AF94)</f>
        <v>0</v>
      </c>
      <c r="AD94" s="299">
        <f t="shared" si="5"/>
        <v>1</v>
      </c>
      <c r="AE94" s="299">
        <f>IF(V94=0,0,11)</f>
        <v>0</v>
      </c>
      <c r="AF94" s="300">
        <f>SUM(V94:V95)/($B$81-B93)</f>
        <v>0</v>
      </c>
      <c r="AG94" s="306">
        <f>SUM(D85:D94)+$C$84</f>
        <v>0</v>
      </c>
      <c r="AH94" s="302" t="b">
        <f t="shared" si="6"/>
        <v>0</v>
      </c>
      <c r="AI94" s="449">
        <f t="shared" si="17"/>
        <v>54.5017821</v>
      </c>
      <c r="AJ94" s="450">
        <f t="shared" si="29"/>
        <v>0.81413357986421619</v>
      </c>
      <c r="AK94" s="449">
        <f t="shared" si="18"/>
        <v>343.49924001631013</v>
      </c>
      <c r="AL94" s="449">
        <f t="shared" si="19"/>
        <v>58.734415599999998</v>
      </c>
      <c r="AM94" s="450">
        <f t="shared" si="20"/>
        <v>0.85477073319485097</v>
      </c>
      <c r="AN94" s="449">
        <f t="shared" si="21"/>
        <v>403.50307231196138</v>
      </c>
      <c r="AO94" s="441">
        <f t="shared" si="7"/>
        <v>-18.341081039837711</v>
      </c>
      <c r="AP94" s="443">
        <f t="shared" si="30"/>
        <v>-427.5</v>
      </c>
      <c r="AQ94" s="442">
        <f t="shared" si="31"/>
        <v>-399.5</v>
      </c>
      <c r="AR94" s="445">
        <f t="shared" si="22"/>
        <v>747.0023123282715</v>
      </c>
      <c r="AS94" s="331">
        <f t="shared" si="33"/>
        <v>-403.50307231196138</v>
      </c>
      <c r="AT94" s="331">
        <f t="shared" si="23"/>
        <v>385.16199127212366</v>
      </c>
      <c r="AU94" s="331">
        <f t="shared" si="32"/>
        <v>403.50307231196138</v>
      </c>
      <c r="AV94" s="331">
        <f t="shared" si="24"/>
        <v>-193.51373600354535</v>
      </c>
      <c r="AW94" s="331">
        <f t="shared" si="25"/>
        <v>-205.98626399645462</v>
      </c>
      <c r="AX94" s="304">
        <f t="shared" si="8"/>
        <v>-59.944065158183278</v>
      </c>
      <c r="AY94" s="304">
        <f t="shared" si="9"/>
        <v>-56.314434637251615</v>
      </c>
      <c r="AZ94" s="307">
        <f t="shared" si="26"/>
        <v>59.944065158183278</v>
      </c>
      <c r="BA94" s="307">
        <f t="shared" si="26"/>
        <v>56.314434637251615</v>
      </c>
      <c r="BC94" s="107"/>
      <c r="BD94" s="107"/>
      <c r="BE94" s="107"/>
      <c r="BF94" s="107"/>
      <c r="BG94" s="107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</row>
    <row r="95" spans="2:80" ht="24.75" hidden="1" customHeight="1" thickBot="1" x14ac:dyDescent="0.3">
      <c r="B95" s="171">
        <v>12</v>
      </c>
      <c r="C95" s="172"/>
      <c r="D95" s="8">
        <v>0</v>
      </c>
      <c r="E95" s="159"/>
      <c r="F95" s="160"/>
      <c r="G95" s="160"/>
      <c r="H95" s="461">
        <v>402.55</v>
      </c>
      <c r="I95" s="461">
        <v>90.416363899999993</v>
      </c>
      <c r="J95" s="160">
        <f t="shared" si="27"/>
        <v>90.416363899999993</v>
      </c>
      <c r="K95" s="160">
        <f t="shared" si="10"/>
        <v>45.208181949999997</v>
      </c>
      <c r="L95" s="160">
        <f t="shared" si="11"/>
        <v>0.70967135245226309</v>
      </c>
      <c r="M95" s="160">
        <f t="shared" si="12"/>
        <v>285.67820292965854</v>
      </c>
      <c r="N95" s="160">
        <f t="shared" si="13"/>
        <v>571.35640585931708</v>
      </c>
      <c r="O95" s="160">
        <f>+C84+D85+D86+D87+D88+D89+D90+D91+D92+D93+D94+(D95/2)</f>
        <v>0</v>
      </c>
      <c r="P95" s="160">
        <f t="shared" si="14"/>
        <v>0</v>
      </c>
      <c r="Q95" s="160">
        <f t="shared" si="15"/>
        <v>0</v>
      </c>
      <c r="R95" s="160">
        <f t="shared" si="16"/>
        <v>283.61189300470892</v>
      </c>
      <c r="S95" s="160">
        <f t="shared" si="28"/>
        <v>283.61189300470892</v>
      </c>
      <c r="T95" s="160">
        <f t="shared" si="3"/>
        <v>283.61189300470892</v>
      </c>
      <c r="U95" s="160"/>
      <c r="V95" s="160">
        <f t="shared" si="4"/>
        <v>0</v>
      </c>
      <c r="W95" s="160"/>
      <c r="X95" s="160"/>
      <c r="Y95" s="160"/>
      <c r="Z95" s="160"/>
      <c r="AA95" s="160"/>
      <c r="AB95" s="160"/>
      <c r="AC95" s="299" t="b">
        <f>IF(AD95=12,AF95)</f>
        <v>0</v>
      </c>
      <c r="AD95" s="299">
        <f t="shared" si="5"/>
        <v>1</v>
      </c>
      <c r="AE95" s="299">
        <f>IF(V95=0,0,12)</f>
        <v>0</v>
      </c>
      <c r="AF95" s="300">
        <f>SUM(V95)/($B$81-B94)</f>
        <v>0</v>
      </c>
      <c r="AG95" s="306">
        <f>SUM(D85:D95)+$C$84</f>
        <v>0</v>
      </c>
      <c r="AH95" s="302" t="b">
        <f t="shared" si="6"/>
        <v>0</v>
      </c>
      <c r="AI95" s="449">
        <f t="shared" si="17"/>
        <v>54.5017821</v>
      </c>
      <c r="AJ95" s="450">
        <f t="shared" si="29"/>
        <v>0.81413357986421619</v>
      </c>
      <c r="AK95" s="449">
        <f t="shared" si="18"/>
        <v>343.49924001631013</v>
      </c>
      <c r="AL95" s="449">
        <f t="shared" si="19"/>
        <v>58.734415599999998</v>
      </c>
      <c r="AM95" s="450">
        <f t="shared" si="20"/>
        <v>0.85477073319485097</v>
      </c>
      <c r="AN95" s="449">
        <f t="shared" si="21"/>
        <v>403.50307231196138</v>
      </c>
      <c r="AO95" s="441">
        <f t="shared" si="7"/>
        <v>-16.392084732472405</v>
      </c>
      <c r="AP95" s="443">
        <f t="shared" si="30"/>
        <v>-475</v>
      </c>
      <c r="AQ95" s="442">
        <f t="shared" si="31"/>
        <v>-447</v>
      </c>
      <c r="AR95" s="445">
        <f t="shared" si="22"/>
        <v>747.0023123282715</v>
      </c>
      <c r="AS95" s="331">
        <f t="shared" si="33"/>
        <v>-403.50307231196138</v>
      </c>
      <c r="AT95" s="331">
        <f t="shared" si="23"/>
        <v>387.11098757948895</v>
      </c>
      <c r="AU95" s="331">
        <f t="shared" si="32"/>
        <v>403.50307231196138</v>
      </c>
      <c r="AV95" s="331">
        <f t="shared" si="24"/>
        <v>-215.35598954345747</v>
      </c>
      <c r="AW95" s="331">
        <f t="shared" si="25"/>
        <v>-231.64401045654253</v>
      </c>
      <c r="AX95" s="304">
        <f t="shared" si="8"/>
        <v>-53.864301729389297</v>
      </c>
      <c r="AY95" s="304">
        <f t="shared" si="9"/>
        <v>-50.076839790235859</v>
      </c>
      <c r="AZ95" s="307">
        <f t="shared" si="26"/>
        <v>53.864301729389297</v>
      </c>
      <c r="BA95" s="307">
        <f t="shared" si="26"/>
        <v>50.076839790235859</v>
      </c>
      <c r="BC95" s="107"/>
      <c r="BD95" s="107"/>
      <c r="BE95" s="107"/>
      <c r="BF95" s="107"/>
      <c r="BG95" s="107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</row>
    <row r="96" spans="2:80" ht="18.75" hidden="1" thickBot="1" x14ac:dyDescent="0.3">
      <c r="B96" s="31"/>
      <c r="C96" s="31"/>
      <c r="D96" s="53"/>
      <c r="E96" s="53"/>
      <c r="F96" s="53"/>
      <c r="G96" s="53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1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308" t="s">
        <v>58</v>
      </c>
      <c r="AH96" s="309">
        <f>MAX(AH84:AH95)</f>
        <v>0</v>
      </c>
      <c r="AI96" s="270"/>
      <c r="AJ96" s="270"/>
      <c r="AK96" s="270"/>
      <c r="AL96" s="270"/>
      <c r="AM96" s="270"/>
      <c r="AN96" s="270"/>
      <c r="AO96" s="270"/>
      <c r="AP96" s="440"/>
      <c r="AQ96" s="270"/>
      <c r="AR96" s="270"/>
      <c r="AS96" s="270"/>
      <c r="AT96" s="270"/>
      <c r="AU96" s="270"/>
      <c r="AV96" s="270"/>
      <c r="AW96" s="270"/>
      <c r="AX96" s="270"/>
      <c r="AY96" s="270"/>
      <c r="AZ96" s="270"/>
      <c r="BA96" s="270"/>
      <c r="BC96" s="107"/>
      <c r="BD96" s="107"/>
      <c r="BE96" s="107"/>
      <c r="BF96" s="107"/>
      <c r="BG96" s="107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</row>
    <row r="97" spans="2:80" hidden="1" x14ac:dyDescent="0.25">
      <c r="B97" s="229"/>
      <c r="C97" s="31"/>
      <c r="D97" s="53"/>
      <c r="E97" s="53"/>
      <c r="F97" s="53"/>
      <c r="G97" s="53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1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70"/>
      <c r="AS97" s="270"/>
      <c r="AT97" s="270"/>
      <c r="AU97" s="270"/>
      <c r="AV97" s="270"/>
      <c r="AW97" s="270"/>
      <c r="AX97" s="270"/>
      <c r="AY97" s="270"/>
      <c r="AZ97" s="270"/>
      <c r="BA97" s="270"/>
      <c r="BC97" s="108"/>
      <c r="BD97" s="107"/>
      <c r="BE97" s="108"/>
      <c r="BF97" s="107"/>
      <c r="BG97" s="108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</row>
    <row r="98" spans="2:80" ht="20.25" hidden="1" customHeight="1" x14ac:dyDescent="0.25">
      <c r="B98" s="31"/>
      <c r="AB98" s="279"/>
      <c r="AC98" s="279"/>
      <c r="AD98" s="279"/>
      <c r="AE98" s="279"/>
      <c r="BC98" s="108"/>
      <c r="BD98" s="107"/>
      <c r="BE98" s="107"/>
      <c r="BF98" s="107"/>
      <c r="BG98" s="108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</row>
    <row r="99" spans="2:80" ht="21" hidden="1" customHeight="1" x14ac:dyDescent="0.25">
      <c r="B99" s="31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277"/>
      <c r="AW99" s="277"/>
      <c r="AX99" s="277"/>
      <c r="AY99" s="277"/>
      <c r="AZ99" s="277"/>
      <c r="BA99" s="277"/>
      <c r="BC99" s="108"/>
      <c r="BD99" s="198"/>
      <c r="BE99" s="198"/>
      <c r="BF99" s="198"/>
      <c r="BG99" s="198"/>
      <c r="BH99" s="198"/>
      <c r="BI99" s="198"/>
      <c r="BJ99" s="198"/>
      <c r="BK99" s="198"/>
      <c r="BL99" s="198"/>
      <c r="BM99" s="198"/>
      <c r="BN99" s="198"/>
      <c r="BO99" s="198"/>
      <c r="BP99" s="198"/>
      <c r="BQ99" s="198"/>
      <c r="BR99" s="198"/>
      <c r="BS99" s="198"/>
      <c r="BT99" s="198"/>
      <c r="BU99" s="198"/>
      <c r="BV99" s="198"/>
      <c r="BW99" s="198"/>
      <c r="BX99" s="198"/>
      <c r="BY99" s="198"/>
      <c r="BZ99" s="198"/>
      <c r="CA99" s="198"/>
      <c r="CB99" s="107"/>
    </row>
    <row r="100" spans="2:80" ht="34.5" customHeight="1" thickBot="1" x14ac:dyDescent="0.3">
      <c r="U100" s="269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7"/>
      <c r="AU100" s="277"/>
      <c r="AV100" s="277"/>
      <c r="AW100" s="277"/>
      <c r="AX100" s="277"/>
      <c r="AY100" s="277"/>
      <c r="AZ100" s="277"/>
      <c r="BA100" s="277"/>
      <c r="BC100" s="108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</row>
    <row r="101" spans="2:80" ht="73.5" customHeight="1" thickBot="1" x14ac:dyDescent="0.35">
      <c r="B101" s="225" t="s">
        <v>115</v>
      </c>
      <c r="C101" s="310"/>
      <c r="D101" s="311"/>
      <c r="E101" s="105"/>
      <c r="F101" s="105"/>
      <c r="G101" s="105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3" t="s">
        <v>81</v>
      </c>
      <c r="T101" s="313">
        <f>SUM(V105:V110)/B102</f>
        <v>261.68792412197018</v>
      </c>
      <c r="U101" s="314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277"/>
      <c r="AM101" s="277"/>
      <c r="AN101" s="277"/>
      <c r="AO101" s="277"/>
      <c r="AP101" s="277"/>
      <c r="AQ101" s="277"/>
      <c r="AR101" s="277"/>
      <c r="AS101" s="277"/>
      <c r="AT101" s="277"/>
      <c r="AU101" s="277"/>
      <c r="AV101" s="277"/>
      <c r="AW101" s="277"/>
      <c r="AX101" s="277"/>
      <c r="AY101" s="277"/>
      <c r="AZ101" s="277"/>
      <c r="BA101" s="277"/>
      <c r="BC101" s="199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0"/>
      <c r="BO101" s="200"/>
      <c r="BP101" s="200"/>
      <c r="BQ101" s="200"/>
      <c r="BR101" s="200"/>
      <c r="BS101" s="200"/>
      <c r="BT101" s="200"/>
      <c r="BU101" s="200"/>
      <c r="BV101" s="200"/>
      <c r="BW101" s="200"/>
      <c r="BX101" s="200"/>
      <c r="BY101" s="200"/>
      <c r="BZ101" s="200"/>
      <c r="CA101" s="200"/>
      <c r="CB101" s="107"/>
    </row>
    <row r="102" spans="2:80" ht="43.5" customHeight="1" thickBot="1" x14ac:dyDescent="0.45">
      <c r="B102" s="10">
        <v>1</v>
      </c>
      <c r="C102" s="123"/>
      <c r="D102" s="195"/>
      <c r="E102" s="217"/>
      <c r="F102" s="217"/>
      <c r="G102" s="217"/>
      <c r="H102" s="468"/>
      <c r="I102" s="469"/>
      <c r="J102" s="315"/>
      <c r="K102" s="315"/>
      <c r="L102" s="315"/>
      <c r="M102" s="315"/>
      <c r="N102" s="315"/>
      <c r="O102" s="315"/>
      <c r="P102" s="315"/>
      <c r="Q102" s="315"/>
      <c r="R102" s="315"/>
      <c r="S102" s="316"/>
      <c r="T102" s="317"/>
      <c r="U102" s="271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  <c r="AJ102" s="318"/>
      <c r="AK102" s="318"/>
      <c r="AL102" s="318"/>
      <c r="AM102" s="318"/>
      <c r="AN102" s="318"/>
      <c r="AO102" s="318"/>
      <c r="AP102" s="318"/>
      <c r="AQ102" s="318"/>
      <c r="AR102" s="318"/>
      <c r="AS102" s="318"/>
      <c r="AT102" s="318"/>
      <c r="AU102" s="318"/>
      <c r="AV102" s="318"/>
      <c r="AW102" s="318"/>
      <c r="AX102" s="318"/>
      <c r="AY102" s="318"/>
      <c r="AZ102" s="530" t="s">
        <v>44</v>
      </c>
      <c r="BA102" s="531"/>
      <c r="BC102" s="108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7"/>
    </row>
    <row r="103" spans="2:80" ht="75" hidden="1" customHeight="1" thickBot="1" x14ac:dyDescent="0.3">
      <c r="B103" s="280"/>
      <c r="C103" s="281"/>
      <c r="D103" s="233"/>
      <c r="E103" s="53"/>
      <c r="F103" s="53"/>
      <c r="G103" s="53"/>
      <c r="H103" s="319" t="s">
        <v>4</v>
      </c>
      <c r="I103" s="319" t="s">
        <v>1</v>
      </c>
      <c r="J103" s="312" t="s">
        <v>0</v>
      </c>
      <c r="K103" s="312" t="s">
        <v>2</v>
      </c>
      <c r="L103" s="312" t="s">
        <v>3</v>
      </c>
      <c r="M103" s="312" t="s">
        <v>8</v>
      </c>
      <c r="N103" s="312" t="s">
        <v>5</v>
      </c>
      <c r="O103" s="312" t="s">
        <v>6</v>
      </c>
      <c r="P103" s="312" t="s">
        <v>7</v>
      </c>
      <c r="Q103" s="312" t="s">
        <v>9</v>
      </c>
      <c r="R103" s="320" t="s">
        <v>10</v>
      </c>
      <c r="S103" s="312" t="s">
        <v>11</v>
      </c>
      <c r="T103" s="321" t="s">
        <v>12</v>
      </c>
      <c r="U103" s="32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439" t="s">
        <v>93</v>
      </c>
      <c r="AJ103" s="439" t="s">
        <v>93</v>
      </c>
      <c r="AK103" s="439" t="s">
        <v>93</v>
      </c>
      <c r="AL103" s="439" t="s">
        <v>93</v>
      </c>
      <c r="AM103" s="439" t="s">
        <v>93</v>
      </c>
      <c r="AN103" s="439" t="s">
        <v>93</v>
      </c>
      <c r="AO103" s="285"/>
      <c r="AP103" s="285"/>
      <c r="AQ103" s="285"/>
      <c r="AR103" s="285"/>
      <c r="AS103" s="285"/>
      <c r="AT103" s="285"/>
      <c r="AU103" s="285"/>
      <c r="AV103" s="285"/>
      <c r="AW103" s="285"/>
      <c r="AX103" s="279"/>
      <c r="AY103" s="285"/>
      <c r="AZ103" s="285"/>
      <c r="BA103" s="285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</row>
    <row r="104" spans="2:80" ht="55.5" hidden="1" customHeight="1" thickBot="1" x14ac:dyDescent="0.35">
      <c r="B104" s="286"/>
      <c r="C104" s="287"/>
      <c r="D104" s="460" t="s">
        <v>107</v>
      </c>
      <c r="E104" s="217"/>
      <c r="F104" s="322"/>
      <c r="G104" s="147"/>
      <c r="H104" s="462"/>
      <c r="I104" s="463"/>
      <c r="J104" s="270"/>
      <c r="K104" s="270"/>
      <c r="L104" s="270"/>
      <c r="M104" s="270"/>
      <c r="N104" s="270"/>
      <c r="O104" s="270"/>
      <c r="P104" s="270"/>
      <c r="Q104" s="270"/>
      <c r="R104" s="466"/>
      <c r="S104" s="270"/>
      <c r="T104" s="323"/>
      <c r="U104" s="32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 t="s">
        <v>34</v>
      </c>
      <c r="AG104" s="290" t="s">
        <v>27</v>
      </c>
      <c r="AH104" s="290"/>
      <c r="AI104" s="448" t="s">
        <v>77</v>
      </c>
      <c r="AJ104" s="447" t="s">
        <v>28</v>
      </c>
      <c r="AK104" s="451" t="s">
        <v>83</v>
      </c>
      <c r="AL104" s="448" t="s">
        <v>78</v>
      </c>
      <c r="AM104" s="446" t="s">
        <v>30</v>
      </c>
      <c r="AN104" s="451" t="s">
        <v>84</v>
      </c>
      <c r="AO104" s="291"/>
      <c r="AP104" s="443" t="s">
        <v>105</v>
      </c>
      <c r="AQ104" s="293"/>
      <c r="AR104" s="329" t="s">
        <v>33</v>
      </c>
      <c r="AS104" s="329" t="s">
        <v>35</v>
      </c>
      <c r="AT104" s="329"/>
      <c r="AU104" s="329" t="s">
        <v>36</v>
      </c>
      <c r="AV104" s="444" t="s">
        <v>37</v>
      </c>
      <c r="AW104" s="444" t="s">
        <v>38</v>
      </c>
      <c r="AX104" s="294" t="s">
        <v>20</v>
      </c>
      <c r="AY104" s="294" t="s">
        <v>21</v>
      </c>
      <c r="AZ104" s="295" t="s">
        <v>20</v>
      </c>
      <c r="BA104" s="295" t="s">
        <v>21</v>
      </c>
      <c r="BC104" s="107"/>
      <c r="BD104" s="201"/>
      <c r="BE104" s="201"/>
      <c r="BF104" s="201"/>
      <c r="BG104" s="201"/>
      <c r="BH104" s="201"/>
      <c r="BI104" s="201"/>
      <c r="BJ104" s="108"/>
      <c r="BK104" s="108"/>
      <c r="BL104" s="108"/>
      <c r="BM104" s="108"/>
      <c r="BN104" s="108"/>
      <c r="BO104" s="201"/>
      <c r="BP104" s="201"/>
      <c r="BQ104" s="201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7"/>
    </row>
    <row r="105" spans="2:80" ht="18.75" hidden="1" thickBot="1" x14ac:dyDescent="0.3">
      <c r="B105" s="157">
        <v>1</v>
      </c>
      <c r="C105" s="158">
        <f>+AH96+D105</f>
        <v>20</v>
      </c>
      <c r="D105" s="8">
        <v>20</v>
      </c>
      <c r="E105" s="159"/>
      <c r="F105" s="160"/>
      <c r="G105" s="160">
        <f>+D105</f>
        <v>20</v>
      </c>
      <c r="H105" s="464">
        <v>270.8836</v>
      </c>
      <c r="I105" s="465">
        <v>69.943711899999997</v>
      </c>
      <c r="J105" s="324">
        <f>+I105-C105</f>
        <v>49.943711899999997</v>
      </c>
      <c r="K105" s="324">
        <f>+J105/2</f>
        <v>24.971855949999998</v>
      </c>
      <c r="L105" s="324">
        <f t="shared" ref="L105:L110" si="34">SIN(K105*3.14159265358979/180)</f>
        <v>0.42217302664458256</v>
      </c>
      <c r="M105" s="324">
        <f t="shared" ref="M105:M110" si="35">+L105*H105</f>
        <v>114.35974928038044</v>
      </c>
      <c r="N105" s="324">
        <f t="shared" ref="N105:N110" si="36">+M105*2</f>
        <v>228.71949856076088</v>
      </c>
      <c r="O105" s="324">
        <f>+C105/2</f>
        <v>10</v>
      </c>
      <c r="P105" s="324">
        <f t="shared" ref="P105:P110" si="37">SIN(O105*3.14159265358979/180)</f>
        <v>0.17364817766693016</v>
      </c>
      <c r="Q105" s="324">
        <f t="shared" ref="Q105:Q110" si="38">+P105*N105</f>
        <v>39.716724121970181</v>
      </c>
      <c r="R105" s="467">
        <v>221.97120000000001</v>
      </c>
      <c r="S105" s="324">
        <f>+R105+Q105</f>
        <v>261.68792412197018</v>
      </c>
      <c r="T105" s="325">
        <f t="shared" ref="T105:T110" si="39">+S105</f>
        <v>261.68792412197018</v>
      </c>
      <c r="V105" s="300">
        <f t="shared" ref="V105:V110" si="40">IF(B105&lt;($B$102+1),T105,0)</f>
        <v>261.68792412197018</v>
      </c>
      <c r="W105" s="300"/>
      <c r="X105" s="300"/>
      <c r="Y105" s="300"/>
      <c r="Z105" s="300"/>
      <c r="AA105" s="300"/>
      <c r="AB105" s="326"/>
      <c r="AC105" s="327"/>
      <c r="AD105" s="327"/>
      <c r="AE105" s="327"/>
      <c r="AF105" s="300">
        <f>SUM(V105:V112)/($B$102)</f>
        <v>261.68792412197018</v>
      </c>
      <c r="AG105" s="306">
        <f>C105</f>
        <v>20</v>
      </c>
      <c r="AH105" s="306"/>
      <c r="AI105" s="452">
        <f>66.2555484-AG105</f>
        <v>46.255548399999995</v>
      </c>
      <c r="AJ105" s="450">
        <f t="shared" ref="AJ105:AJ110" si="41">SIN(AI105*3.14159265358979/180)</f>
        <v>0.72243092330897785</v>
      </c>
      <c r="AK105" s="452">
        <f>+AJ105*304.3209</f>
        <v>219.85082876921911</v>
      </c>
      <c r="AL105" s="452">
        <f>50.0185497+AG105</f>
        <v>70.018549699999994</v>
      </c>
      <c r="AM105" s="450">
        <f>SIN(AL105*3.14159265358979/180)</f>
        <v>0.93980330170029414</v>
      </c>
      <c r="AN105" s="452">
        <f>+AM105*279.0605</f>
        <v>262.26197927413494</v>
      </c>
      <c r="AO105" s="328"/>
      <c r="AP105" s="443">
        <f>28*B102</f>
        <v>28</v>
      </c>
      <c r="AQ105" s="303"/>
      <c r="AR105" s="445">
        <f>+AN105+AK105</f>
        <v>482.11280804335405</v>
      </c>
      <c r="AS105" s="331">
        <f>+V105-AN105</f>
        <v>-0.57405515216476033</v>
      </c>
      <c r="AT105" s="331"/>
      <c r="AU105" s="331">
        <f>+AF105-AS105</f>
        <v>262.26197927413494</v>
      </c>
      <c r="AV105" s="331">
        <f>+((AR105-AU105)/AR105)*AP105</f>
        <v>12.768429095508644</v>
      </c>
      <c r="AW105" s="331">
        <f>+(AU105/AR105)*AP105</f>
        <v>15.231570904491356</v>
      </c>
      <c r="AX105" s="304">
        <f>2*$C$18/AV105</f>
        <v>908.49077151396455</v>
      </c>
      <c r="AY105" s="304">
        <f>$D$18/AW105</f>
        <v>656.53109995708223</v>
      </c>
      <c r="AZ105" s="307">
        <f>ABS(AX105)</f>
        <v>908.49077151396455</v>
      </c>
      <c r="BA105" s="307">
        <f>ABS(AY105)</f>
        <v>656.53109995708223</v>
      </c>
      <c r="BC105" s="107"/>
      <c r="BD105" s="201"/>
      <c r="BE105" s="201"/>
      <c r="BF105" s="201"/>
      <c r="BG105" s="201"/>
      <c r="BH105" s="201"/>
      <c r="BI105" s="201"/>
      <c r="BJ105" s="107"/>
      <c r="BK105" s="107"/>
      <c r="BL105" s="107"/>
      <c r="BM105" s="107"/>
      <c r="BN105" s="201"/>
      <c r="BO105" s="201"/>
      <c r="BP105" s="201"/>
      <c r="BQ105" s="201"/>
      <c r="BR105" s="107"/>
      <c r="BS105" s="107"/>
      <c r="BT105" s="107"/>
      <c r="BU105" s="107"/>
      <c r="BV105" s="201"/>
      <c r="BW105" s="201"/>
      <c r="BX105" s="201"/>
      <c r="BY105" s="201"/>
      <c r="BZ105" s="201"/>
      <c r="CA105" s="201"/>
      <c r="CB105" s="107"/>
    </row>
    <row r="106" spans="2:80" ht="18.75" hidden="1" thickBot="1" x14ac:dyDescent="0.3">
      <c r="B106" s="171">
        <v>2</v>
      </c>
      <c r="C106" s="172"/>
      <c r="D106" s="8">
        <v>20</v>
      </c>
      <c r="E106" s="173"/>
      <c r="F106" s="160"/>
      <c r="G106" s="160">
        <f t="shared" ref="G106:G112" si="42">+D106</f>
        <v>20</v>
      </c>
      <c r="H106" s="464">
        <v>270.8836</v>
      </c>
      <c r="I106" s="465">
        <v>69.943711899999997</v>
      </c>
      <c r="J106" s="324">
        <f t="shared" ref="J106:J110" si="43">+I106-D106</f>
        <v>49.943711899999997</v>
      </c>
      <c r="K106" s="324">
        <f t="shared" ref="K106:K110" si="44">+J106/2</f>
        <v>24.971855949999998</v>
      </c>
      <c r="L106" s="324">
        <f t="shared" si="34"/>
        <v>0.42217302664458256</v>
      </c>
      <c r="M106" s="324">
        <f t="shared" si="35"/>
        <v>114.35974928038044</v>
      </c>
      <c r="N106" s="324">
        <f t="shared" si="36"/>
        <v>228.71949856076088</v>
      </c>
      <c r="O106" s="324">
        <f>+C105+(D106/2)</f>
        <v>30</v>
      </c>
      <c r="P106" s="324">
        <f t="shared" si="37"/>
        <v>0.49999999999999956</v>
      </c>
      <c r="Q106" s="324">
        <f t="shared" si="38"/>
        <v>114.35974928038034</v>
      </c>
      <c r="R106" s="324">
        <f t="shared" ref="R106:R110" si="45">+T105</f>
        <v>261.68792412197018</v>
      </c>
      <c r="S106" s="324">
        <f>+R106+Q106</f>
        <v>376.04767340235054</v>
      </c>
      <c r="T106" s="325">
        <f t="shared" si="39"/>
        <v>376.04767340235054</v>
      </c>
      <c r="V106" s="300">
        <f t="shared" si="40"/>
        <v>0</v>
      </c>
      <c r="W106" s="300"/>
      <c r="X106" s="300"/>
      <c r="Y106" s="300"/>
      <c r="Z106" s="300"/>
      <c r="AA106" s="300"/>
      <c r="AB106" s="326"/>
      <c r="AC106" s="327"/>
      <c r="AD106" s="327"/>
      <c r="AE106" s="327"/>
      <c r="AF106" s="300" t="e">
        <f>SUM(V106:V112)/($B$102-B105)</f>
        <v>#DIV/0!</v>
      </c>
      <c r="AG106" s="306">
        <f>SUM(D106)+$C$105</f>
        <v>40</v>
      </c>
      <c r="AH106" s="306"/>
      <c r="AI106" s="452">
        <f t="shared" ref="AI106:AI110" si="46">66.2555484-AG106</f>
        <v>26.255548399999995</v>
      </c>
      <c r="AJ106" s="450">
        <f t="shared" si="41"/>
        <v>0.44237553937148383</v>
      </c>
      <c r="AK106" s="452">
        <f t="shared" ref="AK106:AK110" si="47">+AJ106*304.3209</f>
        <v>134.6241222795154</v>
      </c>
      <c r="AL106" s="452">
        <f t="shared" ref="AL106:AL110" si="48">50.0185497+AG106</f>
        <v>90.018549699999994</v>
      </c>
      <c r="AM106" s="450">
        <f t="shared" ref="AM106:AM110" si="49">SIN(AL106*3.14159265358979/180)</f>
        <v>0.99999994759188782</v>
      </c>
      <c r="AN106" s="452">
        <f t="shared" ref="AN106:AN110" si="50">+AM106*279.0605</f>
        <v>279.06048537496599</v>
      </c>
      <c r="AO106" s="328"/>
      <c r="AP106" s="443">
        <f>28*($B$102-B105)</f>
        <v>0</v>
      </c>
      <c r="AQ106" s="303"/>
      <c r="AR106" s="445">
        <f t="shared" ref="AR106:AR110" si="51">+AN106+AK106</f>
        <v>413.6846076544814</v>
      </c>
      <c r="AS106" s="331">
        <f>+V106-AN106</f>
        <v>-279.06048537496599</v>
      </c>
      <c r="AT106" s="331"/>
      <c r="AU106" s="331" t="e">
        <f>+AF106-AS106</f>
        <v>#DIV/0!</v>
      </c>
      <c r="AV106" s="331" t="e">
        <f t="shared" ref="AV106:AV110" si="52">+((AR106-AU106)/AR106)*AP106</f>
        <v>#DIV/0!</v>
      </c>
      <c r="AW106" s="331" t="e">
        <f t="shared" ref="AW106:AW110" si="53">+(AU106/AR106)*AP106</f>
        <v>#DIV/0!</v>
      </c>
      <c r="AX106" s="304" t="e">
        <f t="shared" ref="AX106:AX110" si="54">2*$C$18/AV106</f>
        <v>#DIV/0!</v>
      </c>
      <c r="AY106" s="304" t="e">
        <f t="shared" ref="AY106:AY110" si="55">$D$18/AW106</f>
        <v>#DIV/0!</v>
      </c>
      <c r="AZ106" s="307" t="e">
        <f t="shared" ref="AZ106:BA110" si="56">ABS(AX106)</f>
        <v>#DIV/0!</v>
      </c>
      <c r="BA106" s="307" t="e">
        <f t="shared" si="56"/>
        <v>#DIV/0!</v>
      </c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</row>
    <row r="107" spans="2:80" ht="18.75" hidden="1" thickBot="1" x14ac:dyDescent="0.3">
      <c r="B107" s="171">
        <v>3</v>
      </c>
      <c r="C107" s="172"/>
      <c r="D107" s="8">
        <v>20</v>
      </c>
      <c r="E107" s="173"/>
      <c r="F107" s="160"/>
      <c r="G107" s="160">
        <f t="shared" si="42"/>
        <v>20</v>
      </c>
      <c r="H107" s="464">
        <v>270.8836</v>
      </c>
      <c r="I107" s="465">
        <v>69.943711899999997</v>
      </c>
      <c r="J107" s="324">
        <f t="shared" si="43"/>
        <v>49.943711899999997</v>
      </c>
      <c r="K107" s="324">
        <f t="shared" si="44"/>
        <v>24.971855949999998</v>
      </c>
      <c r="L107" s="324">
        <f t="shared" si="34"/>
        <v>0.42217302664458256</v>
      </c>
      <c r="M107" s="324">
        <f t="shared" si="35"/>
        <v>114.35974928038044</v>
      </c>
      <c r="N107" s="324">
        <f t="shared" si="36"/>
        <v>228.71949856076088</v>
      </c>
      <c r="O107" s="324">
        <f>+C105+D106+(D107/2)</f>
        <v>50</v>
      </c>
      <c r="P107" s="324">
        <f t="shared" si="37"/>
        <v>0.76604444311897746</v>
      </c>
      <c r="Q107" s="324">
        <f t="shared" si="38"/>
        <v>175.20930090542984</v>
      </c>
      <c r="R107" s="324">
        <f t="shared" si="45"/>
        <v>376.04767340235054</v>
      </c>
      <c r="S107" s="324">
        <f t="shared" ref="S107:S110" si="57">+S106+Q107</f>
        <v>551.25697430778041</v>
      </c>
      <c r="T107" s="325">
        <f t="shared" si="39"/>
        <v>551.25697430778041</v>
      </c>
      <c r="V107" s="300">
        <f t="shared" si="40"/>
        <v>0</v>
      </c>
      <c r="W107" s="300"/>
      <c r="X107" s="300"/>
      <c r="Y107" s="300"/>
      <c r="Z107" s="300"/>
      <c r="AA107" s="300"/>
      <c r="AB107" s="326"/>
      <c r="AC107" s="327"/>
      <c r="AD107" s="327"/>
      <c r="AE107" s="327"/>
      <c r="AF107" s="300">
        <f>SUM(V107:V112)/($B$102-B106)</f>
        <v>0</v>
      </c>
      <c r="AG107" s="306">
        <f>SUM(D106:D107)+$C$105</f>
        <v>60</v>
      </c>
      <c r="AH107" s="306"/>
      <c r="AI107" s="452">
        <f t="shared" si="46"/>
        <v>6.255548399999995</v>
      </c>
      <c r="AJ107" s="450">
        <f t="shared" si="41"/>
        <v>0.10896313661816119</v>
      </c>
      <c r="AK107" s="452">
        <f t="shared" si="47"/>
        <v>33.159759802461771</v>
      </c>
      <c r="AL107" s="452">
        <f t="shared" si="48"/>
        <v>110.01854969999999</v>
      </c>
      <c r="AM107" s="450">
        <f t="shared" si="49"/>
        <v>0.93958184137649026</v>
      </c>
      <c r="AN107" s="452">
        <f t="shared" si="50"/>
        <v>262.20017844544407</v>
      </c>
      <c r="AO107" s="328"/>
      <c r="AP107" s="443">
        <f t="shared" ref="AP107:AP112" si="58">28*($B$102-B106)</f>
        <v>-28</v>
      </c>
      <c r="AQ107" s="303"/>
      <c r="AR107" s="445">
        <f t="shared" si="51"/>
        <v>295.35993824790586</v>
      </c>
      <c r="AS107" s="331">
        <f>+V107-AN107</f>
        <v>-262.20017844544407</v>
      </c>
      <c r="AT107" s="331"/>
      <c r="AU107" s="331">
        <f>+AF107-AS107</f>
        <v>262.20017844544407</v>
      </c>
      <c r="AV107" s="331">
        <f t="shared" si="52"/>
        <v>-3.1435315160772763</v>
      </c>
      <c r="AW107" s="331">
        <f t="shared" si="53"/>
        <v>-24.856468483922725</v>
      </c>
      <c r="AX107" s="304">
        <f t="shared" si="54"/>
        <v>-3690.1172902746371</v>
      </c>
      <c r="AY107" s="304">
        <f t="shared" si="55"/>
        <v>-402.30976522139679</v>
      </c>
      <c r="AZ107" s="307">
        <f t="shared" si="56"/>
        <v>3690.1172902746371</v>
      </c>
      <c r="BA107" s="307">
        <f t="shared" si="56"/>
        <v>402.30976522139679</v>
      </c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</row>
    <row r="108" spans="2:80" ht="18.75" hidden="1" thickBot="1" x14ac:dyDescent="0.3">
      <c r="B108" s="171">
        <v>4</v>
      </c>
      <c r="C108" s="172"/>
      <c r="D108" s="8">
        <v>20</v>
      </c>
      <c r="E108" s="173"/>
      <c r="F108" s="160"/>
      <c r="G108" s="160">
        <f t="shared" si="42"/>
        <v>20</v>
      </c>
      <c r="H108" s="464">
        <v>270.8836</v>
      </c>
      <c r="I108" s="465">
        <v>69.943711899999997</v>
      </c>
      <c r="J108" s="324">
        <f t="shared" si="43"/>
        <v>49.943711899999997</v>
      </c>
      <c r="K108" s="324">
        <f t="shared" si="44"/>
        <v>24.971855949999998</v>
      </c>
      <c r="L108" s="324">
        <f t="shared" si="34"/>
        <v>0.42217302664458256</v>
      </c>
      <c r="M108" s="324">
        <f t="shared" si="35"/>
        <v>114.35974928038044</v>
      </c>
      <c r="N108" s="324">
        <f t="shared" si="36"/>
        <v>228.71949856076088</v>
      </c>
      <c r="O108" s="324">
        <f>+C105+D106+D107+(D108/2)</f>
        <v>70</v>
      </c>
      <c r="P108" s="324">
        <f t="shared" si="37"/>
        <v>0.93969262078590798</v>
      </c>
      <c r="Q108" s="324">
        <f t="shared" si="38"/>
        <v>214.9260250274001</v>
      </c>
      <c r="R108" s="324">
        <f t="shared" si="45"/>
        <v>551.25697430778041</v>
      </c>
      <c r="S108" s="324">
        <f t="shared" si="57"/>
        <v>766.18299933518051</v>
      </c>
      <c r="T108" s="325">
        <f t="shared" si="39"/>
        <v>766.18299933518051</v>
      </c>
      <c r="V108" s="300">
        <f t="shared" si="40"/>
        <v>0</v>
      </c>
      <c r="W108" s="300"/>
      <c r="X108" s="300"/>
      <c r="Y108" s="300"/>
      <c r="Z108" s="300"/>
      <c r="AA108" s="300"/>
      <c r="AB108" s="326"/>
      <c r="AC108" s="327"/>
      <c r="AD108" s="327"/>
      <c r="AE108" s="327"/>
      <c r="AF108" s="300">
        <f>SUM(V108:V113)/($B$102-B107)</f>
        <v>0</v>
      </c>
      <c r="AG108" s="306">
        <f>SUM(D106:D108)+$C$105</f>
        <v>80</v>
      </c>
      <c r="AH108" s="306"/>
      <c r="AI108" s="452">
        <f t="shared" si="46"/>
        <v>-13.744451600000005</v>
      </c>
      <c r="AJ108" s="450">
        <f t="shared" si="41"/>
        <v>-0.23759182853593805</v>
      </c>
      <c r="AK108" s="452">
        <f t="shared" si="47"/>
        <v>-72.304159092702349</v>
      </c>
      <c r="AL108" s="452">
        <f t="shared" si="48"/>
        <v>130.01854969999999</v>
      </c>
      <c r="AM108" s="450">
        <f t="shared" si="49"/>
        <v>0.76583629833995992</v>
      </c>
      <c r="AN108" s="452">
        <f t="shared" si="50"/>
        <v>213.71466033289838</v>
      </c>
      <c r="AO108" s="328"/>
      <c r="AP108" s="443">
        <f t="shared" si="58"/>
        <v>-56</v>
      </c>
      <c r="AQ108" s="303"/>
      <c r="AR108" s="445">
        <f t="shared" si="51"/>
        <v>141.41050124019603</v>
      </c>
      <c r="AS108" s="331">
        <f>+V108-AN108</f>
        <v>-213.71466033289838</v>
      </c>
      <c r="AT108" s="331"/>
      <c r="AU108" s="331">
        <f t="shared" ref="AU108:AU110" si="59">+AF108-AS108</f>
        <v>213.71466033289838</v>
      </c>
      <c r="AV108" s="331">
        <f t="shared" si="52"/>
        <v>28.63318405408771</v>
      </c>
      <c r="AW108" s="331">
        <f t="shared" si="53"/>
        <v>-84.633184054087721</v>
      </c>
      <c r="AX108" s="304">
        <f t="shared" si="54"/>
        <v>405.12434726392115</v>
      </c>
      <c r="AY108" s="304">
        <f t="shared" si="55"/>
        <v>-118.15696303720723</v>
      </c>
      <c r="AZ108" s="307">
        <f t="shared" si="56"/>
        <v>405.12434726392115</v>
      </c>
      <c r="BA108" s="307">
        <f t="shared" si="56"/>
        <v>118.15696303720723</v>
      </c>
    </row>
    <row r="109" spans="2:80" ht="18.75" hidden="1" thickBot="1" x14ac:dyDescent="0.3">
      <c r="B109" s="171">
        <v>5</v>
      </c>
      <c r="C109" s="172"/>
      <c r="D109" s="8">
        <v>20</v>
      </c>
      <c r="E109" s="173"/>
      <c r="F109" s="160"/>
      <c r="G109" s="160">
        <f t="shared" si="42"/>
        <v>20</v>
      </c>
      <c r="H109" s="464">
        <v>270.8836</v>
      </c>
      <c r="I109" s="465">
        <v>69.943711899999997</v>
      </c>
      <c r="J109" s="324">
        <f t="shared" si="43"/>
        <v>49.943711899999997</v>
      </c>
      <c r="K109" s="324">
        <f t="shared" si="44"/>
        <v>24.971855949999998</v>
      </c>
      <c r="L109" s="324">
        <f t="shared" si="34"/>
        <v>0.42217302664458256</v>
      </c>
      <c r="M109" s="324">
        <f t="shared" si="35"/>
        <v>114.35974928038044</v>
      </c>
      <c r="N109" s="324">
        <f t="shared" si="36"/>
        <v>228.71949856076088</v>
      </c>
      <c r="O109" s="324">
        <f>+C105+D106+D107+D108+(D109/2)</f>
        <v>90</v>
      </c>
      <c r="P109" s="324">
        <f t="shared" si="37"/>
        <v>1</v>
      </c>
      <c r="Q109" s="324">
        <f t="shared" si="38"/>
        <v>228.71949856076088</v>
      </c>
      <c r="R109" s="324">
        <f t="shared" si="45"/>
        <v>766.18299933518051</v>
      </c>
      <c r="S109" s="324">
        <f t="shared" si="57"/>
        <v>994.90249789594145</v>
      </c>
      <c r="T109" s="325">
        <f t="shared" si="39"/>
        <v>994.90249789594145</v>
      </c>
      <c r="V109" s="300">
        <f t="shared" si="40"/>
        <v>0</v>
      </c>
      <c r="W109" s="300"/>
      <c r="X109" s="300"/>
      <c r="Y109" s="300"/>
      <c r="Z109" s="300"/>
      <c r="AA109" s="300"/>
      <c r="AB109" s="326"/>
      <c r="AC109" s="327"/>
      <c r="AD109" s="327"/>
      <c r="AE109" s="327"/>
      <c r="AF109" s="300">
        <f>SUM(V109:V114)/($B$102-B108)</f>
        <v>0</v>
      </c>
      <c r="AG109" s="306">
        <f>SUM(D106:D109)+$C$105</f>
        <v>100</v>
      </c>
      <c r="AH109" s="306"/>
      <c r="AI109" s="452">
        <f t="shared" si="46"/>
        <v>-33.744451600000005</v>
      </c>
      <c r="AJ109" s="450">
        <f t="shared" si="41"/>
        <v>-0.55548971268666492</v>
      </c>
      <c r="AK109" s="452">
        <f t="shared" si="47"/>
        <v>-169.04712930554729</v>
      </c>
      <c r="AL109" s="452">
        <f t="shared" si="48"/>
        <v>150.01854969999999</v>
      </c>
      <c r="AM109" s="450">
        <f t="shared" si="49"/>
        <v>0.49971959518362147</v>
      </c>
      <c r="AN109" s="452">
        <f t="shared" si="50"/>
        <v>139.452000091739</v>
      </c>
      <c r="AO109" s="328"/>
      <c r="AP109" s="443">
        <f t="shared" si="58"/>
        <v>-84</v>
      </c>
      <c r="AQ109" s="303"/>
      <c r="AR109" s="445">
        <f t="shared" si="51"/>
        <v>-29.595129213808292</v>
      </c>
      <c r="AS109" s="331">
        <f t="shared" ref="AS109:AS110" si="60">+V109-AN109</f>
        <v>-139.452000091739</v>
      </c>
      <c r="AT109" s="331"/>
      <c r="AU109" s="331">
        <f t="shared" si="59"/>
        <v>139.452000091739</v>
      </c>
      <c r="AV109" s="331">
        <f t="shared" si="52"/>
        <v>-479.8072939327007</v>
      </c>
      <c r="AW109" s="331">
        <f t="shared" si="53"/>
        <v>395.8072939327007</v>
      </c>
      <c r="AX109" s="304">
        <f t="shared" si="54"/>
        <v>-24.176372778582756</v>
      </c>
      <c r="AY109" s="304">
        <f t="shared" si="55"/>
        <v>25.264819909307445</v>
      </c>
      <c r="AZ109" s="307">
        <f t="shared" si="56"/>
        <v>24.176372778582756</v>
      </c>
      <c r="BA109" s="307">
        <f t="shared" si="56"/>
        <v>25.264819909307445</v>
      </c>
    </row>
    <row r="110" spans="2:80" ht="18.75" hidden="1" thickBot="1" x14ac:dyDescent="0.3">
      <c r="B110" s="171">
        <v>6</v>
      </c>
      <c r="C110" s="172"/>
      <c r="D110" s="8">
        <v>20</v>
      </c>
      <c r="E110" s="173"/>
      <c r="F110" s="160"/>
      <c r="G110" s="160">
        <f t="shared" si="42"/>
        <v>20</v>
      </c>
      <c r="H110" s="464">
        <v>270.8836</v>
      </c>
      <c r="I110" s="465">
        <v>69.943711899999997</v>
      </c>
      <c r="J110" s="324">
        <f t="shared" si="43"/>
        <v>49.943711899999997</v>
      </c>
      <c r="K110" s="324">
        <f t="shared" si="44"/>
        <v>24.971855949999998</v>
      </c>
      <c r="L110" s="324">
        <f t="shared" si="34"/>
        <v>0.42217302664458256</v>
      </c>
      <c r="M110" s="324">
        <f t="shared" si="35"/>
        <v>114.35974928038044</v>
      </c>
      <c r="N110" s="324">
        <f t="shared" si="36"/>
        <v>228.71949856076088</v>
      </c>
      <c r="O110" s="324">
        <f>+C105+D106+D107+D108+D109+(D110/2)</f>
        <v>110</v>
      </c>
      <c r="P110" s="324">
        <f t="shared" si="37"/>
        <v>0.93969262078590898</v>
      </c>
      <c r="Q110" s="324">
        <f t="shared" si="38"/>
        <v>214.92602502740033</v>
      </c>
      <c r="R110" s="324">
        <f t="shared" si="45"/>
        <v>994.90249789594145</v>
      </c>
      <c r="S110" s="324">
        <f t="shared" si="57"/>
        <v>1209.8285229233418</v>
      </c>
      <c r="T110" s="325">
        <f t="shared" si="39"/>
        <v>1209.8285229233418</v>
      </c>
      <c r="V110" s="300">
        <f t="shared" si="40"/>
        <v>0</v>
      </c>
      <c r="W110" s="300"/>
      <c r="X110" s="300"/>
      <c r="Y110" s="300"/>
      <c r="Z110" s="300"/>
      <c r="AA110" s="300"/>
      <c r="AB110" s="326"/>
      <c r="AC110" s="327"/>
      <c r="AD110" s="327"/>
      <c r="AE110" s="327"/>
      <c r="AF110" s="300">
        <f>SUM(V110:V115)/($B$102-B109)</f>
        <v>0</v>
      </c>
      <c r="AG110" s="306">
        <f>SUM(D106:D110)+$C$105</f>
        <v>120</v>
      </c>
      <c r="AH110" s="306"/>
      <c r="AI110" s="452">
        <f t="shared" si="46"/>
        <v>-53.744451600000005</v>
      </c>
      <c r="AJ110" s="450">
        <f t="shared" si="41"/>
        <v>-0.80638733933234874</v>
      </c>
      <c r="AK110" s="452">
        <f t="shared" si="47"/>
        <v>-245.40052085422576</v>
      </c>
      <c r="AL110" s="452">
        <f t="shared" si="48"/>
        <v>170.01854969999999</v>
      </c>
      <c r="AM110" s="450">
        <f t="shared" si="49"/>
        <v>0.17332933377238116</v>
      </c>
      <c r="AN110" s="452">
        <f t="shared" si="50"/>
        <v>48.369370547187572</v>
      </c>
      <c r="AO110" s="328"/>
      <c r="AP110" s="443">
        <f t="shared" si="58"/>
        <v>-112</v>
      </c>
      <c r="AQ110" s="303"/>
      <c r="AR110" s="445">
        <f t="shared" si="51"/>
        <v>-197.03115030703819</v>
      </c>
      <c r="AS110" s="331">
        <f t="shared" si="60"/>
        <v>-48.369370547187572</v>
      </c>
      <c r="AT110" s="331"/>
      <c r="AU110" s="331">
        <f t="shared" si="59"/>
        <v>48.369370547187572</v>
      </c>
      <c r="AV110" s="331">
        <f t="shared" si="52"/>
        <v>-139.49498996906325</v>
      </c>
      <c r="AW110" s="331">
        <f t="shared" si="53"/>
        <v>27.494989969063248</v>
      </c>
      <c r="AX110" s="304">
        <f t="shared" si="54"/>
        <v>-83.157108384843141</v>
      </c>
      <c r="AY110" s="304">
        <f t="shared" si="55"/>
        <v>363.70262405084628</v>
      </c>
      <c r="AZ110" s="307">
        <f t="shared" si="56"/>
        <v>83.157108384843141</v>
      </c>
      <c r="BA110" s="307">
        <f t="shared" si="56"/>
        <v>363.70262405084628</v>
      </c>
    </row>
    <row r="111" spans="2:80" ht="18.75" hidden="1" thickBot="1" x14ac:dyDescent="0.3">
      <c r="B111" s="171">
        <v>7</v>
      </c>
      <c r="C111" s="172"/>
      <c r="D111" s="8">
        <v>20</v>
      </c>
      <c r="E111" s="173"/>
      <c r="F111" s="160"/>
      <c r="G111" s="160">
        <f t="shared" si="42"/>
        <v>20</v>
      </c>
      <c r="H111" s="464">
        <v>270.8836</v>
      </c>
      <c r="I111" s="465">
        <v>69.943711899999997</v>
      </c>
      <c r="J111" s="324">
        <f t="shared" ref="J111:J112" si="61">+I111-D111</f>
        <v>49.943711899999997</v>
      </c>
      <c r="K111" s="324">
        <f t="shared" ref="K111:K112" si="62">+J111/2</f>
        <v>24.971855949999998</v>
      </c>
      <c r="L111" s="324">
        <f t="shared" ref="L111:L112" si="63">SIN(K111*3.14159265358979/180)</f>
        <v>0.42217302664458256</v>
      </c>
      <c r="M111" s="324">
        <f t="shared" ref="M111:M112" si="64">+L111*H111</f>
        <v>114.35974928038044</v>
      </c>
      <c r="N111" s="324">
        <f t="shared" ref="N111:N112" si="65">+M111*2</f>
        <v>228.71949856076088</v>
      </c>
      <c r="O111" s="324">
        <f>+C105+D107+D108+D109+D110+D106+(D111/2)</f>
        <v>130</v>
      </c>
      <c r="P111" s="324">
        <f t="shared" ref="P111:P112" si="66">SIN(O111*3.14159265358979/180)</f>
        <v>0.76604444311897946</v>
      </c>
      <c r="Q111" s="324">
        <f t="shared" ref="Q111:Q112" si="67">+P111*N111</f>
        <v>175.2093009054303</v>
      </c>
      <c r="R111" s="324">
        <f t="shared" ref="R111:R112" si="68">+T110</f>
        <v>1209.8285229233418</v>
      </c>
      <c r="S111" s="324">
        <f t="shared" ref="S111:S112" si="69">+S110+Q111</f>
        <v>1385.0378238287722</v>
      </c>
      <c r="T111" s="325">
        <f t="shared" ref="T111:T112" si="70">+S111</f>
        <v>1385.0378238287722</v>
      </c>
      <c r="V111" s="300">
        <f t="shared" ref="V111:V112" si="71">IF(B111&lt;($B$102+1),T111,0)</f>
        <v>0</v>
      </c>
      <c r="W111" s="300"/>
      <c r="X111" s="300"/>
      <c r="Y111" s="300"/>
      <c r="Z111" s="300"/>
      <c r="AA111" s="300"/>
      <c r="AB111" s="326"/>
      <c r="AC111" s="327"/>
      <c r="AD111" s="327"/>
      <c r="AE111" s="327"/>
      <c r="AF111" s="300">
        <f t="shared" ref="AF111:AF112" si="72">SUM(V111:V116)/($B$102-B110)</f>
        <v>0</v>
      </c>
      <c r="AG111" s="306">
        <f>SUM(D106:D111)+$C$105</f>
        <v>140</v>
      </c>
      <c r="AH111" s="306"/>
      <c r="AI111" s="452">
        <f t="shared" ref="AI111:AI112" si="73">66.2555484-AG111</f>
        <v>-73.744451600000005</v>
      </c>
      <c r="AJ111" s="450">
        <f t="shared" ref="AJ111:AJ112" si="74">SIN(AI111*3.14159265358979/180)</f>
        <v>-0.96002275184491626</v>
      </c>
      <c r="AK111" s="452">
        <f t="shared" ref="AK111:AK112" si="75">+AJ111*304.3209</f>
        <v>-292.1549878619216</v>
      </c>
      <c r="AL111" s="452">
        <f t="shared" ref="AL111:AL112" si="76">50.0185497+AG111</f>
        <v>190.01854969999999</v>
      </c>
      <c r="AM111" s="450">
        <f t="shared" ref="AM111:AM112" si="77">SIN(AL111*3.14159265358979/180)</f>
        <v>-0.17396700336033277</v>
      </c>
      <c r="AN111" s="452">
        <f t="shared" ref="AN111:AN112" si="78">+AM111*279.0605</f>
        <v>-48.547318941236142</v>
      </c>
      <c r="AO111" s="328"/>
      <c r="AP111" s="443">
        <f t="shared" si="58"/>
        <v>-140</v>
      </c>
      <c r="AQ111" s="303"/>
      <c r="AR111" s="445">
        <f t="shared" ref="AR111:AR112" si="79">+AN111+AK111</f>
        <v>-340.70230680315774</v>
      </c>
      <c r="AS111" s="331">
        <f t="shared" ref="AS111:AS112" si="80">+V111-AN111</f>
        <v>48.547318941236142</v>
      </c>
      <c r="AT111" s="331"/>
      <c r="AU111" s="331">
        <f t="shared" ref="AU111:AU112" si="81">+AF111-AS111</f>
        <v>-48.547318941236142</v>
      </c>
      <c r="AV111" s="331">
        <f t="shared" ref="AV111:AV112" si="82">+((AR111-AU111)/AR111)*AP111</f>
        <v>-120.05113403678878</v>
      </c>
      <c r="AW111" s="331">
        <f t="shared" ref="AW111:AW112" si="83">+(AU111/AR111)*AP111</f>
        <v>-19.948865963211222</v>
      </c>
      <c r="AX111" s="304">
        <f t="shared" ref="AX111:AX112" si="84">2*$C$18/AV111</f>
        <v>-96.625492904092567</v>
      </c>
      <c r="AY111" s="304">
        <f t="shared" ref="AY111:AY112" si="85">$D$18/AW111</f>
        <v>-501.28162765951402</v>
      </c>
      <c r="AZ111" s="307">
        <f t="shared" ref="AZ111:AZ112" si="86">ABS(AX111)</f>
        <v>96.625492904092567</v>
      </c>
      <c r="BA111" s="307">
        <f t="shared" ref="BA111:BA112" si="87">ABS(AY111)</f>
        <v>501.28162765951402</v>
      </c>
    </row>
    <row r="112" spans="2:80" ht="18.75" hidden="1" thickBot="1" x14ac:dyDescent="0.3">
      <c r="B112" s="171">
        <v>8</v>
      </c>
      <c r="C112" s="172"/>
      <c r="D112" s="8">
        <v>20</v>
      </c>
      <c r="E112" s="173"/>
      <c r="F112" s="160"/>
      <c r="G112" s="160">
        <f t="shared" si="42"/>
        <v>20</v>
      </c>
      <c r="H112" s="464">
        <v>270.8836</v>
      </c>
      <c r="I112" s="465">
        <v>69.943711899999997</v>
      </c>
      <c r="J112" s="324">
        <f t="shared" si="61"/>
        <v>49.943711899999997</v>
      </c>
      <c r="K112" s="324">
        <f t="shared" si="62"/>
        <v>24.971855949999998</v>
      </c>
      <c r="L112" s="324">
        <f t="shared" si="63"/>
        <v>0.42217302664458256</v>
      </c>
      <c r="M112" s="324">
        <f t="shared" si="64"/>
        <v>114.35974928038044</v>
      </c>
      <c r="N112" s="324">
        <f t="shared" si="65"/>
        <v>228.71949856076088</v>
      </c>
      <c r="O112" s="324">
        <f>+C105+D108+D109+D110+D111+D107+D106+(D112/2)</f>
        <v>150</v>
      </c>
      <c r="P112" s="324">
        <f t="shared" si="66"/>
        <v>0.50000000000000222</v>
      </c>
      <c r="Q112" s="324">
        <f t="shared" si="67"/>
        <v>114.35974928038095</v>
      </c>
      <c r="R112" s="324">
        <f t="shared" si="68"/>
        <v>1385.0378238287722</v>
      </c>
      <c r="S112" s="324">
        <f t="shared" si="69"/>
        <v>1499.3975731091532</v>
      </c>
      <c r="T112" s="325">
        <f t="shared" si="70"/>
        <v>1499.3975731091532</v>
      </c>
      <c r="V112" s="300">
        <f t="shared" si="71"/>
        <v>0</v>
      </c>
      <c r="W112" s="300"/>
      <c r="X112" s="300"/>
      <c r="Y112" s="300"/>
      <c r="Z112" s="300"/>
      <c r="AA112" s="300"/>
      <c r="AB112" s="326"/>
      <c r="AC112" s="327"/>
      <c r="AD112" s="327"/>
      <c r="AE112" s="327"/>
      <c r="AF112" s="300">
        <f t="shared" si="72"/>
        <v>0</v>
      </c>
      <c r="AG112" s="306">
        <f>SUM(D106:D112)+$C$105</f>
        <v>160</v>
      </c>
      <c r="AH112" s="306"/>
      <c r="AI112" s="452">
        <f t="shared" si="73"/>
        <v>-93.744451600000005</v>
      </c>
      <c r="AJ112" s="450">
        <f t="shared" si="74"/>
        <v>-0.99786525205814969</v>
      </c>
      <c r="AK112" s="452">
        <f t="shared" si="75"/>
        <v>-303.67125158506298</v>
      </c>
      <c r="AL112" s="452">
        <f t="shared" si="76"/>
        <v>210.01854969999999</v>
      </c>
      <c r="AM112" s="450">
        <f t="shared" si="77"/>
        <v>-0.50028035240826529</v>
      </c>
      <c r="AN112" s="452">
        <f t="shared" si="78"/>
        <v>-139.60848528322671</v>
      </c>
      <c r="AO112" s="328"/>
      <c r="AP112" s="443">
        <f t="shared" si="58"/>
        <v>-168</v>
      </c>
      <c r="AQ112" s="303"/>
      <c r="AR112" s="445">
        <f t="shared" si="79"/>
        <v>-443.27973686828966</v>
      </c>
      <c r="AS112" s="331">
        <f t="shared" si="80"/>
        <v>139.60848528322671</v>
      </c>
      <c r="AT112" s="331"/>
      <c r="AU112" s="331">
        <f t="shared" si="81"/>
        <v>-139.60848528322671</v>
      </c>
      <c r="AV112" s="331">
        <f t="shared" si="82"/>
        <v>-115.08933529584959</v>
      </c>
      <c r="AW112" s="331">
        <f t="shared" si="83"/>
        <v>-52.910664704150399</v>
      </c>
      <c r="AX112" s="304">
        <f t="shared" si="84"/>
        <v>-100.79126767203012</v>
      </c>
      <c r="AY112" s="304">
        <f t="shared" si="85"/>
        <v>-188.99781463557352</v>
      </c>
      <c r="AZ112" s="307">
        <f t="shared" si="86"/>
        <v>100.79126767203012</v>
      </c>
      <c r="BA112" s="307">
        <f t="shared" si="87"/>
        <v>188.99781463557352</v>
      </c>
    </row>
    <row r="113" spans="47:109" hidden="1" x14ac:dyDescent="0.25"/>
    <row r="114" spans="47:109" hidden="1" x14ac:dyDescent="0.25"/>
    <row r="115" spans="47:109" hidden="1" x14ac:dyDescent="0.25"/>
    <row r="116" spans="47:109" hidden="1" x14ac:dyDescent="0.25"/>
    <row r="117" spans="47:109" hidden="1" x14ac:dyDescent="0.25"/>
    <row r="118" spans="47:109" hidden="1" x14ac:dyDescent="0.25"/>
    <row r="119" spans="47:109" hidden="1" x14ac:dyDescent="0.25"/>
    <row r="120" spans="47:109" hidden="1" x14ac:dyDescent="0.25"/>
    <row r="121" spans="47:109" ht="18.75" hidden="1" thickBot="1" x14ac:dyDescent="0.3"/>
    <row r="122" spans="47:109" hidden="1" x14ac:dyDescent="0.25">
      <c r="AU122" s="472"/>
      <c r="AV122" s="473"/>
      <c r="AW122" s="474" t="s">
        <v>79</v>
      </c>
      <c r="AX122" s="473"/>
      <c r="AY122" s="473"/>
      <c r="AZ122" s="473"/>
      <c r="BA122" s="473"/>
    </row>
    <row r="123" spans="47:109" ht="20.25" x14ac:dyDescent="0.4">
      <c r="AU123" s="475">
        <v>1</v>
      </c>
      <c r="AV123" s="387">
        <v>0</v>
      </c>
      <c r="AW123" s="188">
        <f>+COS(($B$78*-1)*3.14159265358979/180)*AV123</f>
        <v>0</v>
      </c>
      <c r="AX123" s="189">
        <f t="shared" ref="AX123:AX145" si="88">+AW123-D$3</f>
        <v>-244.88414769796276</v>
      </c>
      <c r="AY123" s="190">
        <f t="shared" ref="AY123:AY145" si="89">ABS(AX123)</f>
        <v>244.88414769796276</v>
      </c>
      <c r="AZ123" s="191">
        <f>MIN(AY123:AY145)</f>
        <v>5.11585230203724</v>
      </c>
      <c r="BA123" s="189" t="b">
        <f>IF(AZ123=AY123,AU123)</f>
        <v>0</v>
      </c>
      <c r="CG123" s="193"/>
      <c r="CH123" s="193"/>
      <c r="CI123" s="193"/>
      <c r="CJ123" s="193"/>
      <c r="CK123" s="193"/>
      <c r="CL123" s="522"/>
      <c r="CM123" s="522"/>
      <c r="CN123" s="522"/>
      <c r="CO123" s="108"/>
      <c r="CP123" s="107"/>
      <c r="CQ123" s="107"/>
      <c r="CR123" s="107"/>
      <c r="CS123" s="107"/>
      <c r="CT123" s="107"/>
      <c r="CU123" s="107"/>
      <c r="CV123" s="107"/>
      <c r="CW123" s="107"/>
      <c r="CX123" s="107"/>
      <c r="CY123" s="107"/>
      <c r="CZ123" s="107"/>
      <c r="DA123" s="107"/>
      <c r="DB123" s="107"/>
      <c r="DC123" s="107"/>
      <c r="DD123" s="107"/>
      <c r="DE123" s="107"/>
    </row>
    <row r="124" spans="47:109" ht="20.25" x14ac:dyDescent="0.4">
      <c r="AU124" s="475">
        <v>2</v>
      </c>
      <c r="AV124" s="387">
        <f>+AV123+25</f>
        <v>25</v>
      </c>
      <c r="AW124" s="17">
        <f>+AW123+$E$2</f>
        <v>25</v>
      </c>
      <c r="AX124" s="189">
        <f t="shared" si="88"/>
        <v>-219.88414769796276</v>
      </c>
      <c r="AY124" s="190">
        <f t="shared" si="89"/>
        <v>219.88414769796276</v>
      </c>
      <c r="AZ124" s="190">
        <f>+AZ123</f>
        <v>5.11585230203724</v>
      </c>
      <c r="BA124" s="189" t="b">
        <f t="shared" ref="BA124:BA145" si="90">IF(AZ124=AY124,AU124)</f>
        <v>0</v>
      </c>
      <c r="CG124" s="107"/>
      <c r="CH124" s="107"/>
      <c r="CI124" s="107"/>
      <c r="CJ124" s="107"/>
      <c r="CK124" s="107"/>
      <c r="CL124" s="194"/>
      <c r="CM124" s="107"/>
      <c r="CN124" s="107"/>
      <c r="CO124" s="107"/>
      <c r="CP124" s="107"/>
      <c r="CQ124" s="107"/>
      <c r="CR124" s="107"/>
      <c r="CS124" s="107"/>
      <c r="CT124" s="107"/>
      <c r="CU124" s="107"/>
      <c r="CV124" s="107"/>
      <c r="CW124" s="107"/>
      <c r="CX124" s="107"/>
      <c r="CY124" s="194"/>
      <c r="CZ124" s="107"/>
      <c r="DA124" s="107"/>
      <c r="DB124" s="107"/>
      <c r="DC124" s="107"/>
      <c r="DD124" s="107"/>
      <c r="DE124" s="107"/>
    </row>
    <row r="125" spans="47:109" ht="20.25" x14ac:dyDescent="0.4">
      <c r="AU125" s="475">
        <v>3</v>
      </c>
      <c r="AV125" s="387">
        <f t="shared" ref="AV125:AV145" si="91">+AV124+25</f>
        <v>50</v>
      </c>
      <c r="AW125" s="17">
        <f t="shared" ref="AW125:AW145" si="92">+AW124+$E$2</f>
        <v>50</v>
      </c>
      <c r="AX125" s="189">
        <f t="shared" si="88"/>
        <v>-194.88414769796276</v>
      </c>
      <c r="AY125" s="190">
        <f t="shared" si="89"/>
        <v>194.88414769796276</v>
      </c>
      <c r="AZ125" s="190">
        <f t="shared" ref="AZ125:AZ145" si="93">+AZ124</f>
        <v>5.11585230203724</v>
      </c>
      <c r="BA125" s="189" t="b">
        <f t="shared" si="90"/>
        <v>0</v>
      </c>
      <c r="CG125" s="195"/>
      <c r="CH125" s="195"/>
      <c r="CI125" s="195"/>
      <c r="CJ125" s="195"/>
      <c r="CK125" s="195"/>
      <c r="CL125" s="521"/>
      <c r="CM125" s="521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503"/>
      <c r="CY125" s="503"/>
      <c r="CZ125" s="107"/>
      <c r="DA125" s="107"/>
      <c r="DB125" s="107"/>
      <c r="DC125" s="107"/>
      <c r="DD125" s="107"/>
      <c r="DE125" s="107"/>
    </row>
    <row r="126" spans="47:109" ht="20.25" x14ac:dyDescent="0.4">
      <c r="AU126" s="475">
        <v>4</v>
      </c>
      <c r="AV126" s="387">
        <f t="shared" si="91"/>
        <v>75</v>
      </c>
      <c r="AW126" s="17">
        <f t="shared" si="92"/>
        <v>75</v>
      </c>
      <c r="AX126" s="189">
        <f t="shared" si="88"/>
        <v>-169.88414769796276</v>
      </c>
      <c r="AY126" s="190">
        <f t="shared" si="89"/>
        <v>169.88414769796276</v>
      </c>
      <c r="AZ126" s="190">
        <f t="shared" si="93"/>
        <v>5.11585230203724</v>
      </c>
      <c r="BA126" s="189" t="b">
        <f t="shared" si="90"/>
        <v>0</v>
      </c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  <c r="CT126" s="107"/>
      <c r="CU126" s="107"/>
      <c r="CV126" s="107"/>
      <c r="CW126" s="107"/>
      <c r="CX126" s="107"/>
      <c r="CY126" s="107"/>
      <c r="CZ126" s="107"/>
      <c r="DA126" s="107"/>
      <c r="DB126" s="107"/>
      <c r="DC126" s="107"/>
      <c r="DD126" s="107"/>
      <c r="DE126" s="107"/>
    </row>
    <row r="127" spans="47:109" ht="20.25" x14ac:dyDescent="0.4">
      <c r="AU127" s="475">
        <v>5</v>
      </c>
      <c r="AV127" s="387">
        <f t="shared" si="91"/>
        <v>100</v>
      </c>
      <c r="AW127" s="17">
        <f t="shared" si="92"/>
        <v>100</v>
      </c>
      <c r="AX127" s="189">
        <f t="shared" si="88"/>
        <v>-144.88414769796276</v>
      </c>
      <c r="AY127" s="190">
        <f t="shared" si="89"/>
        <v>144.88414769796276</v>
      </c>
      <c r="AZ127" s="190">
        <f t="shared" si="93"/>
        <v>5.11585230203724</v>
      </c>
      <c r="BA127" s="189" t="b">
        <f t="shared" si="90"/>
        <v>0</v>
      </c>
      <c r="CG127" s="107"/>
      <c r="CH127" s="107"/>
      <c r="CI127" s="107"/>
      <c r="CJ127" s="107"/>
      <c r="CK127" s="107"/>
      <c r="CL127" s="107"/>
      <c r="CM127" s="107"/>
      <c r="CN127" s="107"/>
      <c r="CO127" s="107"/>
      <c r="CP127" s="107"/>
      <c r="CQ127" s="107"/>
      <c r="CR127" s="107"/>
      <c r="CS127" s="107"/>
      <c r="CT127" s="107"/>
      <c r="CU127" s="107"/>
      <c r="CV127" s="107"/>
      <c r="CW127" s="107"/>
      <c r="CX127" s="107"/>
      <c r="CY127" s="107"/>
      <c r="CZ127" s="107"/>
      <c r="DA127" s="107"/>
      <c r="DB127" s="107"/>
      <c r="DC127" s="107"/>
      <c r="DD127" s="107"/>
      <c r="DE127" s="107"/>
    </row>
    <row r="128" spans="47:109" ht="20.25" x14ac:dyDescent="0.4">
      <c r="AU128" s="475">
        <v>6</v>
      </c>
      <c r="AV128" s="387">
        <f t="shared" si="91"/>
        <v>125</v>
      </c>
      <c r="AW128" s="17">
        <f t="shared" si="92"/>
        <v>125</v>
      </c>
      <c r="AX128" s="189">
        <f t="shared" si="88"/>
        <v>-119.88414769796276</v>
      </c>
      <c r="AY128" s="190">
        <f t="shared" si="89"/>
        <v>119.88414769796276</v>
      </c>
      <c r="AZ128" s="190">
        <f t="shared" si="93"/>
        <v>5.11585230203724</v>
      </c>
      <c r="BA128" s="189" t="b">
        <f t="shared" si="90"/>
        <v>0</v>
      </c>
      <c r="CG128" s="107"/>
      <c r="CH128" s="107"/>
      <c r="CI128" s="107"/>
      <c r="CJ128" s="107"/>
      <c r="CK128" s="107"/>
      <c r="CL128" s="107"/>
      <c r="CM128" s="107"/>
      <c r="CN128" s="107"/>
      <c r="CO128" s="107"/>
      <c r="CP128" s="107"/>
      <c r="CQ128" s="107"/>
      <c r="CR128" s="107"/>
      <c r="CS128" s="107"/>
      <c r="CT128" s="107"/>
      <c r="CU128" s="107"/>
      <c r="CV128" s="107"/>
      <c r="CW128" s="107"/>
      <c r="CX128" s="107"/>
      <c r="CY128" s="107"/>
      <c r="CZ128" s="107"/>
      <c r="DA128" s="107"/>
      <c r="DB128" s="107"/>
      <c r="DC128" s="107"/>
      <c r="DD128" s="107"/>
      <c r="DE128" s="107"/>
    </row>
    <row r="129" spans="47:109" ht="20.25" x14ac:dyDescent="0.4">
      <c r="AU129" s="475">
        <v>7</v>
      </c>
      <c r="AV129" s="387">
        <f t="shared" si="91"/>
        <v>150</v>
      </c>
      <c r="AW129" s="17">
        <f t="shared" si="92"/>
        <v>150</v>
      </c>
      <c r="AX129" s="189">
        <f t="shared" si="88"/>
        <v>-94.88414769796276</v>
      </c>
      <c r="AY129" s="190">
        <f t="shared" si="89"/>
        <v>94.88414769796276</v>
      </c>
      <c r="AZ129" s="190">
        <f t="shared" si="93"/>
        <v>5.11585230203724</v>
      </c>
      <c r="BA129" s="189" t="b">
        <f t="shared" si="90"/>
        <v>0</v>
      </c>
      <c r="CG129" s="107"/>
      <c r="CH129" s="107"/>
      <c r="CI129" s="107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7"/>
      <c r="CT129" s="107"/>
      <c r="CU129" s="107"/>
      <c r="CV129" s="107"/>
      <c r="CW129" s="107"/>
      <c r="CX129" s="107"/>
      <c r="CY129" s="107"/>
      <c r="CZ129" s="107"/>
      <c r="DA129" s="107"/>
      <c r="DB129" s="107"/>
      <c r="DC129" s="107"/>
      <c r="DD129" s="107"/>
      <c r="DE129" s="107"/>
    </row>
    <row r="130" spans="47:109" ht="20.25" x14ac:dyDescent="0.4">
      <c r="AU130" s="475">
        <v>8</v>
      </c>
      <c r="AV130" s="387">
        <f t="shared" si="91"/>
        <v>175</v>
      </c>
      <c r="AW130" s="17">
        <f t="shared" si="92"/>
        <v>175</v>
      </c>
      <c r="AX130" s="189">
        <f t="shared" si="88"/>
        <v>-69.88414769796276</v>
      </c>
      <c r="AY130" s="190">
        <f t="shared" si="89"/>
        <v>69.88414769796276</v>
      </c>
      <c r="AZ130" s="190">
        <f t="shared" si="93"/>
        <v>5.11585230203724</v>
      </c>
      <c r="BA130" s="189" t="b">
        <f t="shared" si="90"/>
        <v>0</v>
      </c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  <c r="CT130" s="107"/>
      <c r="CU130" s="107"/>
      <c r="CV130" s="107"/>
      <c r="CW130" s="107"/>
      <c r="CX130" s="107"/>
      <c r="CY130" s="107"/>
      <c r="CZ130" s="107"/>
      <c r="DA130" s="107"/>
      <c r="DB130" s="107"/>
      <c r="DC130" s="107"/>
      <c r="DD130" s="107"/>
      <c r="DE130" s="107"/>
    </row>
    <row r="131" spans="47:109" ht="20.25" x14ac:dyDescent="0.4">
      <c r="AU131" s="475">
        <v>9</v>
      </c>
      <c r="AV131" s="387">
        <f t="shared" si="91"/>
        <v>200</v>
      </c>
      <c r="AW131" s="17">
        <f t="shared" si="92"/>
        <v>200</v>
      </c>
      <c r="AX131" s="189">
        <f t="shared" si="88"/>
        <v>-44.88414769796276</v>
      </c>
      <c r="AY131" s="190">
        <f t="shared" si="89"/>
        <v>44.88414769796276</v>
      </c>
      <c r="AZ131" s="190">
        <f t="shared" si="93"/>
        <v>5.11585230203724</v>
      </c>
      <c r="BA131" s="189" t="b">
        <f t="shared" si="90"/>
        <v>0</v>
      </c>
      <c r="CG131" s="107"/>
      <c r="CH131" s="107"/>
      <c r="CI131" s="107"/>
      <c r="CJ131" s="107"/>
      <c r="CK131" s="107"/>
      <c r="CL131" s="107"/>
      <c r="CM131" s="107"/>
      <c r="CN131" s="107"/>
      <c r="CO131" s="107"/>
      <c r="CP131" s="107"/>
      <c r="CQ131" s="107"/>
      <c r="CR131" s="107"/>
      <c r="CS131" s="107"/>
      <c r="CT131" s="107"/>
      <c r="CU131" s="107"/>
      <c r="CV131" s="107"/>
      <c r="CW131" s="107"/>
      <c r="CX131" s="107"/>
      <c r="CY131" s="107"/>
      <c r="CZ131" s="107"/>
      <c r="DA131" s="107"/>
      <c r="DB131" s="107"/>
      <c r="DC131" s="107"/>
      <c r="DD131" s="107"/>
      <c r="DE131" s="107"/>
    </row>
    <row r="132" spans="47:109" ht="20.25" x14ac:dyDescent="0.4">
      <c r="AU132" s="475">
        <v>10</v>
      </c>
      <c r="AV132" s="387">
        <f t="shared" si="91"/>
        <v>225</v>
      </c>
      <c r="AW132" s="17">
        <f t="shared" si="92"/>
        <v>225</v>
      </c>
      <c r="AX132" s="189">
        <f t="shared" si="88"/>
        <v>-19.88414769796276</v>
      </c>
      <c r="AY132" s="190">
        <f t="shared" si="89"/>
        <v>19.88414769796276</v>
      </c>
      <c r="AZ132" s="190">
        <f t="shared" si="93"/>
        <v>5.11585230203724</v>
      </c>
      <c r="BA132" s="189" t="b">
        <f t="shared" si="90"/>
        <v>0</v>
      </c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  <c r="CT132" s="107"/>
      <c r="CU132" s="107"/>
      <c r="CV132" s="107"/>
      <c r="CW132" s="107"/>
      <c r="CX132" s="107"/>
      <c r="CY132" s="107"/>
      <c r="CZ132" s="107"/>
      <c r="DA132" s="107"/>
      <c r="DB132" s="107"/>
      <c r="DC132" s="107"/>
      <c r="DD132" s="107"/>
      <c r="DE132" s="107"/>
    </row>
    <row r="133" spans="47:109" ht="20.25" x14ac:dyDescent="0.4">
      <c r="AU133" s="475">
        <v>11</v>
      </c>
      <c r="AV133" s="387">
        <f t="shared" si="91"/>
        <v>250</v>
      </c>
      <c r="AW133" s="17">
        <f t="shared" si="92"/>
        <v>250</v>
      </c>
      <c r="AX133" s="189">
        <f t="shared" si="88"/>
        <v>5.11585230203724</v>
      </c>
      <c r="AY133" s="190">
        <f t="shared" si="89"/>
        <v>5.11585230203724</v>
      </c>
      <c r="AZ133" s="190">
        <f t="shared" si="93"/>
        <v>5.11585230203724</v>
      </c>
      <c r="BA133" s="189">
        <f t="shared" si="90"/>
        <v>11</v>
      </c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  <c r="CT133" s="107"/>
      <c r="CU133" s="107"/>
      <c r="CV133" s="107"/>
      <c r="CW133" s="107"/>
      <c r="CX133" s="107"/>
      <c r="CY133" s="107"/>
      <c r="CZ133" s="107"/>
      <c r="DA133" s="107"/>
      <c r="DB133" s="107"/>
      <c r="DC133" s="107"/>
      <c r="DD133" s="107"/>
      <c r="DE133" s="107"/>
    </row>
    <row r="134" spans="47:109" ht="20.25" x14ac:dyDescent="0.4">
      <c r="AU134" s="475">
        <v>12</v>
      </c>
      <c r="AV134" s="387">
        <f t="shared" si="91"/>
        <v>275</v>
      </c>
      <c r="AW134" s="17">
        <f t="shared" si="92"/>
        <v>275</v>
      </c>
      <c r="AX134" s="189">
        <f t="shared" si="88"/>
        <v>30.11585230203724</v>
      </c>
      <c r="AY134" s="190">
        <f t="shared" si="89"/>
        <v>30.11585230203724</v>
      </c>
      <c r="AZ134" s="190">
        <f t="shared" si="93"/>
        <v>5.11585230203724</v>
      </c>
      <c r="BA134" s="189" t="b">
        <f t="shared" si="90"/>
        <v>0</v>
      </c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7"/>
      <c r="DC134" s="107"/>
      <c r="DD134" s="107"/>
      <c r="DE134" s="107"/>
    </row>
    <row r="135" spans="47:109" ht="20.25" x14ac:dyDescent="0.4">
      <c r="AU135" s="475">
        <v>13</v>
      </c>
      <c r="AV135" s="387">
        <f t="shared" si="91"/>
        <v>300</v>
      </c>
      <c r="AW135" s="17">
        <f t="shared" si="92"/>
        <v>300</v>
      </c>
      <c r="AX135" s="189">
        <f t="shared" si="88"/>
        <v>55.11585230203724</v>
      </c>
      <c r="AY135" s="190">
        <f t="shared" si="89"/>
        <v>55.11585230203724</v>
      </c>
      <c r="AZ135" s="190">
        <f t="shared" si="93"/>
        <v>5.11585230203724</v>
      </c>
      <c r="BA135" s="189" t="b">
        <f t="shared" si="90"/>
        <v>0</v>
      </c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</row>
    <row r="136" spans="47:109" ht="20.25" x14ac:dyDescent="0.4">
      <c r="AU136" s="475">
        <v>14</v>
      </c>
      <c r="AV136" s="387">
        <f t="shared" si="91"/>
        <v>325</v>
      </c>
      <c r="AW136" s="17">
        <f t="shared" si="92"/>
        <v>325</v>
      </c>
      <c r="AX136" s="189">
        <f t="shared" si="88"/>
        <v>80.11585230203724</v>
      </c>
      <c r="AY136" s="190">
        <f t="shared" si="89"/>
        <v>80.11585230203724</v>
      </c>
      <c r="AZ136" s="190">
        <f t="shared" si="93"/>
        <v>5.11585230203724</v>
      </c>
      <c r="BA136" s="189" t="b">
        <f t="shared" si="90"/>
        <v>0</v>
      </c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</row>
    <row r="137" spans="47:109" ht="20.25" x14ac:dyDescent="0.4">
      <c r="AU137" s="475">
        <v>15</v>
      </c>
      <c r="AV137" s="387">
        <f t="shared" si="91"/>
        <v>350</v>
      </c>
      <c r="AW137" s="17">
        <f t="shared" si="92"/>
        <v>350</v>
      </c>
      <c r="AX137" s="189">
        <f t="shared" si="88"/>
        <v>105.11585230203724</v>
      </c>
      <c r="AY137" s="190">
        <f t="shared" si="89"/>
        <v>105.11585230203724</v>
      </c>
      <c r="AZ137" s="190">
        <f t="shared" si="93"/>
        <v>5.11585230203724</v>
      </c>
      <c r="BA137" s="189" t="b">
        <f t="shared" si="90"/>
        <v>0</v>
      </c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</row>
    <row r="138" spans="47:109" ht="20.25" x14ac:dyDescent="0.4">
      <c r="AU138" s="475">
        <v>16</v>
      </c>
      <c r="AV138" s="387">
        <f t="shared" si="91"/>
        <v>375</v>
      </c>
      <c r="AW138" s="17">
        <f t="shared" si="92"/>
        <v>375</v>
      </c>
      <c r="AX138" s="189">
        <f t="shared" si="88"/>
        <v>130.11585230203724</v>
      </c>
      <c r="AY138" s="190">
        <f t="shared" si="89"/>
        <v>130.11585230203724</v>
      </c>
      <c r="AZ138" s="190">
        <f t="shared" si="93"/>
        <v>5.11585230203724</v>
      </c>
      <c r="BA138" s="189" t="b">
        <f t="shared" si="90"/>
        <v>0</v>
      </c>
      <c r="CG138" s="107"/>
      <c r="CH138" s="107"/>
      <c r="CI138" s="107"/>
      <c r="CJ138" s="107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107"/>
      <c r="CV138" s="107"/>
      <c r="CW138" s="107"/>
      <c r="CX138" s="107"/>
      <c r="CY138" s="107"/>
      <c r="CZ138" s="107"/>
      <c r="DA138" s="107"/>
      <c r="DB138" s="107"/>
      <c r="DC138" s="107"/>
      <c r="DD138" s="107"/>
      <c r="DE138" s="107"/>
    </row>
    <row r="139" spans="47:109" ht="20.25" x14ac:dyDescent="0.4">
      <c r="AU139" s="475">
        <v>17</v>
      </c>
      <c r="AV139" s="387">
        <f t="shared" si="91"/>
        <v>400</v>
      </c>
      <c r="AW139" s="17">
        <f t="shared" si="92"/>
        <v>400</v>
      </c>
      <c r="AX139" s="189">
        <f t="shared" si="88"/>
        <v>155.11585230203724</v>
      </c>
      <c r="AY139" s="190">
        <f t="shared" si="89"/>
        <v>155.11585230203724</v>
      </c>
      <c r="AZ139" s="190">
        <f t="shared" si="93"/>
        <v>5.11585230203724</v>
      </c>
      <c r="BA139" s="189" t="b">
        <f t="shared" si="90"/>
        <v>0</v>
      </c>
    </row>
    <row r="140" spans="47:109" ht="20.25" x14ac:dyDescent="0.4">
      <c r="AU140" s="475">
        <v>18</v>
      </c>
      <c r="AV140" s="387">
        <f t="shared" si="91"/>
        <v>425</v>
      </c>
      <c r="AW140" s="17">
        <f t="shared" si="92"/>
        <v>425</v>
      </c>
      <c r="AX140" s="189">
        <f t="shared" si="88"/>
        <v>180.11585230203724</v>
      </c>
      <c r="AY140" s="190">
        <f t="shared" si="89"/>
        <v>180.11585230203724</v>
      </c>
      <c r="AZ140" s="190">
        <f t="shared" si="93"/>
        <v>5.11585230203724</v>
      </c>
      <c r="BA140" s="189" t="b">
        <f t="shared" si="90"/>
        <v>0</v>
      </c>
    </row>
    <row r="141" spans="47:109" ht="20.25" x14ac:dyDescent="0.4">
      <c r="AU141" s="475">
        <v>19</v>
      </c>
      <c r="AV141" s="387">
        <f t="shared" si="91"/>
        <v>450</v>
      </c>
      <c r="AW141" s="17">
        <f t="shared" si="92"/>
        <v>450</v>
      </c>
      <c r="AX141" s="189">
        <f t="shared" si="88"/>
        <v>205.11585230203724</v>
      </c>
      <c r="AY141" s="190">
        <f t="shared" si="89"/>
        <v>205.11585230203724</v>
      </c>
      <c r="AZ141" s="190">
        <f t="shared" si="93"/>
        <v>5.11585230203724</v>
      </c>
      <c r="BA141" s="189" t="b">
        <f t="shared" si="90"/>
        <v>0</v>
      </c>
    </row>
    <row r="142" spans="47:109" ht="20.25" x14ac:dyDescent="0.4">
      <c r="AU142" s="475">
        <v>20</v>
      </c>
      <c r="AV142" s="387">
        <f t="shared" si="91"/>
        <v>475</v>
      </c>
      <c r="AW142" s="17">
        <f t="shared" si="92"/>
        <v>475</v>
      </c>
      <c r="AX142" s="189">
        <f t="shared" si="88"/>
        <v>230.11585230203724</v>
      </c>
      <c r="AY142" s="190">
        <f t="shared" si="89"/>
        <v>230.11585230203724</v>
      </c>
      <c r="AZ142" s="190">
        <f t="shared" si="93"/>
        <v>5.11585230203724</v>
      </c>
      <c r="BA142" s="189" t="b">
        <f t="shared" si="90"/>
        <v>0</v>
      </c>
    </row>
    <row r="143" spans="47:109" ht="20.25" x14ac:dyDescent="0.4">
      <c r="AU143" s="475">
        <v>21</v>
      </c>
      <c r="AV143" s="387">
        <f t="shared" si="91"/>
        <v>500</v>
      </c>
      <c r="AW143" s="17">
        <f t="shared" si="92"/>
        <v>500</v>
      </c>
      <c r="AX143" s="189">
        <f t="shared" si="88"/>
        <v>255.11585230203724</v>
      </c>
      <c r="AY143" s="190">
        <f t="shared" si="89"/>
        <v>255.11585230203724</v>
      </c>
      <c r="AZ143" s="190">
        <f t="shared" si="93"/>
        <v>5.11585230203724</v>
      </c>
      <c r="BA143" s="189" t="b">
        <f t="shared" si="90"/>
        <v>0</v>
      </c>
    </row>
    <row r="144" spans="47:109" ht="20.25" x14ac:dyDescent="0.4">
      <c r="AU144" s="475">
        <v>22</v>
      </c>
      <c r="AV144" s="387">
        <f t="shared" si="91"/>
        <v>525</v>
      </c>
      <c r="AW144" s="17">
        <f t="shared" si="92"/>
        <v>525</v>
      </c>
      <c r="AX144" s="189">
        <f t="shared" si="88"/>
        <v>280.11585230203724</v>
      </c>
      <c r="AY144" s="190">
        <f t="shared" si="89"/>
        <v>280.11585230203724</v>
      </c>
      <c r="AZ144" s="190">
        <f t="shared" si="93"/>
        <v>5.11585230203724</v>
      </c>
      <c r="BA144" s="189" t="b">
        <f t="shared" si="90"/>
        <v>0</v>
      </c>
    </row>
    <row r="145" spans="47:109" ht="21" thickBot="1" x14ac:dyDescent="0.45">
      <c r="AU145" s="476">
        <v>23</v>
      </c>
      <c r="AV145" s="477">
        <f t="shared" si="91"/>
        <v>550</v>
      </c>
      <c r="AW145" s="478">
        <f t="shared" si="92"/>
        <v>550</v>
      </c>
      <c r="AX145" s="479">
        <f t="shared" si="88"/>
        <v>305.11585230203724</v>
      </c>
      <c r="AY145" s="480">
        <f t="shared" si="89"/>
        <v>305.11585230203724</v>
      </c>
      <c r="AZ145" s="480">
        <f t="shared" si="93"/>
        <v>5.11585230203724</v>
      </c>
      <c r="BA145" s="479" t="b">
        <f t="shared" si="90"/>
        <v>0</v>
      </c>
    </row>
    <row r="147" spans="47:109" x14ac:dyDescent="0.25">
      <c r="CG147" s="109"/>
      <c r="CH147" s="109"/>
      <c r="CI147" s="109"/>
      <c r="CJ147" s="109"/>
      <c r="CK147" s="109"/>
      <c r="CL147" s="109"/>
      <c r="CM147" s="109"/>
      <c r="CN147" s="109"/>
      <c r="CO147" s="109"/>
      <c r="CP147" s="109"/>
      <c r="CQ147" s="109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9"/>
      <c r="DC147" s="109"/>
      <c r="DD147" s="109"/>
      <c r="DE147" s="107"/>
    </row>
    <row r="148" spans="47:109" x14ac:dyDescent="0.25">
      <c r="CG148" s="107"/>
      <c r="CH148" s="107"/>
      <c r="CI148" s="107"/>
      <c r="CJ148" s="107"/>
      <c r="CK148" s="107"/>
      <c r="CL148" s="107"/>
      <c r="CM148" s="107"/>
      <c r="CN148" s="107"/>
      <c r="CO148" s="107"/>
      <c r="CP148" s="107"/>
      <c r="CQ148" s="107"/>
      <c r="CR148" s="107"/>
      <c r="CS148" s="107"/>
      <c r="CT148" s="107"/>
      <c r="CU148" s="107"/>
      <c r="CV148" s="107"/>
      <c r="CW148" s="107"/>
      <c r="CX148" s="107"/>
      <c r="CY148" s="107"/>
      <c r="CZ148" s="107"/>
      <c r="DA148" s="107"/>
      <c r="DB148" s="107"/>
      <c r="DC148" s="107"/>
      <c r="DD148" s="107"/>
      <c r="DE148" s="107"/>
    </row>
    <row r="149" spans="47:109" x14ac:dyDescent="0.25">
      <c r="CG149" s="201"/>
      <c r="CH149" s="201"/>
      <c r="CI149" s="201"/>
      <c r="CJ149" s="201"/>
      <c r="CK149" s="201"/>
      <c r="CL149" s="201"/>
      <c r="CM149" s="108"/>
      <c r="CN149" s="108"/>
      <c r="CO149" s="108"/>
      <c r="CP149" s="108"/>
      <c r="CQ149" s="108"/>
      <c r="CR149" s="201"/>
      <c r="CS149" s="201"/>
      <c r="CT149" s="201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7"/>
    </row>
    <row r="150" spans="47:109" x14ac:dyDescent="0.25">
      <c r="CG150" s="201"/>
      <c r="CH150" s="201"/>
      <c r="CI150" s="201"/>
      <c r="CJ150" s="201"/>
      <c r="CK150" s="201"/>
      <c r="CL150" s="201"/>
      <c r="CM150" s="107"/>
      <c r="CN150" s="107"/>
      <c r="CO150" s="107"/>
      <c r="CP150" s="107"/>
      <c r="CQ150" s="201"/>
      <c r="CR150" s="201"/>
      <c r="CS150" s="201"/>
      <c r="CT150" s="201"/>
      <c r="CU150" s="107"/>
      <c r="CV150" s="107"/>
      <c r="CW150" s="107"/>
      <c r="CX150" s="107"/>
      <c r="CY150" s="201"/>
      <c r="CZ150" s="201"/>
      <c r="DA150" s="201"/>
      <c r="DB150" s="201"/>
      <c r="DC150" s="201"/>
      <c r="DD150" s="201"/>
      <c r="DE150" s="107"/>
    </row>
    <row r="151" spans="47:109" x14ac:dyDescent="0.25"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</row>
    <row r="152" spans="47:109" x14ac:dyDescent="0.25"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</row>
  </sheetData>
  <sheetProtection password="CC22" sheet="1" objects="1" scenarios="1" selectLockedCells="1"/>
  <protectedRanges>
    <protectedRange sqref="B78 B81 B102" name="Range1"/>
  </protectedRanges>
  <mergeCells count="16">
    <mergeCell ref="AZ102:BA102"/>
    <mergeCell ref="CL123:CN123"/>
    <mergeCell ref="B75:B77"/>
    <mergeCell ref="D77:D78"/>
    <mergeCell ref="D75:D76"/>
    <mergeCell ref="BD28:BD29"/>
    <mergeCell ref="BI78:BK78"/>
    <mergeCell ref="W81:AA81"/>
    <mergeCell ref="AZ81:BA81"/>
    <mergeCell ref="BG26:BH26"/>
    <mergeCell ref="BE29:BF29"/>
    <mergeCell ref="BZ29:CA29"/>
    <mergeCell ref="CL125:CM125"/>
    <mergeCell ref="CX125:CY125"/>
    <mergeCell ref="BI80:BJ80"/>
    <mergeCell ref="BU80:BV80"/>
  </mergeCells>
  <conditionalFormatting sqref="AB26:AE26 U26 AB29:AE34 U29:U34 AB60:AE65 U60:U65">
    <cfRule type="cellIs" dxfId="110" priority="136" stopIfTrue="1" operator="between">
      <formula>"OVERLOAD"</formula>
      <formula>"OVERLOAD"</formula>
    </cfRule>
  </conditionalFormatting>
  <conditionalFormatting sqref="CG147:DD147">
    <cfRule type="cellIs" dxfId="109" priority="135" stopIfTrue="1" operator="equal">
      <formula>FALSE</formula>
    </cfRule>
  </conditionalFormatting>
  <conditionalFormatting sqref="D84 K84:O84 T84:Y84 AB84">
    <cfRule type="expression" dxfId="108" priority="129" stopIfTrue="1">
      <formula>$B$81&lt;1</formula>
    </cfRule>
  </conditionalFormatting>
  <conditionalFormatting sqref="AX85:BA85 D85 J85:AB85">
    <cfRule type="expression" dxfId="107" priority="127" stopIfTrue="1">
      <formula>$B$81&lt;2</formula>
    </cfRule>
  </conditionalFormatting>
  <conditionalFormatting sqref="AX86:BA86 D86 J86:AB86">
    <cfRule type="expression" dxfId="106" priority="126" stopIfTrue="1">
      <formula>$B$81&lt;3</formula>
    </cfRule>
  </conditionalFormatting>
  <conditionalFormatting sqref="AX87:BA87 D87 J87:AB87">
    <cfRule type="expression" dxfId="105" priority="125" stopIfTrue="1">
      <formula>$B$81&lt;4</formula>
    </cfRule>
  </conditionalFormatting>
  <conditionalFormatting sqref="AX88:BA88 D88 J88:AB88">
    <cfRule type="expression" dxfId="104" priority="124" stopIfTrue="1">
      <formula>$B$81&lt;5</formula>
    </cfRule>
  </conditionalFormatting>
  <conditionalFormatting sqref="AX89:BA89 D89 J89:AB89">
    <cfRule type="expression" dxfId="103" priority="123" stopIfTrue="1">
      <formula>$B$81&lt;6</formula>
    </cfRule>
  </conditionalFormatting>
  <conditionalFormatting sqref="AX90:BA90 D90 J90:AB90">
    <cfRule type="expression" dxfId="102" priority="122" stopIfTrue="1">
      <formula>$B$81&lt;7</formula>
    </cfRule>
  </conditionalFormatting>
  <conditionalFormatting sqref="AX91:BA91 D91 J91:AB91">
    <cfRule type="expression" dxfId="101" priority="121" stopIfTrue="1">
      <formula>$B$81&lt;8</formula>
    </cfRule>
  </conditionalFormatting>
  <conditionalFormatting sqref="AX92:BA92 D92 J92:AB92">
    <cfRule type="expression" dxfId="100" priority="120" stopIfTrue="1">
      <formula>$B$81&lt;9</formula>
    </cfRule>
  </conditionalFormatting>
  <conditionalFormatting sqref="AX93:BA93 D93 J93:AB93">
    <cfRule type="expression" dxfId="99" priority="96" stopIfTrue="1">
      <formula>$B$81&lt;10</formula>
    </cfRule>
  </conditionalFormatting>
  <conditionalFormatting sqref="AX94:BA94 D94 J94:AB94">
    <cfRule type="expression" dxfId="98" priority="83" stopIfTrue="1">
      <formula>$B$81&lt;11</formula>
    </cfRule>
  </conditionalFormatting>
  <conditionalFormatting sqref="AX95:BA95 D95 J95:AB95">
    <cfRule type="expression" dxfId="97" priority="70" stopIfTrue="1">
      <formula>$B$81&lt;12</formula>
    </cfRule>
  </conditionalFormatting>
  <conditionalFormatting sqref="E75:G76 D75 D77">
    <cfRule type="cellIs" dxfId="96" priority="132" stopIfTrue="1" operator="equal">
      <formula>"change the angle of frame"</formula>
    </cfRule>
  </conditionalFormatting>
  <conditionalFormatting sqref="E78:G78">
    <cfRule type="cellIs" dxfId="95" priority="133" stopIfTrue="1" operator="equal">
      <formula>"USE EXBAR VR AT THE BACK"</formula>
    </cfRule>
  </conditionalFormatting>
  <conditionalFormatting sqref="E77:G77 E78">
    <cfRule type="cellIs" dxfId="94" priority="134" stopIfTrue="1" operator="equal">
      <formula>"USE EXBAR VR AT THE FRONT"</formula>
    </cfRule>
  </conditionalFormatting>
  <conditionalFormatting sqref="B84:B95">
    <cfRule type="cellIs" dxfId="93" priority="130" stopIfTrue="1" operator="greaterThan">
      <formula>$B$81</formula>
    </cfRule>
  </conditionalFormatting>
  <conditionalFormatting sqref="B106:C106 AQ106:BA106 E106:F106 J106:AO106">
    <cfRule type="expression" dxfId="92" priority="115" stopIfTrue="1">
      <formula>$B$102&lt;2</formula>
    </cfRule>
  </conditionalFormatting>
  <conditionalFormatting sqref="B107:C107 AQ107:BA107 E107:F107 J107:AO107">
    <cfRule type="expression" dxfId="91" priority="114" stopIfTrue="1">
      <formula>$B$102&lt;3</formula>
    </cfRule>
  </conditionalFormatting>
  <conditionalFormatting sqref="B108:C108 AQ108:BA108 E108:F108 J108:AO108">
    <cfRule type="expression" dxfId="90" priority="113" stopIfTrue="1">
      <formula>$B$102&lt;4</formula>
    </cfRule>
  </conditionalFormatting>
  <conditionalFormatting sqref="B109:C109 AQ109:BA109 E109:F109 J109:AO109">
    <cfRule type="expression" dxfId="89" priority="112" stopIfTrue="1">
      <formula>$B$102&lt;5</formula>
    </cfRule>
  </conditionalFormatting>
  <conditionalFormatting sqref="B110:C110 AQ110:BA110 E110:F110 J110:AO110">
    <cfRule type="expression" dxfId="88" priority="111">
      <formula>$B$102&lt;6</formula>
    </cfRule>
  </conditionalFormatting>
  <conditionalFormatting sqref="E84">
    <cfRule type="expression" dxfId="87" priority="95" stopIfTrue="1">
      <formula>$B$81&lt;1</formula>
    </cfRule>
  </conditionalFormatting>
  <conditionalFormatting sqref="E85">
    <cfRule type="expression" dxfId="86" priority="94" stopIfTrue="1">
      <formula>$B$81&lt;2</formula>
    </cfRule>
  </conditionalFormatting>
  <conditionalFormatting sqref="E86">
    <cfRule type="expression" dxfId="85" priority="93" stopIfTrue="1">
      <formula>$B$81&lt;3</formula>
    </cfRule>
  </conditionalFormatting>
  <conditionalFormatting sqref="E87">
    <cfRule type="expression" dxfId="84" priority="92" stopIfTrue="1">
      <formula>$B$81&lt;4</formula>
    </cfRule>
  </conditionalFormatting>
  <conditionalFormatting sqref="E88">
    <cfRule type="expression" dxfId="83" priority="91" stopIfTrue="1">
      <formula>$B$81&lt;5</formula>
    </cfRule>
  </conditionalFormatting>
  <conditionalFormatting sqref="E89">
    <cfRule type="expression" dxfId="82" priority="90" stopIfTrue="1">
      <formula>$B$81&lt;6</formula>
    </cfRule>
  </conditionalFormatting>
  <conditionalFormatting sqref="E90">
    <cfRule type="expression" dxfId="81" priority="89" stopIfTrue="1">
      <formula>$B$81&lt;7</formula>
    </cfRule>
  </conditionalFormatting>
  <conditionalFormatting sqref="E91">
    <cfRule type="expression" dxfId="80" priority="88" stopIfTrue="1">
      <formula>$B$81&lt;8</formula>
    </cfRule>
  </conditionalFormatting>
  <conditionalFormatting sqref="E92">
    <cfRule type="expression" dxfId="79" priority="87" stopIfTrue="1">
      <formula>$B$81&lt;9</formula>
    </cfRule>
  </conditionalFormatting>
  <conditionalFormatting sqref="E93">
    <cfRule type="expression" dxfId="78" priority="86" stopIfTrue="1">
      <formula>$B$81&lt;10</formula>
    </cfRule>
  </conditionalFormatting>
  <conditionalFormatting sqref="E94">
    <cfRule type="expression" dxfId="77" priority="85" stopIfTrue="1">
      <formula>$B$81&lt;11</formula>
    </cfRule>
  </conditionalFormatting>
  <conditionalFormatting sqref="E95">
    <cfRule type="expression" dxfId="76" priority="84" stopIfTrue="1">
      <formula>$B$81&lt;12</formula>
    </cfRule>
  </conditionalFormatting>
  <conditionalFormatting sqref="AZ84:BA95">
    <cfRule type="cellIs" dxfId="75" priority="128" stopIfTrue="1" operator="lessThan">
      <formula>10</formula>
    </cfRule>
  </conditionalFormatting>
  <conditionalFormatting sqref="AZ105:BA110">
    <cfRule type="cellIs" dxfId="74" priority="117" stopIfTrue="1" operator="lessThan">
      <formula>10</formula>
    </cfRule>
  </conditionalFormatting>
  <conditionalFormatting sqref="F84:G84">
    <cfRule type="expression" dxfId="73" priority="82" stopIfTrue="1">
      <formula>$B$81&lt;1</formula>
    </cfRule>
  </conditionalFormatting>
  <conditionalFormatting sqref="F85:G85">
    <cfRule type="expression" dxfId="72" priority="81" stopIfTrue="1">
      <formula>$B$81&lt;2</formula>
    </cfRule>
  </conditionalFormatting>
  <conditionalFormatting sqref="F86:G86">
    <cfRule type="expression" dxfId="71" priority="80" stopIfTrue="1">
      <formula>$B$81&lt;3</formula>
    </cfRule>
  </conditionalFormatting>
  <conditionalFormatting sqref="F87:G87">
    <cfRule type="expression" dxfId="70" priority="79" stopIfTrue="1">
      <formula>$B$81&lt;4</formula>
    </cfRule>
  </conditionalFormatting>
  <conditionalFormatting sqref="F88:G88">
    <cfRule type="expression" dxfId="69" priority="78" stopIfTrue="1">
      <formula>$B$81&lt;5</formula>
    </cfRule>
  </conditionalFormatting>
  <conditionalFormatting sqref="F89:G89">
    <cfRule type="expression" dxfId="68" priority="77" stopIfTrue="1">
      <formula>$B$81&lt;6</formula>
    </cfRule>
  </conditionalFormatting>
  <conditionalFormatting sqref="F90:G90">
    <cfRule type="expression" dxfId="67" priority="76" stopIfTrue="1">
      <formula>$B$81&lt;7</formula>
    </cfRule>
  </conditionalFormatting>
  <conditionalFormatting sqref="F91:G91">
    <cfRule type="expression" dxfId="66" priority="75" stopIfTrue="1">
      <formula>$B$81&lt;8</formula>
    </cfRule>
  </conditionalFormatting>
  <conditionalFormatting sqref="F92:G92">
    <cfRule type="expression" dxfId="65" priority="74" stopIfTrue="1">
      <formula>$B$81&lt;9</formula>
    </cfRule>
  </conditionalFormatting>
  <conditionalFormatting sqref="F93:G93">
    <cfRule type="expression" dxfId="64" priority="73" stopIfTrue="1">
      <formula>$B$81&lt;10</formula>
    </cfRule>
  </conditionalFormatting>
  <conditionalFormatting sqref="F94:G94">
    <cfRule type="expression" dxfId="63" priority="72" stopIfTrue="1">
      <formula>$B$81&lt;11</formula>
    </cfRule>
  </conditionalFormatting>
  <conditionalFormatting sqref="F95:G95">
    <cfRule type="expression" dxfId="62" priority="71" stopIfTrue="1">
      <formula>$B$81&lt;12</formula>
    </cfRule>
  </conditionalFormatting>
  <conditionalFormatting sqref="D84:D95">
    <cfRule type="cellIs" dxfId="61" priority="131" stopIfTrue="1" operator="notEqual">
      <formula>0</formula>
    </cfRule>
  </conditionalFormatting>
  <conditionalFormatting sqref="Z84:AA84">
    <cfRule type="expression" dxfId="60" priority="69" stopIfTrue="1">
      <formula>$B$84&lt;1</formula>
    </cfRule>
  </conditionalFormatting>
  <conditionalFormatting sqref="AD85:AD95">
    <cfRule type="expression" dxfId="59" priority="64" stopIfTrue="1">
      <formula>$B$84&lt;1</formula>
    </cfRule>
  </conditionalFormatting>
  <conditionalFormatting sqref="AC84:AD84">
    <cfRule type="expression" dxfId="58" priority="68" stopIfTrue="1">
      <formula>$B$84&lt;1</formula>
    </cfRule>
  </conditionalFormatting>
  <conditionalFormatting sqref="AD84:AD95">
    <cfRule type="expression" dxfId="57" priority="67" stopIfTrue="1">
      <formula>$B$84&lt;1</formula>
    </cfRule>
  </conditionalFormatting>
  <conditionalFormatting sqref="AD85:AD95">
    <cfRule type="expression" dxfId="56" priority="66" stopIfTrue="1">
      <formula>$B$84&lt;1</formula>
    </cfRule>
  </conditionalFormatting>
  <conditionalFormatting sqref="AC85:AC95">
    <cfRule type="expression" dxfId="55" priority="65" stopIfTrue="1">
      <formula>$B$84&lt;1</formula>
    </cfRule>
  </conditionalFormatting>
  <conditionalFormatting sqref="AD85:AD95">
    <cfRule type="expression" dxfId="54" priority="63" stopIfTrue="1">
      <formula>$B$84&lt;1</formula>
    </cfRule>
  </conditionalFormatting>
  <conditionalFormatting sqref="AE84">
    <cfRule type="expression" dxfId="53" priority="62" stopIfTrue="1">
      <formula>$B$84&lt;1</formula>
    </cfRule>
  </conditionalFormatting>
  <conditionalFormatting sqref="AE85:AE95">
    <cfRule type="expression" dxfId="52" priority="61" stopIfTrue="1">
      <formula>$B$84&lt;1</formula>
    </cfRule>
  </conditionalFormatting>
  <conditionalFormatting sqref="C65">
    <cfRule type="cellIs" dxfId="51" priority="60" stopIfTrue="1" operator="between">
      <formula>"OVERLOAD"</formula>
      <formula>"OVERLOAD"</formula>
    </cfRule>
  </conditionalFormatting>
  <conditionalFormatting sqref="BA123">
    <cfRule type="cellIs" dxfId="50" priority="54" stopIfTrue="1" operator="equal">
      <formula>FALSE</formula>
    </cfRule>
  </conditionalFormatting>
  <conditionalFormatting sqref="BA124:BA145">
    <cfRule type="cellIs" dxfId="49" priority="49" stopIfTrue="1" operator="equal">
      <formula>FALSE</formula>
    </cfRule>
  </conditionalFormatting>
  <conditionalFormatting sqref="B112:C112 AQ112:BA112 E112:F112 J112:AO112">
    <cfRule type="expression" dxfId="48" priority="25">
      <formula>$B$102&lt;8</formula>
    </cfRule>
  </conditionalFormatting>
  <conditionalFormatting sqref="AZ111:BA112">
    <cfRule type="cellIs" dxfId="47" priority="26" stopIfTrue="1" operator="lessThan">
      <formula>10</formula>
    </cfRule>
  </conditionalFormatting>
  <conditionalFormatting sqref="B111:C111 AQ111:BA111 E111:F111 J111:AO111">
    <cfRule type="expression" dxfId="46" priority="24">
      <formula>$B$102&lt;7</formula>
    </cfRule>
  </conditionalFormatting>
  <conditionalFormatting sqref="D105">
    <cfRule type="cellIs" dxfId="45" priority="22" operator="notEqual">
      <formula>0</formula>
    </cfRule>
  </conditionalFormatting>
  <conditionalFormatting sqref="D106">
    <cfRule type="cellIs" dxfId="44" priority="21" operator="notEqual">
      <formula>0</formula>
    </cfRule>
  </conditionalFormatting>
  <conditionalFormatting sqref="D107">
    <cfRule type="cellIs" dxfId="43" priority="19" operator="notEqual">
      <formula>0</formula>
    </cfRule>
  </conditionalFormatting>
  <conditionalFormatting sqref="D108">
    <cfRule type="cellIs" dxfId="42" priority="17" operator="notEqual">
      <formula>0</formula>
    </cfRule>
  </conditionalFormatting>
  <conditionalFormatting sqref="D109">
    <cfRule type="cellIs" dxfId="41" priority="15" operator="notEqual">
      <formula>0</formula>
    </cfRule>
  </conditionalFormatting>
  <conditionalFormatting sqref="D110:D112">
    <cfRule type="cellIs" dxfId="40" priority="13" operator="notEqual">
      <formula>0</formula>
    </cfRule>
  </conditionalFormatting>
  <conditionalFormatting sqref="BD101:CA102">
    <cfRule type="cellIs" dxfId="39" priority="8" stopIfTrue="1" operator="equal">
      <formula>FALSE</formula>
    </cfRule>
  </conditionalFormatting>
  <conditionalFormatting sqref="D106:D112">
    <cfRule type="expression" dxfId="38" priority="442">
      <formula>#REF!&lt;2</formula>
    </cfRule>
  </conditionalFormatting>
  <conditionalFormatting sqref="BE54">
    <cfRule type="cellIs" dxfId="37" priority="5" operator="equal">
      <formula>0</formula>
    </cfRule>
    <cfRule type="expression" dxfId="36" priority="6">
      <formula>$B$78=0</formula>
    </cfRule>
  </conditionalFormatting>
  <conditionalFormatting sqref="BF54:CA54">
    <cfRule type="cellIs" dxfId="35" priority="3" operator="equal">
      <formula>0</formula>
    </cfRule>
    <cfRule type="expression" dxfId="34" priority="4">
      <formula>$B$78=0</formula>
    </cfRule>
  </conditionalFormatting>
  <conditionalFormatting sqref="D74">
    <cfRule type="cellIs" dxfId="33" priority="2" operator="equal">
      <formula>"WLL of FRV APS is exceeded"</formula>
    </cfRule>
  </conditionalFormatting>
  <conditionalFormatting sqref="BC74">
    <cfRule type="cellIs" dxfId="32" priority="1" operator="equal">
      <formula>"WLL=180kg"</formula>
    </cfRule>
  </conditionalFormatting>
  <dataValidations count="6">
    <dataValidation type="decimal" allowBlank="1" showInputMessage="1" showErrorMessage="1" sqref="B78">
      <formula1>-89.9</formula1>
      <formula2>89.9</formula2>
    </dataValidation>
    <dataValidation type="custom" allowBlank="1" showInputMessage="1" showErrorMessage="1" sqref="D84:D95">
      <formula1>OR(D84=0,D84=2.5,D84=5)</formula1>
    </dataValidation>
    <dataValidation type="whole" allowBlank="1" showInputMessage="1" showErrorMessage="1" errorTitle="Coda Audio" error="YOU HAVE ENTERED A WRONG NUMBER OF CABINETS" promptTitle="Coda Audio" prompt="ENTER THE NUMBER OF CABINETS FROM 1 UP TO 4" sqref="B102">
      <formula1>1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3" sqref="B81">
      <formula1>1</formula1>
      <formula2>3</formula2>
    </dataValidation>
    <dataValidation type="decimal" allowBlank="1" showInputMessage="1" showErrorMessage="1" sqref="G85:G95 F107:F112 F86:F95">
      <formula1>0</formula1>
      <formula2>8</formula2>
    </dataValidation>
    <dataValidation type="decimal" allowBlank="1" showInputMessage="1" showErrorMessage="1" sqref="F84:G84 F105:G105 G106:G112">
      <formula1>0</formula1>
      <formula2>4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ignoredErrors>
    <ignoredError sqref="BL54 BJ54 BV54 BT54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75"/>
  <sheetViews>
    <sheetView tabSelected="1" topLeftCell="A53" zoomScale="50" zoomScaleNormal="50" workbookViewId="0">
      <selection activeCell="B100" sqref="B100"/>
    </sheetView>
  </sheetViews>
  <sheetFormatPr baseColWidth="10" defaultColWidth="9.140625" defaultRowHeight="15.75" x14ac:dyDescent="0.25"/>
  <cols>
    <col min="1" max="1" width="3" style="14" customWidth="1"/>
    <col min="2" max="2" width="34.42578125" style="11" customWidth="1"/>
    <col min="3" max="3" width="19.5703125" style="11" hidden="1" customWidth="1"/>
    <col min="4" max="4" width="28" style="13" customWidth="1"/>
    <col min="5" max="6" width="15" style="13" hidden="1" customWidth="1"/>
    <col min="7" max="7" width="8.85546875" style="13" hidden="1" customWidth="1"/>
    <col min="8" max="20" width="11.42578125" style="14" hidden="1" customWidth="1"/>
    <col min="21" max="21" width="15.85546875" style="14" hidden="1" customWidth="1"/>
    <col min="22" max="22" width="13.28515625" style="14" hidden="1" customWidth="1"/>
    <col min="23" max="23" width="37.140625" style="14" hidden="1" customWidth="1"/>
    <col min="24" max="24" width="33.85546875" style="14" hidden="1" customWidth="1"/>
    <col min="25" max="25" width="12.42578125" style="14" hidden="1" customWidth="1"/>
    <col min="26" max="26" width="14.28515625" style="14" hidden="1" customWidth="1"/>
    <col min="27" max="27" width="15.5703125" style="14" hidden="1" customWidth="1"/>
    <col min="28" max="28" width="21.5703125" style="14" hidden="1" customWidth="1"/>
    <col min="29" max="29" width="14.28515625" style="14" hidden="1" customWidth="1"/>
    <col min="30" max="30" width="15.5703125" style="14" hidden="1" customWidth="1"/>
    <col min="31" max="31" width="18.85546875" style="14" hidden="1" customWidth="1"/>
    <col min="32" max="32" width="29.7109375" style="14" hidden="1" customWidth="1"/>
    <col min="33" max="33" width="15.5703125" style="14" hidden="1" customWidth="1"/>
    <col min="34" max="34" width="16.28515625" style="14" hidden="1" customWidth="1"/>
    <col min="35" max="35" width="15.5703125" style="14" hidden="1" customWidth="1"/>
    <col min="36" max="37" width="16.28515625" style="14" hidden="1" customWidth="1"/>
    <col min="38" max="38" width="10.28515625" style="14" hidden="1" customWidth="1"/>
    <col min="39" max="39" width="9" style="14" hidden="1" customWidth="1"/>
    <col min="40" max="40" width="9.5703125" style="14" hidden="1" customWidth="1"/>
    <col min="41" max="41" width="8.85546875" style="14" hidden="1" customWidth="1"/>
    <col min="42" max="42" width="17.7109375" style="14" hidden="1" customWidth="1"/>
    <col min="43" max="43" width="17.42578125" style="14" hidden="1" customWidth="1"/>
    <col min="44" max="44" width="11.85546875" style="14" hidden="1" customWidth="1"/>
    <col min="45" max="45" width="14.85546875" style="14" hidden="1" customWidth="1"/>
    <col min="46" max="46" width="4.42578125" style="14" hidden="1" customWidth="1"/>
    <col min="47" max="47" width="6.42578125" style="14" hidden="1" customWidth="1"/>
    <col min="48" max="48" width="46.28515625" style="14" hidden="1" customWidth="1"/>
    <col min="49" max="49" width="16.28515625" style="14" hidden="1" customWidth="1"/>
    <col min="50" max="51" width="15.5703125" style="14" hidden="1" customWidth="1"/>
    <col min="52" max="52" width="8.7109375" style="14" hidden="1" customWidth="1"/>
    <col min="53" max="53" width="38.85546875" style="14" hidden="1" customWidth="1"/>
    <col min="54" max="54" width="8.85546875" style="14" hidden="1" customWidth="1"/>
    <col min="55" max="55" width="14.5703125" style="14" hidden="1" customWidth="1"/>
    <col min="56" max="56" width="33.5703125" style="14" hidden="1" customWidth="1"/>
    <col min="57" max="57" width="29.140625" style="14" customWidth="1"/>
    <col min="58" max="58" width="7.140625" style="14" hidden="1" customWidth="1"/>
    <col min="59" max="73" width="8.42578125" style="14" customWidth="1"/>
    <col min="74" max="84" width="7.140625" style="14" customWidth="1"/>
    <col min="85" max="85" width="7.7109375" style="14" customWidth="1"/>
    <col min="86" max="86" width="16" style="14" customWidth="1"/>
    <col min="87" max="87" width="41" style="14" hidden="1" customWidth="1"/>
    <col min="88" max="88" width="18" style="14" bestFit="1" customWidth="1"/>
    <col min="89" max="89" width="11.42578125" style="14" hidden="1" customWidth="1"/>
    <col min="90" max="96" width="0" style="14" hidden="1" customWidth="1"/>
    <col min="97" max="97" width="41" style="14" hidden="1" customWidth="1"/>
    <col min="98" max="98" width="0" style="14" hidden="1" customWidth="1"/>
    <col min="99" max="99" width="11.42578125" style="14" hidden="1" customWidth="1"/>
    <col min="100" max="121" width="0" style="14" hidden="1" customWidth="1"/>
    <col min="122" max="16384" width="9.140625" style="14"/>
  </cols>
  <sheetData>
    <row r="1" spans="2:7" ht="18" hidden="1" x14ac:dyDescent="0.25">
      <c r="D1" s="12" t="s">
        <v>71</v>
      </c>
      <c r="E1" s="12" t="s">
        <v>72</v>
      </c>
      <c r="F1" s="12" t="s">
        <v>73</v>
      </c>
    </row>
    <row r="2" spans="2:7" ht="20.25" hidden="1" x14ac:dyDescent="0.3">
      <c r="B2" s="15" t="s">
        <v>23</v>
      </c>
      <c r="C2" s="354">
        <v>420</v>
      </c>
      <c r="D2" s="352">
        <f>+COS(($B$100*-1)*3.14159265358979/180)*C2</f>
        <v>420</v>
      </c>
      <c r="E2" s="353">
        <f>+COS(($B$100*-1)*3.14159265358979/180)*30</f>
        <v>30</v>
      </c>
      <c r="F2" s="355">
        <f>+COS((($B$100*-1)+33.8151679)*3.14159265358979/180)*56.5348</f>
        <v>46.971213359103956</v>
      </c>
    </row>
    <row r="3" spans="2:7" ht="20.25" hidden="1" x14ac:dyDescent="0.3">
      <c r="B3" s="15" t="s">
        <v>92</v>
      </c>
      <c r="C3" s="357">
        <f>+C15-46.9712</f>
        <v>202.02699901470419</v>
      </c>
      <c r="D3" s="16">
        <f>+C15-F2</f>
        <v>202.02698565560024</v>
      </c>
    </row>
    <row r="4" spans="2:7" ht="54.75" hidden="1" x14ac:dyDescent="0.3">
      <c r="B4" s="423" t="s">
        <v>75</v>
      </c>
      <c r="C4" s="424"/>
      <c r="D4" s="425"/>
    </row>
    <row r="5" spans="2:7" ht="36.75" hidden="1" x14ac:dyDescent="0.3">
      <c r="B5" s="423" t="s">
        <v>76</v>
      </c>
      <c r="C5" s="424"/>
      <c r="D5" s="425"/>
    </row>
    <row r="6" spans="2:7" s="20" customFormat="1" ht="18" hidden="1" x14ac:dyDescent="0.25">
      <c r="B6" s="18"/>
      <c r="C6" s="19"/>
      <c r="D6" s="13"/>
      <c r="E6" s="13"/>
      <c r="F6" s="13"/>
      <c r="G6" s="13"/>
    </row>
    <row r="7" spans="2:7" ht="18" hidden="1" x14ac:dyDescent="0.25">
      <c r="B7" s="412" t="s">
        <v>57</v>
      </c>
      <c r="C7" s="358">
        <v>5800</v>
      </c>
      <c r="D7" s="358">
        <v>10000</v>
      </c>
      <c r="E7" s="359"/>
    </row>
    <row r="8" spans="2:7" ht="18.75" hidden="1" thickBot="1" x14ac:dyDescent="0.3">
      <c r="B8" s="412" t="s">
        <v>59</v>
      </c>
      <c r="C8" s="360">
        <v>8000</v>
      </c>
      <c r="D8" s="360">
        <v>8000</v>
      </c>
      <c r="E8" s="358">
        <v>8000</v>
      </c>
    </row>
    <row r="9" spans="2:7" ht="18" hidden="1" x14ac:dyDescent="0.25">
      <c r="B9" s="420"/>
      <c r="C9" s="421" t="s">
        <v>18</v>
      </c>
      <c r="D9" s="421" t="s">
        <v>19</v>
      </c>
      <c r="E9" s="359"/>
    </row>
    <row r="10" spans="2:7" ht="18.75" hidden="1" thickBot="1" x14ac:dyDescent="0.3">
      <c r="B10" s="420" t="s">
        <v>16</v>
      </c>
      <c r="C10" s="422" t="e">
        <f>+((C13-C15)/C13)*C12</f>
        <v>#DIV/0!</v>
      </c>
      <c r="D10" s="422" t="e">
        <f>+(C15/C13)*C12</f>
        <v>#DIV/0!</v>
      </c>
      <c r="E10" s="359"/>
    </row>
    <row r="11" spans="2:7" s="20" customFormat="1" ht="18" hidden="1" x14ac:dyDescent="0.25">
      <c r="B11" s="18"/>
      <c r="C11" s="19"/>
      <c r="D11" s="13"/>
      <c r="E11" s="13"/>
      <c r="F11" s="13"/>
      <c r="G11" s="13"/>
    </row>
    <row r="12" spans="2:7" ht="20.25" hidden="1" x14ac:dyDescent="0.3">
      <c r="B12" s="21" t="s">
        <v>45</v>
      </c>
      <c r="C12" s="352">
        <f>+(3*28.5)+1.6+5</f>
        <v>92.1</v>
      </c>
    </row>
    <row r="13" spans="2:7" ht="18" hidden="1" x14ac:dyDescent="0.25">
      <c r="B13" s="23" t="s">
        <v>46</v>
      </c>
      <c r="C13" s="356"/>
    </row>
    <row r="14" spans="2:7" ht="18" hidden="1" x14ac:dyDescent="0.25">
      <c r="B14" s="24">
        <f>+B103</f>
        <v>1</v>
      </c>
      <c r="C14" s="25">
        <f>IF(B14&lt;=24,B14)</f>
        <v>1</v>
      </c>
    </row>
    <row r="15" spans="2:7" ht="18" hidden="1" x14ac:dyDescent="0.25">
      <c r="B15" s="23" t="s">
        <v>47</v>
      </c>
      <c r="C15" s="21">
        <f>+X101</f>
        <v>248.9981990147042</v>
      </c>
    </row>
    <row r="16" spans="2:7" ht="18" hidden="1" x14ac:dyDescent="0.25">
      <c r="B16" s="18"/>
      <c r="C16" s="19"/>
    </row>
    <row r="17" spans="1:7" ht="18" hidden="1" x14ac:dyDescent="0.25">
      <c r="B17" s="18"/>
      <c r="C17" s="19"/>
    </row>
    <row r="18" spans="1:7" ht="18" hidden="1" x14ac:dyDescent="0.25">
      <c r="B18" s="18"/>
      <c r="C18" s="19"/>
    </row>
    <row r="19" spans="1:7" ht="18" hidden="1" x14ac:dyDescent="0.25">
      <c r="B19" s="18"/>
      <c r="C19" s="19"/>
    </row>
    <row r="20" spans="1:7" ht="18" hidden="1" x14ac:dyDescent="0.25">
      <c r="B20" s="18"/>
      <c r="C20" s="19"/>
    </row>
    <row r="21" spans="1:7" ht="18" hidden="1" x14ac:dyDescent="0.25">
      <c r="B21" s="18"/>
      <c r="C21" s="19"/>
    </row>
    <row r="22" spans="1:7" ht="18" hidden="1" x14ac:dyDescent="0.25">
      <c r="B22" s="18"/>
      <c r="C22" s="19"/>
    </row>
    <row r="23" spans="1:7" ht="18" hidden="1" x14ac:dyDescent="0.25">
      <c r="B23" s="18"/>
      <c r="C23" s="19"/>
    </row>
    <row r="24" spans="1:7" ht="18" hidden="1" x14ac:dyDescent="0.25">
      <c r="B24" s="18"/>
      <c r="C24" s="19"/>
    </row>
    <row r="25" spans="1:7" ht="18" hidden="1" x14ac:dyDescent="0.25">
      <c r="B25" s="18"/>
      <c r="C25" s="19"/>
    </row>
    <row r="26" spans="1:7" ht="18" hidden="1" x14ac:dyDescent="0.25">
      <c r="B26" s="18"/>
      <c r="C26" s="19"/>
    </row>
    <row r="27" spans="1:7" ht="18" hidden="1" x14ac:dyDescent="0.25">
      <c r="B27" s="18"/>
      <c r="C27" s="19"/>
    </row>
    <row r="28" spans="1:7" ht="18" hidden="1" x14ac:dyDescent="0.25">
      <c r="A28" s="26"/>
      <c r="B28" s="27"/>
      <c r="C28" s="28"/>
      <c r="D28" s="29"/>
      <c r="E28" s="29"/>
      <c r="F28" s="29"/>
      <c r="G28" s="29"/>
    </row>
    <row r="29" spans="1:7" ht="18" hidden="1" x14ac:dyDescent="0.25">
      <c r="A29" s="26"/>
      <c r="B29" s="27"/>
      <c r="C29" s="28"/>
      <c r="D29" s="29"/>
      <c r="E29" s="29"/>
      <c r="F29" s="29"/>
      <c r="G29" s="29"/>
    </row>
    <row r="30" spans="1:7" ht="18" hidden="1" x14ac:dyDescent="0.25">
      <c r="A30" s="26"/>
      <c r="B30" s="30"/>
      <c r="C30" s="31"/>
      <c r="D30" s="32"/>
      <c r="E30" s="29"/>
      <c r="F30" s="32"/>
      <c r="G30" s="29"/>
    </row>
    <row r="31" spans="1:7" ht="18" hidden="1" x14ac:dyDescent="0.25">
      <c r="A31" s="26"/>
      <c r="B31" s="6"/>
      <c r="C31" s="33"/>
      <c r="D31" s="34"/>
      <c r="E31" s="6"/>
      <c r="F31" s="29"/>
      <c r="G31" s="29"/>
    </row>
    <row r="32" spans="1:7" ht="30" hidden="1" x14ac:dyDescent="0.4">
      <c r="A32" s="26"/>
      <c r="B32" s="35"/>
      <c r="C32" s="31"/>
      <c r="D32" s="29"/>
      <c r="E32" s="36"/>
      <c r="F32" s="29"/>
      <c r="G32" s="29"/>
    </row>
    <row r="33" spans="1:7" ht="18" hidden="1" x14ac:dyDescent="0.2">
      <c r="A33" s="26"/>
      <c r="B33" s="497"/>
      <c r="C33" s="498"/>
      <c r="D33" s="498"/>
      <c r="E33" s="498"/>
      <c r="F33" s="29"/>
      <c r="G33" s="29"/>
    </row>
    <row r="34" spans="1:7" hidden="1" x14ac:dyDescent="0.25">
      <c r="A34" s="26"/>
      <c r="B34" s="31"/>
      <c r="C34" s="31"/>
      <c r="D34" s="31"/>
      <c r="E34" s="31"/>
      <c r="F34" s="29"/>
      <c r="G34" s="29"/>
    </row>
    <row r="35" spans="1:7" hidden="1" x14ac:dyDescent="0.25">
      <c r="A35" s="26"/>
      <c r="B35" s="31"/>
      <c r="C35" s="31"/>
      <c r="D35" s="31"/>
      <c r="E35" s="31"/>
      <c r="F35" s="29"/>
      <c r="G35" s="29"/>
    </row>
    <row r="36" spans="1:7" hidden="1" x14ac:dyDescent="0.25">
      <c r="A36" s="26"/>
      <c r="B36" s="31"/>
      <c r="C36" s="31"/>
      <c r="D36" s="31"/>
      <c r="E36" s="31"/>
      <c r="F36" s="29"/>
      <c r="G36" s="29"/>
    </row>
    <row r="37" spans="1:7" ht="18" hidden="1" x14ac:dyDescent="0.2">
      <c r="A37" s="26"/>
      <c r="B37" s="37"/>
      <c r="C37" s="38"/>
      <c r="D37" s="37"/>
      <c r="E37" s="37"/>
      <c r="F37" s="29"/>
      <c r="G37" s="29"/>
    </row>
    <row r="38" spans="1:7" ht="18" hidden="1" x14ac:dyDescent="0.2">
      <c r="A38" s="26"/>
      <c r="B38" s="37"/>
      <c r="C38" s="38"/>
      <c r="D38" s="37"/>
      <c r="E38" s="37"/>
      <c r="F38" s="29"/>
      <c r="G38" s="29"/>
    </row>
    <row r="39" spans="1:7" ht="18" hidden="1" x14ac:dyDescent="0.25">
      <c r="A39" s="26"/>
      <c r="B39" s="39"/>
      <c r="C39" s="38"/>
      <c r="D39" s="39"/>
      <c r="E39" s="40"/>
      <c r="F39" s="29"/>
      <c r="G39" s="29"/>
    </row>
    <row r="40" spans="1:7" ht="18" hidden="1" x14ac:dyDescent="0.2">
      <c r="A40" s="26"/>
      <c r="B40" s="37"/>
      <c r="C40" s="38"/>
      <c r="D40" s="37"/>
      <c r="E40" s="7"/>
      <c r="F40" s="29"/>
      <c r="G40" s="29"/>
    </row>
    <row r="41" spans="1:7" ht="18" hidden="1" x14ac:dyDescent="0.25">
      <c r="A41" s="26"/>
      <c r="B41" s="27"/>
      <c r="C41" s="28"/>
      <c r="D41" s="29"/>
      <c r="E41" s="29"/>
      <c r="F41" s="29"/>
      <c r="G41" s="29"/>
    </row>
    <row r="42" spans="1:7" ht="18" hidden="1" x14ac:dyDescent="0.25">
      <c r="A42" s="26"/>
      <c r="B42" s="27"/>
      <c r="C42" s="28"/>
      <c r="D42" s="29"/>
      <c r="E42" s="29"/>
      <c r="F42" s="29"/>
      <c r="G42" s="29"/>
    </row>
    <row r="43" spans="1:7" ht="18" hidden="1" x14ac:dyDescent="0.25">
      <c r="A43" s="26"/>
      <c r="B43" s="27"/>
      <c r="C43" s="28"/>
      <c r="D43" s="29"/>
      <c r="E43" s="29"/>
      <c r="F43" s="29"/>
      <c r="G43" s="29"/>
    </row>
    <row r="44" spans="1:7" ht="18" hidden="1" x14ac:dyDescent="0.25">
      <c r="A44" s="26"/>
      <c r="B44" s="27"/>
      <c r="C44" s="28"/>
      <c r="D44" s="29"/>
      <c r="E44" s="29"/>
      <c r="F44" s="29"/>
      <c r="G44" s="29"/>
    </row>
    <row r="45" spans="1:7" ht="18" hidden="1" x14ac:dyDescent="0.25">
      <c r="A45" s="26"/>
      <c r="B45" s="27"/>
      <c r="C45" s="28"/>
      <c r="D45" s="29"/>
      <c r="E45" s="29"/>
      <c r="F45" s="29"/>
      <c r="G45" s="29"/>
    </row>
    <row r="46" spans="1:7" ht="18" hidden="1" x14ac:dyDescent="0.25">
      <c r="A46" s="26"/>
      <c r="B46" s="27"/>
      <c r="C46" s="28"/>
      <c r="D46" s="29"/>
      <c r="E46" s="29"/>
      <c r="F46" s="29"/>
      <c r="G46" s="29"/>
    </row>
    <row r="47" spans="1:7" hidden="1" x14ac:dyDescent="0.25">
      <c r="A47" s="26"/>
      <c r="B47" s="31"/>
      <c r="C47" s="31"/>
      <c r="D47" s="29"/>
      <c r="E47" s="29"/>
      <c r="F47" s="29"/>
      <c r="G47" s="29"/>
    </row>
    <row r="48" spans="1:7" hidden="1" x14ac:dyDescent="0.25">
      <c r="A48" s="26"/>
      <c r="B48" s="31"/>
      <c r="C48" s="31"/>
      <c r="D48" s="29"/>
      <c r="E48" s="29"/>
      <c r="F48" s="29"/>
      <c r="G48" s="29"/>
    </row>
    <row r="49" spans="1:88" s="42" customFormat="1" ht="20.25" hidden="1" x14ac:dyDescent="0.3">
      <c r="A49" s="32"/>
      <c r="B49" s="41"/>
      <c r="C49" s="41"/>
      <c r="D49" s="30"/>
      <c r="E49" s="30"/>
      <c r="F49" s="30"/>
      <c r="G49" s="30"/>
      <c r="AR49" s="43"/>
      <c r="AS49" s="43"/>
      <c r="AX49" s="14"/>
      <c r="AY49" s="14"/>
      <c r="AZ49" s="14"/>
      <c r="BA49" s="14"/>
      <c r="BB49" s="14"/>
      <c r="BC49" s="14"/>
      <c r="BZ49" s="47"/>
      <c r="CA49" s="47"/>
      <c r="CB49" s="47"/>
      <c r="CC49" s="47"/>
      <c r="CD49" s="47"/>
      <c r="CE49" s="47"/>
      <c r="CF49" s="47"/>
      <c r="CG49" s="47"/>
      <c r="CH49" s="47"/>
      <c r="CI49" s="47"/>
    </row>
    <row r="50" spans="1:88" ht="30" hidden="1" x14ac:dyDescent="0.35">
      <c r="A50" s="26"/>
      <c r="B50" s="31"/>
      <c r="C50" s="31"/>
      <c r="D50" s="29"/>
      <c r="E50" s="29"/>
      <c r="F50" s="29"/>
      <c r="G50" s="29"/>
      <c r="AR50" s="20"/>
      <c r="AS50" s="48"/>
      <c r="AT50" s="49"/>
      <c r="AU50" s="49"/>
      <c r="AV50" s="49"/>
      <c r="AW50" s="49"/>
      <c r="BB50" s="50"/>
      <c r="CG50" s="47"/>
      <c r="CH50" s="47"/>
      <c r="CI50" s="47"/>
    </row>
    <row r="51" spans="1:88" ht="25.5" hidden="1" x14ac:dyDescent="0.35">
      <c r="A51" s="26"/>
      <c r="B51" s="31"/>
      <c r="C51" s="31"/>
      <c r="D51" s="29"/>
      <c r="E51" s="29"/>
      <c r="F51" s="29"/>
      <c r="G51" s="29"/>
      <c r="AR51" s="505"/>
      <c r="AS51" s="505"/>
      <c r="AT51" s="49"/>
      <c r="AU51" s="49"/>
      <c r="AV51" s="49"/>
      <c r="AW51" s="49"/>
      <c r="CG51" s="47"/>
      <c r="CH51" s="47"/>
      <c r="CI51" s="47"/>
      <c r="CJ51" s="47"/>
    </row>
    <row r="52" spans="1:88" ht="25.5" hidden="1" x14ac:dyDescent="0.35">
      <c r="AR52" s="481"/>
      <c r="AS52" s="481"/>
      <c r="AT52" s="49"/>
      <c r="AU52" s="49"/>
      <c r="AV52" s="49"/>
      <c r="AW52" s="49"/>
      <c r="CG52" s="55"/>
      <c r="CH52" s="47"/>
      <c r="CI52" s="47"/>
      <c r="CJ52" s="47"/>
    </row>
    <row r="53" spans="1:88" ht="25.5" x14ac:dyDescent="0.35">
      <c r="AT53" s="49"/>
      <c r="AU53" s="49"/>
      <c r="AV53" s="49"/>
      <c r="AW53" s="49"/>
      <c r="BB53" s="50"/>
      <c r="CG53" s="56"/>
      <c r="CH53" s="47"/>
      <c r="CI53" s="47"/>
      <c r="CJ53" s="47"/>
    </row>
    <row r="54" spans="1:88" ht="24.75" customHeight="1" x14ac:dyDescent="0.3">
      <c r="BE54" s="44" t="s">
        <v>22</v>
      </c>
      <c r="BF54" s="42"/>
      <c r="BG54" s="504">
        <f>+C12</f>
        <v>92.1</v>
      </c>
      <c r="BH54" s="504"/>
      <c r="BI54" s="45" t="s">
        <v>16</v>
      </c>
      <c r="BJ54" s="408" t="s">
        <v>111</v>
      </c>
      <c r="BL54" s="45"/>
      <c r="BN54" s="46"/>
      <c r="BO54" s="46"/>
      <c r="BP54" s="46"/>
      <c r="BQ54" s="46"/>
      <c r="BR54" s="46"/>
      <c r="BS54" s="46"/>
      <c r="BT54" s="47"/>
      <c r="BU54" s="47"/>
      <c r="BV54" s="47"/>
      <c r="BW54" s="47"/>
      <c r="BX54" s="47"/>
      <c r="BY54" s="47"/>
      <c r="CG54" s="58"/>
      <c r="CH54" s="47"/>
      <c r="CI54" s="47"/>
      <c r="CJ54" s="47"/>
    </row>
    <row r="55" spans="1:88" ht="12.75" customHeight="1" thickBot="1" x14ac:dyDescent="0.4">
      <c r="BC55" s="52"/>
      <c r="BD55" s="4"/>
      <c r="BE55" s="59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62"/>
      <c r="BU55" s="62"/>
      <c r="BV55" s="62"/>
      <c r="BW55" s="62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47"/>
      <c r="CI55" s="47"/>
      <c r="CJ55" s="47"/>
    </row>
    <row r="56" spans="1:88" ht="31.5" customHeight="1" x14ac:dyDescent="0.3">
      <c r="BB56" s="50"/>
      <c r="BE56" s="334" t="s">
        <v>24</v>
      </c>
      <c r="BF56" s="501"/>
      <c r="BG56" s="393" t="s">
        <v>25</v>
      </c>
      <c r="BH56" s="394"/>
      <c r="BI56" s="395"/>
      <c r="BJ56" s="395"/>
      <c r="BK56" s="395"/>
      <c r="BL56" s="395"/>
      <c r="BM56" s="395"/>
      <c r="BN56" s="396"/>
      <c r="BO56" s="397"/>
      <c r="BP56" s="398"/>
      <c r="BQ56" s="398"/>
      <c r="BR56" s="399"/>
      <c r="BS56" s="399"/>
      <c r="BT56" s="51"/>
      <c r="BU56" s="401" t="s">
        <v>26</v>
      </c>
      <c r="BX56" s="46"/>
      <c r="BY56" s="46"/>
      <c r="BZ56" s="46"/>
      <c r="CA56" s="46"/>
      <c r="CB56" s="488"/>
      <c r="CC56" s="107"/>
      <c r="CD56" s="87"/>
      <c r="CE56" s="87"/>
      <c r="CF56" s="87"/>
      <c r="CG56" s="55"/>
      <c r="CH56" s="47"/>
      <c r="CI56" s="47"/>
      <c r="CJ56" s="47"/>
    </row>
    <row r="57" spans="1:88" ht="31.5" customHeight="1" thickBot="1" x14ac:dyDescent="0.35">
      <c r="BE57" s="335"/>
      <c r="BF57" s="502"/>
      <c r="BG57" s="499">
        <f>+((D2-D3)/D2)*C12</f>
        <v>47.798368145521941</v>
      </c>
      <c r="BH57" s="500"/>
      <c r="BI57" s="402"/>
      <c r="BJ57" s="402"/>
      <c r="BK57" s="402"/>
      <c r="BL57" s="402"/>
      <c r="BM57" s="402"/>
      <c r="BN57" s="403"/>
      <c r="BO57" s="404"/>
      <c r="BP57" s="405"/>
      <c r="BQ57" s="405"/>
      <c r="BR57" s="406"/>
      <c r="BS57" s="406"/>
      <c r="BT57" s="495">
        <f>+(D3/D2)*C12</f>
        <v>44.301631854478053</v>
      </c>
      <c r="BU57" s="496"/>
      <c r="BX57" s="46"/>
      <c r="BY57" s="46"/>
      <c r="BZ57" s="46"/>
      <c r="CA57" s="46"/>
      <c r="CB57" s="107"/>
      <c r="CC57" s="107"/>
      <c r="CD57" s="87"/>
      <c r="CE57" s="87"/>
      <c r="CF57" s="87"/>
      <c r="CG57" s="55"/>
      <c r="CH57" s="47"/>
      <c r="CI57" s="47"/>
      <c r="CJ57" s="47"/>
    </row>
    <row r="58" spans="1:88" ht="9.75" customHeight="1" thickBot="1" x14ac:dyDescent="0.35">
      <c r="BE58" s="59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59"/>
      <c r="BQ58" s="60"/>
      <c r="BR58" s="60"/>
      <c r="BS58" s="61"/>
      <c r="BT58" s="62"/>
      <c r="BU58" s="62"/>
      <c r="BV58" s="62"/>
      <c r="BW58" s="62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47"/>
      <c r="CI58" s="47"/>
      <c r="CJ58" s="47"/>
    </row>
    <row r="59" spans="1:88" ht="25.5" hidden="1" customHeight="1" x14ac:dyDescent="0.25"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Q59" s="77"/>
      <c r="AR59" s="78"/>
      <c r="AS59" s="78"/>
      <c r="AT59" s="75"/>
      <c r="AU59" s="75"/>
      <c r="AV59" s="75"/>
      <c r="AW59" s="75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2"/>
      <c r="BR59" s="392"/>
      <c r="BS59" s="392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</row>
    <row r="60" spans="1:88" ht="25.5" hidden="1" customHeight="1" x14ac:dyDescent="0.3"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Q60" s="77"/>
      <c r="AR60" s="78"/>
      <c r="AS60" s="78"/>
      <c r="AT60" s="75"/>
      <c r="AU60" s="75"/>
      <c r="AV60" s="75"/>
      <c r="AW60" s="75"/>
      <c r="BF60" s="486"/>
      <c r="BG60" s="486"/>
      <c r="BH60" s="486"/>
      <c r="BI60" s="486"/>
      <c r="BJ60" s="486"/>
      <c r="BK60" s="486"/>
      <c r="BL60" s="486"/>
      <c r="BM60" s="486"/>
      <c r="BN60" s="486"/>
      <c r="BO60" s="486"/>
      <c r="BP60" s="486"/>
      <c r="BQ60" s="486"/>
      <c r="BR60" s="486"/>
      <c r="BS60" s="486"/>
      <c r="BT60" s="486"/>
      <c r="BU60" s="486"/>
      <c r="BV60" s="486"/>
      <c r="BW60" s="486"/>
      <c r="BX60" s="486"/>
      <c r="BY60" s="486"/>
      <c r="BZ60" s="486"/>
      <c r="CA60" s="54"/>
      <c r="CB60" s="486"/>
      <c r="CC60" s="54"/>
    </row>
    <row r="61" spans="1:88" ht="25.5" hidden="1" customHeight="1" x14ac:dyDescent="0.3"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Q61" s="77"/>
      <c r="AR61" s="78"/>
      <c r="AS61" s="78"/>
      <c r="AT61" s="75"/>
      <c r="AU61" s="75"/>
      <c r="AV61" s="75"/>
      <c r="AW61" s="75"/>
      <c r="BF61" s="486"/>
      <c r="BG61" s="486"/>
      <c r="BH61" s="486"/>
      <c r="BI61" s="486"/>
      <c r="BJ61" s="486"/>
      <c r="BK61" s="486"/>
      <c r="BL61" s="486"/>
      <c r="BM61" s="486"/>
      <c r="BN61" s="486"/>
      <c r="BO61" s="486"/>
      <c r="BP61" s="486"/>
      <c r="BQ61" s="486"/>
      <c r="BR61" s="486"/>
      <c r="BS61" s="486"/>
      <c r="BT61" s="486"/>
      <c r="BU61" s="486"/>
      <c r="BV61" s="486"/>
      <c r="BW61" s="486"/>
      <c r="BX61" s="53"/>
      <c r="BY61" s="54"/>
      <c r="BZ61" s="486"/>
      <c r="CA61" s="486"/>
      <c r="CB61" s="486"/>
      <c r="CC61" s="54"/>
    </row>
    <row r="62" spans="1:88" ht="25.5" hidden="1" customHeight="1" x14ac:dyDescent="0.3"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Q62" s="77"/>
      <c r="AR62" s="78"/>
      <c r="AS62" s="78"/>
      <c r="AT62" s="75"/>
      <c r="AU62" s="75"/>
      <c r="AV62" s="75"/>
      <c r="AW62" s="75"/>
      <c r="BF62" s="487"/>
      <c r="BG62" s="486"/>
      <c r="BH62" s="486"/>
      <c r="BI62" s="486"/>
      <c r="BJ62" s="486"/>
      <c r="BK62" s="486"/>
      <c r="BL62" s="486"/>
      <c r="BM62" s="486"/>
      <c r="BN62" s="486"/>
      <c r="BO62" s="486"/>
      <c r="BP62" s="486"/>
      <c r="BQ62" s="486"/>
      <c r="BR62" s="486"/>
      <c r="BS62" s="486"/>
      <c r="BT62" s="486"/>
      <c r="BU62" s="486"/>
      <c r="BV62" s="486"/>
      <c r="BW62" s="54"/>
      <c r="BX62" s="486"/>
      <c r="BY62" s="486"/>
      <c r="BZ62" s="486"/>
      <c r="CA62" s="486"/>
      <c r="CB62" s="486"/>
      <c r="CC62" s="54"/>
    </row>
    <row r="63" spans="1:88" ht="20.25" hidden="1" x14ac:dyDescent="0.3"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Q63" s="77"/>
      <c r="AR63" s="78"/>
      <c r="AS63" s="78"/>
      <c r="AT63" s="75"/>
      <c r="AU63" s="75"/>
      <c r="AV63" s="75"/>
      <c r="AW63" s="75"/>
      <c r="BF63" s="487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4"/>
      <c r="BV63" s="53"/>
      <c r="BW63" s="53"/>
      <c r="BX63" s="53"/>
      <c r="BY63" s="53"/>
      <c r="BZ63" s="53"/>
      <c r="CA63" s="53"/>
      <c r="CB63" s="53"/>
      <c r="CC63" s="54"/>
    </row>
    <row r="64" spans="1:88" ht="20.25" hidden="1" x14ac:dyDescent="0.3"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Q64" s="77"/>
      <c r="AR64" s="78"/>
      <c r="AS64" s="78"/>
      <c r="AT64" s="75"/>
      <c r="AU64" s="75"/>
      <c r="AV64" s="75"/>
      <c r="AW64" s="75"/>
      <c r="BE64" s="86"/>
      <c r="BF64" s="487"/>
      <c r="BG64" s="484"/>
      <c r="BH64" s="484"/>
      <c r="BI64" s="484"/>
      <c r="BJ64" s="484"/>
      <c r="BK64" s="484"/>
      <c r="BL64" s="484"/>
      <c r="BM64" s="484"/>
      <c r="BN64" s="105"/>
      <c r="BO64" s="55"/>
      <c r="BP64" s="485"/>
      <c r="BQ64" s="485"/>
      <c r="BR64" s="55"/>
      <c r="BS64" s="55"/>
      <c r="BT64" s="54"/>
      <c r="BU64" s="55"/>
      <c r="BV64" s="55"/>
      <c r="BW64" s="55"/>
      <c r="BX64" s="55"/>
      <c r="BY64" s="55"/>
      <c r="BZ64" s="55"/>
      <c r="CA64" s="55"/>
      <c r="CB64" s="54"/>
      <c r="CC64" s="90"/>
      <c r="CD64" s="87"/>
      <c r="CE64" s="87"/>
      <c r="CF64" s="87"/>
      <c r="CG64" s="90"/>
      <c r="CH64" s="87"/>
      <c r="CI64" s="87"/>
      <c r="CJ64" s="87"/>
    </row>
    <row r="65" spans="2:88" ht="20.25" hidden="1" x14ac:dyDescent="0.3"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Q65" s="77"/>
      <c r="AR65" s="78"/>
      <c r="AS65" s="78"/>
      <c r="AT65" s="75"/>
      <c r="AU65" s="75"/>
      <c r="AV65" s="75"/>
      <c r="AW65" s="75"/>
      <c r="BE65" s="86"/>
      <c r="BF65" s="487"/>
      <c r="BG65" s="484"/>
      <c r="BH65" s="484"/>
      <c r="BI65" s="484"/>
      <c r="BJ65" s="484"/>
      <c r="BK65" s="484"/>
      <c r="BL65" s="484"/>
      <c r="BM65" s="484"/>
      <c r="BN65" s="105"/>
      <c r="BO65" s="55"/>
      <c r="BP65" s="53"/>
      <c r="BQ65" s="53"/>
      <c r="BR65" s="55"/>
      <c r="BS65" s="53"/>
      <c r="BT65" s="54"/>
      <c r="BU65" s="55"/>
      <c r="BV65" s="55"/>
      <c r="BW65" s="55"/>
      <c r="BX65" s="55"/>
      <c r="BY65" s="55"/>
      <c r="BZ65" s="54"/>
      <c r="CA65" s="53"/>
      <c r="CB65" s="90"/>
      <c r="CC65" s="53"/>
      <c r="CD65" s="87"/>
      <c r="CE65" s="87"/>
      <c r="CF65" s="87"/>
      <c r="CG65" s="87"/>
      <c r="CH65" s="87"/>
      <c r="CI65" s="87"/>
      <c r="CJ65" s="87"/>
    </row>
    <row r="66" spans="2:88" ht="20.25" hidden="1" x14ac:dyDescent="0.3"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Q66" s="77"/>
      <c r="AR66" s="78"/>
      <c r="AS66" s="78"/>
      <c r="AT66" s="75"/>
      <c r="AU66" s="75"/>
      <c r="AV66" s="75"/>
      <c r="AW66" s="75"/>
      <c r="BE66" s="86"/>
      <c r="BF66" s="487"/>
      <c r="BG66" s="484"/>
      <c r="BH66" s="484"/>
      <c r="BI66" s="484"/>
      <c r="BJ66" s="484"/>
      <c r="BK66" s="484"/>
      <c r="BL66" s="484"/>
      <c r="BM66" s="484"/>
      <c r="BN66" s="105"/>
      <c r="BO66" s="54"/>
      <c r="BP66" s="485"/>
      <c r="BQ66" s="485"/>
      <c r="BR66" s="55"/>
      <c r="BS66" s="55"/>
      <c r="BT66" s="55"/>
      <c r="BU66" s="53"/>
      <c r="BV66" s="55"/>
      <c r="BW66" s="53"/>
      <c r="BX66" s="55"/>
      <c r="BY66" s="55"/>
      <c r="BZ66" s="55"/>
      <c r="CA66" s="55"/>
      <c r="CB66" s="90"/>
      <c r="CC66" s="54"/>
      <c r="CD66" s="87"/>
      <c r="CE66" s="87"/>
      <c r="CF66" s="87"/>
      <c r="CG66" s="87"/>
      <c r="CH66" s="87"/>
      <c r="CI66" s="87"/>
      <c r="CJ66" s="87"/>
    </row>
    <row r="67" spans="2:88" ht="20.25" hidden="1" x14ac:dyDescent="0.3"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Q67" s="77"/>
      <c r="AR67" s="78"/>
      <c r="AS67" s="78"/>
      <c r="AT67" s="75"/>
      <c r="AU67" s="75"/>
      <c r="AV67" s="75"/>
      <c r="AW67" s="75"/>
      <c r="BE67" s="86"/>
      <c r="BF67" s="487"/>
      <c r="BG67" s="484"/>
      <c r="BH67" s="484"/>
      <c r="BI67" s="484"/>
      <c r="BJ67" s="484"/>
      <c r="BK67" s="484"/>
      <c r="BL67" s="484"/>
      <c r="BM67" s="54"/>
      <c r="BN67" s="105"/>
      <c r="BO67" s="55"/>
      <c r="BP67" s="485"/>
      <c r="BQ67" s="485"/>
      <c r="BR67" s="55"/>
      <c r="BS67" s="53"/>
      <c r="BT67" s="55"/>
      <c r="BU67" s="55"/>
      <c r="BV67" s="55"/>
      <c r="BW67" s="53"/>
      <c r="BX67" s="55"/>
      <c r="BY67" s="55"/>
      <c r="BZ67" s="55"/>
      <c r="CA67" s="55"/>
      <c r="CB67" s="90"/>
      <c r="CC67" s="54"/>
      <c r="CD67" s="87"/>
      <c r="CE67" s="87"/>
      <c r="CF67" s="87"/>
      <c r="CG67" s="87"/>
      <c r="CH67" s="87"/>
      <c r="CI67" s="87"/>
      <c r="CJ67" s="87"/>
    </row>
    <row r="68" spans="2:88" ht="21" hidden="1" thickBot="1" x14ac:dyDescent="0.35"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Q68" s="77"/>
      <c r="AR68" s="78"/>
      <c r="AS68" s="78"/>
      <c r="AT68" s="75"/>
      <c r="AU68" s="75"/>
      <c r="AV68" s="75"/>
      <c r="AW68" s="75"/>
      <c r="BE68" s="86"/>
      <c r="BF68" s="91">
        <v>14</v>
      </c>
      <c r="BG68" s="88"/>
      <c r="BH68" s="88"/>
      <c r="BI68" s="88"/>
      <c r="BJ68" s="88"/>
      <c r="BL68" s="88"/>
      <c r="BM68" s="88"/>
      <c r="BN68" s="61"/>
      <c r="BO68" s="60"/>
      <c r="BP68" s="89"/>
      <c r="BR68" s="93"/>
      <c r="BS68" s="70" t="b">
        <f>IF(BT84=14,12)</f>
        <v>0</v>
      </c>
      <c r="BT68" s="93"/>
      <c r="BU68" s="73" t="b">
        <f>IF(BT84=14,14)</f>
        <v>0</v>
      </c>
      <c r="BV68" s="93"/>
      <c r="BX68" s="55"/>
      <c r="BY68" s="55"/>
      <c r="BZ68" s="55"/>
      <c r="CA68" s="55"/>
      <c r="CB68" s="87"/>
      <c r="CD68" s="87"/>
      <c r="CE68" s="87"/>
      <c r="CF68" s="87"/>
      <c r="CG68" s="87"/>
      <c r="CH68" s="87"/>
      <c r="CI68" s="87"/>
      <c r="CJ68" s="87"/>
    </row>
    <row r="69" spans="2:88" ht="21" hidden="1" thickBot="1" x14ac:dyDescent="0.35">
      <c r="D69" s="9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Q69" s="77"/>
      <c r="AR69" s="78"/>
      <c r="AS69" s="78"/>
      <c r="AT69" s="75"/>
      <c r="AU69" s="75"/>
      <c r="AV69" s="75"/>
      <c r="AW69" s="75"/>
      <c r="BE69" s="86"/>
      <c r="BF69" s="91">
        <v>13</v>
      </c>
      <c r="BG69" s="87"/>
      <c r="BH69" s="86"/>
      <c r="BJ69" s="86"/>
      <c r="BK69" s="86"/>
      <c r="BL69" s="86"/>
      <c r="BM69" s="86"/>
      <c r="BN69" s="86"/>
      <c r="BP69" s="95"/>
      <c r="BQ69" s="96"/>
      <c r="BR69" s="68" t="b">
        <f>IF(BS84=13,11)</f>
        <v>0</v>
      </c>
      <c r="BS69" s="96"/>
      <c r="BT69" s="73" t="b">
        <f>IF(BS84=13,13)</f>
        <v>0</v>
      </c>
      <c r="BV69" s="71"/>
      <c r="BX69" s="47"/>
      <c r="BY69" s="47"/>
      <c r="BZ69" s="47"/>
      <c r="CA69" s="47"/>
      <c r="CB69" s="47"/>
      <c r="CD69" s="47"/>
      <c r="CE69" s="47"/>
      <c r="CF69" s="47"/>
      <c r="CG69" s="47"/>
      <c r="CH69" s="47"/>
      <c r="CI69" s="47"/>
    </row>
    <row r="70" spans="2:88" ht="21" hidden="1" thickBot="1" x14ac:dyDescent="0.35">
      <c r="D70" s="9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Q70" s="77"/>
      <c r="AR70" s="78"/>
      <c r="AS70" s="78"/>
      <c r="AT70" s="75"/>
      <c r="AU70" s="75"/>
      <c r="AV70" s="75"/>
      <c r="AW70" s="75"/>
      <c r="BE70" s="86"/>
      <c r="BF70" s="91">
        <v>12</v>
      </c>
      <c r="BH70" s="86"/>
      <c r="BI70" s="86"/>
      <c r="BJ70" s="86"/>
      <c r="BK70" s="86"/>
      <c r="BL70" s="86"/>
      <c r="BN70" s="95"/>
      <c r="BO70" s="68" t="b">
        <f>IF(BR84=12,9)</f>
        <v>0</v>
      </c>
      <c r="BP70" s="69"/>
      <c r="BQ70" s="95"/>
      <c r="BR70" s="95"/>
      <c r="BS70" s="95"/>
      <c r="BT70" s="69"/>
      <c r="BU70" s="63" t="b">
        <f>IF(BR84=12,14)</f>
        <v>0</v>
      </c>
      <c r="BV70" s="66"/>
      <c r="BX70" s="47"/>
      <c r="BY70" s="47"/>
      <c r="BZ70" s="47"/>
      <c r="CA70" s="47"/>
      <c r="CB70" s="47"/>
      <c r="CD70" s="47"/>
      <c r="CE70" s="47"/>
      <c r="CF70" s="47"/>
      <c r="CG70" s="47"/>
      <c r="CH70" s="47"/>
      <c r="CI70" s="47"/>
    </row>
    <row r="71" spans="2:88" ht="21" hidden="1" thickBot="1" x14ac:dyDescent="0.35">
      <c r="D71" s="9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Q71" s="77"/>
      <c r="AR71" s="78"/>
      <c r="AS71" s="78"/>
      <c r="AT71" s="75"/>
      <c r="AU71" s="75"/>
      <c r="AV71" s="75"/>
      <c r="AW71" s="75"/>
      <c r="BE71" s="86"/>
      <c r="BF71" s="91">
        <v>11</v>
      </c>
      <c r="BH71" s="86"/>
      <c r="BI71" s="86"/>
      <c r="BJ71" s="86"/>
      <c r="BL71" s="95"/>
      <c r="BM71" s="68" t="b">
        <f>IF(BQ84=11,7)</f>
        <v>0</v>
      </c>
      <c r="BN71" s="69"/>
      <c r="BO71" s="95"/>
      <c r="BP71" s="69"/>
      <c r="BQ71" s="95"/>
      <c r="BR71" s="69"/>
      <c r="BS71" s="95"/>
      <c r="BT71" s="69"/>
      <c r="BU71" s="63" t="b">
        <f>IF(BQ84=11,14)</f>
        <v>0</v>
      </c>
      <c r="BV71" s="66"/>
      <c r="BX71" s="47"/>
      <c r="BY71" s="47"/>
      <c r="CB71" s="47"/>
      <c r="CC71" s="47"/>
      <c r="CD71" s="47"/>
      <c r="CE71" s="47"/>
      <c r="CF71" s="47"/>
      <c r="CG71" s="47"/>
      <c r="CH71" s="47"/>
      <c r="CI71" s="47"/>
    </row>
    <row r="72" spans="2:88" ht="21" hidden="1" thickBot="1" x14ac:dyDescent="0.35">
      <c r="D72" s="9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Q72" s="77"/>
      <c r="AR72" s="78"/>
      <c r="AS72" s="78"/>
      <c r="AT72" s="75"/>
      <c r="AU72" s="75"/>
      <c r="AV72" s="75"/>
      <c r="AW72" s="75"/>
      <c r="BE72" s="86"/>
      <c r="BF72" s="91">
        <v>10</v>
      </c>
      <c r="BH72" s="86"/>
      <c r="BJ72" s="95"/>
      <c r="BK72" s="68" t="b">
        <f>IF(BP84=10,5)</f>
        <v>0</v>
      </c>
      <c r="BL72" s="69"/>
      <c r="BM72" s="69"/>
      <c r="BN72" s="69"/>
      <c r="BO72" s="95"/>
      <c r="BP72" s="95"/>
      <c r="BQ72" s="95"/>
      <c r="BR72" s="69"/>
      <c r="BS72" s="95"/>
      <c r="BT72" s="69"/>
      <c r="BU72" s="63" t="b">
        <f>IF(BP84=10,14)</f>
        <v>0</v>
      </c>
      <c r="BV72" s="66"/>
      <c r="BX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</row>
    <row r="73" spans="2:88" ht="21" hidden="1" thickBot="1" x14ac:dyDescent="0.35">
      <c r="B73" s="97"/>
      <c r="C73" s="97"/>
      <c r="D73" s="9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Q73" s="77"/>
      <c r="AR73" s="78"/>
      <c r="AS73" s="78"/>
      <c r="AT73" s="75"/>
      <c r="AU73" s="75"/>
      <c r="AV73" s="75"/>
      <c r="AW73" s="75"/>
      <c r="BE73" s="86"/>
      <c r="BF73" s="91">
        <v>9</v>
      </c>
      <c r="BH73" s="95"/>
      <c r="BI73" s="68" t="b">
        <f>IF(BO84=9,3)</f>
        <v>0</v>
      </c>
      <c r="BJ73" s="69"/>
      <c r="BK73" s="95"/>
      <c r="BL73" s="95"/>
      <c r="BM73" s="95"/>
      <c r="BN73" s="95"/>
      <c r="BO73" s="95"/>
      <c r="BP73" s="95"/>
      <c r="BQ73" s="95"/>
      <c r="BR73" s="95"/>
      <c r="BS73" s="95"/>
      <c r="BT73" s="69"/>
      <c r="BU73" s="63" t="b">
        <f>IF(BO84=9,14)</f>
        <v>0</v>
      </c>
      <c r="BV73" s="66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</row>
    <row r="74" spans="2:88" ht="21" hidden="1" thickBot="1" x14ac:dyDescent="0.35">
      <c r="B74" s="97"/>
      <c r="C74" s="97"/>
      <c r="D74" s="9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Q74" s="77"/>
      <c r="AR74" s="78"/>
      <c r="AS74" s="78"/>
      <c r="AT74" s="75"/>
      <c r="AU74" s="75"/>
      <c r="AV74" s="75"/>
      <c r="AW74" s="75"/>
      <c r="BE74" s="86"/>
      <c r="BF74" s="91">
        <v>8</v>
      </c>
      <c r="BG74" s="70">
        <f>IF(BN84=8,1)</f>
        <v>1</v>
      </c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72"/>
      <c r="BU74" s="73">
        <f>IF(BN84=8,14)</f>
        <v>14</v>
      </c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</row>
    <row r="75" spans="2:88" ht="21" hidden="1" thickBot="1" x14ac:dyDescent="0.35"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Q75" s="77"/>
      <c r="AR75" s="78"/>
      <c r="AS75" s="78"/>
      <c r="AT75" s="75"/>
      <c r="AU75" s="75"/>
      <c r="AV75" s="75"/>
      <c r="AW75" s="75"/>
      <c r="BE75" s="86"/>
      <c r="BF75" s="91">
        <v>7</v>
      </c>
      <c r="BG75" s="70" t="b">
        <f>IF(BM84=7,1)</f>
        <v>0</v>
      </c>
      <c r="BH75" s="96"/>
      <c r="BI75" s="96"/>
      <c r="BK75" s="96"/>
      <c r="BL75" s="96"/>
      <c r="BM75" s="96"/>
      <c r="BN75" s="96"/>
      <c r="BO75" s="96"/>
      <c r="BQ75" s="96"/>
      <c r="BR75" s="73" t="b">
        <f>IF(BM84=7,11)</f>
        <v>0</v>
      </c>
      <c r="BT75" s="8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</row>
    <row r="76" spans="2:88" ht="21" hidden="1" thickBot="1" x14ac:dyDescent="0.35"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Q76" s="77"/>
      <c r="AR76" s="78"/>
      <c r="AS76" s="78"/>
      <c r="AT76" s="75"/>
      <c r="AU76" s="75"/>
      <c r="AV76" s="75"/>
      <c r="AW76" s="75"/>
      <c r="BE76" s="86"/>
      <c r="BF76" s="91">
        <v>6</v>
      </c>
      <c r="BH76" s="70" t="b">
        <f>IF(BL84=6,2)</f>
        <v>0</v>
      </c>
      <c r="BI76" s="96"/>
      <c r="BJ76" s="96"/>
      <c r="BK76" s="96"/>
      <c r="BL76" s="96"/>
      <c r="BM76" s="96"/>
      <c r="BN76" s="96"/>
      <c r="BO76" s="96"/>
      <c r="BP76" s="73" t="b">
        <f>IF(BL84=6,10)</f>
        <v>0</v>
      </c>
      <c r="BR76" s="86"/>
      <c r="BS76" s="86"/>
      <c r="BT76" s="8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</row>
    <row r="77" spans="2:88" ht="21" hidden="1" thickBot="1" x14ac:dyDescent="0.35"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Q77" s="77"/>
      <c r="AR77" s="78"/>
      <c r="AS77" s="78"/>
      <c r="AT77" s="75"/>
      <c r="AU77" s="75"/>
      <c r="AV77" s="75"/>
      <c r="AW77" s="75"/>
      <c r="BE77" s="86"/>
      <c r="BF77" s="91">
        <v>5</v>
      </c>
      <c r="BG77" s="68" t="b">
        <f>IF(BK84=5,1)</f>
        <v>0</v>
      </c>
      <c r="BH77" s="95"/>
      <c r="BI77" s="95"/>
      <c r="BJ77" s="69"/>
      <c r="BK77" s="95"/>
      <c r="BL77" s="69"/>
      <c r="BM77" s="95"/>
      <c r="BN77" s="95"/>
      <c r="BO77" s="63" t="b">
        <f>IF(BK84=5,9)</f>
        <v>0</v>
      </c>
      <c r="BP77" s="86"/>
      <c r="BQ77" s="86"/>
      <c r="BR77" s="86"/>
      <c r="BS77" s="86"/>
      <c r="BT77" s="8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</row>
    <row r="78" spans="2:88" ht="21" hidden="1" thickBot="1" x14ac:dyDescent="0.35">
      <c r="B78" s="97"/>
      <c r="C78" s="97"/>
      <c r="D78" s="9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Q78" s="77"/>
      <c r="AR78" s="78"/>
      <c r="AS78" s="78"/>
      <c r="AT78" s="75"/>
      <c r="AU78" s="75"/>
      <c r="AV78" s="75"/>
      <c r="AW78" s="75"/>
      <c r="BE78" s="86"/>
      <c r="BF78" s="91">
        <v>4</v>
      </c>
      <c r="BG78" s="68" t="b">
        <f>IF(BJ84=4,1)</f>
        <v>0</v>
      </c>
      <c r="BH78" s="69"/>
      <c r="BI78" s="69"/>
      <c r="BJ78" s="95"/>
      <c r="BK78" s="69"/>
      <c r="BL78" s="69"/>
      <c r="BM78" s="63" t="b">
        <f>IF(BJ84=4,7)</f>
        <v>0</v>
      </c>
      <c r="BN78" s="86"/>
      <c r="BO78" s="86"/>
      <c r="BP78" s="86"/>
      <c r="BQ78" s="86"/>
      <c r="BR78" s="86"/>
      <c r="BS78" s="86"/>
      <c r="BT78" s="8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</row>
    <row r="79" spans="2:88" ht="21" hidden="1" thickBot="1" x14ac:dyDescent="0.35">
      <c r="B79" s="97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Q79" s="77"/>
      <c r="AR79" s="78"/>
      <c r="AS79" s="78"/>
      <c r="AT79" s="75"/>
      <c r="AU79" s="75"/>
      <c r="AV79" s="75"/>
      <c r="AW79" s="75"/>
      <c r="BE79" s="86"/>
      <c r="BF79" s="91">
        <v>3</v>
      </c>
      <c r="BG79" s="70" t="b">
        <f>IF(BI84=3,1)</f>
        <v>0</v>
      </c>
      <c r="BH79" s="96"/>
      <c r="BI79" s="96"/>
      <c r="BJ79" s="96"/>
      <c r="BK79" s="73" t="b">
        <f>IF(BI84=3,5)</f>
        <v>0</v>
      </c>
      <c r="BL79" s="86"/>
      <c r="BM79" s="86"/>
      <c r="BN79" s="86"/>
      <c r="BO79" s="86"/>
      <c r="BP79" s="86"/>
      <c r="BQ79" s="86"/>
      <c r="BR79" s="86"/>
      <c r="BS79" s="86"/>
      <c r="BT79" s="8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</row>
    <row r="80" spans="2:88" ht="21" hidden="1" thickBot="1" x14ac:dyDescent="0.35"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Q80" s="77"/>
      <c r="AR80" s="78"/>
      <c r="AS80" s="78"/>
      <c r="AT80" s="75"/>
      <c r="AU80" s="75"/>
      <c r="AV80" s="75"/>
      <c r="AW80" s="75"/>
      <c r="BE80" s="86"/>
      <c r="BF80" s="91">
        <v>2</v>
      </c>
      <c r="BG80" s="70" t="b">
        <f>IF(BH84=2,1)</f>
        <v>0</v>
      </c>
      <c r="BH80" s="96"/>
      <c r="BI80" s="73" t="b">
        <f>IF(BH84=2,3)</f>
        <v>0</v>
      </c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</row>
    <row r="81" spans="4:87" ht="21" hidden="1" thickBot="1" x14ac:dyDescent="0.35"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Q81" s="77"/>
      <c r="AR81" s="78"/>
      <c r="AS81" s="78"/>
      <c r="AT81" s="75"/>
      <c r="AU81" s="75"/>
      <c r="AV81" s="75"/>
      <c r="AW81" s="75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64"/>
      <c r="BS81" s="64"/>
      <c r="BT81" s="64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</row>
    <row r="82" spans="4:87" ht="31.5" customHeight="1" thickBot="1" x14ac:dyDescent="0.4">
      <c r="G82" s="11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Q82" s="77"/>
      <c r="AS82" s="78"/>
      <c r="AT82" s="75"/>
      <c r="AU82" s="75"/>
      <c r="AV82" s="75"/>
      <c r="AW82" s="75"/>
      <c r="AX82" s="75"/>
      <c r="AZ82" s="75"/>
      <c r="BA82" s="75"/>
      <c r="BB82" s="75"/>
      <c r="BE82" s="492" t="s">
        <v>97</v>
      </c>
      <c r="BF82" s="47"/>
      <c r="BG82" s="82">
        <f t="shared" ref="BG82:BU82" si="0">SUM(BG60:BG81)</f>
        <v>1</v>
      </c>
      <c r="BH82" s="83">
        <f t="shared" si="0"/>
        <v>0</v>
      </c>
      <c r="BI82" s="83">
        <f t="shared" si="0"/>
        <v>0</v>
      </c>
      <c r="BJ82" s="83">
        <f t="shared" si="0"/>
        <v>0</v>
      </c>
      <c r="BK82" s="83">
        <f t="shared" si="0"/>
        <v>0</v>
      </c>
      <c r="BL82" s="83">
        <f t="shared" si="0"/>
        <v>0</v>
      </c>
      <c r="BM82" s="83">
        <f t="shared" si="0"/>
        <v>0</v>
      </c>
      <c r="BN82" s="83">
        <f t="shared" si="0"/>
        <v>0</v>
      </c>
      <c r="BO82" s="83">
        <f t="shared" si="0"/>
        <v>0</v>
      </c>
      <c r="BP82" s="83">
        <f t="shared" si="0"/>
        <v>0</v>
      </c>
      <c r="BQ82" s="83">
        <f t="shared" si="0"/>
        <v>0</v>
      </c>
      <c r="BR82" s="83">
        <f t="shared" si="0"/>
        <v>0</v>
      </c>
      <c r="BS82" s="83">
        <f t="shared" si="0"/>
        <v>0</v>
      </c>
      <c r="BT82" s="83">
        <f t="shared" si="0"/>
        <v>0</v>
      </c>
      <c r="BU82" s="84">
        <f t="shared" si="0"/>
        <v>14</v>
      </c>
      <c r="BV82" s="85"/>
      <c r="BW82" s="85"/>
      <c r="BX82" s="85"/>
      <c r="BY82" s="85"/>
      <c r="BZ82" s="85"/>
      <c r="CA82" s="85"/>
      <c r="CB82" s="85"/>
      <c r="CC82" s="85"/>
      <c r="CD82" s="47"/>
      <c r="CE82" s="47"/>
      <c r="CF82" s="47"/>
      <c r="CG82" s="47"/>
      <c r="CH82" s="47"/>
      <c r="CI82" s="47"/>
    </row>
    <row r="83" spans="4:87" ht="33.75" hidden="1" customHeight="1" x14ac:dyDescent="0.3"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Q83" s="77"/>
      <c r="AR83" s="98"/>
      <c r="AS83" s="78"/>
      <c r="AT83" s="75"/>
      <c r="AU83" s="75"/>
      <c r="AV83" s="75"/>
      <c r="AW83" s="75"/>
      <c r="AX83" s="75"/>
      <c r="AY83" s="75"/>
      <c r="AZ83" s="75"/>
      <c r="BA83" s="75"/>
      <c r="BE83" s="99"/>
      <c r="BF83" s="64"/>
      <c r="BG83" s="60">
        <v>1</v>
      </c>
      <c r="BH83" s="60">
        <v>2</v>
      </c>
      <c r="BI83" s="60">
        <v>3</v>
      </c>
      <c r="BJ83" s="60">
        <v>4</v>
      </c>
      <c r="BK83" s="60">
        <v>5</v>
      </c>
      <c r="BL83" s="60">
        <v>6</v>
      </c>
      <c r="BM83" s="60">
        <v>7</v>
      </c>
      <c r="BN83" s="60">
        <v>8</v>
      </c>
      <c r="BO83" s="60">
        <v>9</v>
      </c>
      <c r="BP83" s="60">
        <v>10</v>
      </c>
      <c r="BR83" s="60">
        <v>11</v>
      </c>
      <c r="BS83" s="60">
        <v>12</v>
      </c>
      <c r="BT83" s="60">
        <v>13</v>
      </c>
      <c r="BU83" s="60">
        <v>14</v>
      </c>
      <c r="BV83" s="60"/>
      <c r="BW83" s="64"/>
      <c r="BX83" s="64"/>
      <c r="BY83" s="64"/>
      <c r="BZ83" s="64"/>
      <c r="CA83" s="64"/>
      <c r="CB83" s="64"/>
      <c r="CC83" s="64"/>
      <c r="CD83" s="64"/>
      <c r="CE83" s="47"/>
      <c r="CF83" s="47"/>
      <c r="CG83" s="47"/>
      <c r="CH83" s="47"/>
      <c r="CI83" s="47"/>
    </row>
    <row r="84" spans="4:87" ht="20.25" hidden="1" x14ac:dyDescent="0.3"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Q84" s="77"/>
      <c r="AR84" s="98"/>
      <c r="AS84" s="78"/>
      <c r="AT84" s="75"/>
      <c r="AU84" s="75"/>
      <c r="AV84" s="75"/>
      <c r="AW84" s="75"/>
      <c r="AX84" s="75"/>
      <c r="AY84" s="75"/>
      <c r="AZ84" s="75"/>
      <c r="BA84" s="75"/>
      <c r="BB84" s="75"/>
      <c r="BE84" s="45"/>
      <c r="BF84" s="47"/>
      <c r="BG84" s="100" t="b">
        <f>+AZ102</f>
        <v>0</v>
      </c>
      <c r="BH84" s="100" t="b">
        <f>+AZ103</f>
        <v>0</v>
      </c>
      <c r="BI84" s="100" t="b">
        <f>+AZ104</f>
        <v>0</v>
      </c>
      <c r="BJ84" s="100" t="b">
        <f>+AZ105</f>
        <v>0</v>
      </c>
      <c r="BK84" s="100" t="b">
        <f>+AZ106</f>
        <v>0</v>
      </c>
      <c r="BL84" s="100" t="b">
        <f>+AZ107</f>
        <v>0</v>
      </c>
      <c r="BM84" s="100" t="b">
        <f>+AZ108</f>
        <v>0</v>
      </c>
      <c r="BN84" s="100">
        <f>+AZ109</f>
        <v>8</v>
      </c>
      <c r="BO84" s="100" t="b">
        <f>+AZ110</f>
        <v>0</v>
      </c>
      <c r="BP84" s="100" t="b">
        <f>+AZ111</f>
        <v>0</v>
      </c>
      <c r="BQ84" s="388" t="b">
        <f>+AZ112</f>
        <v>0</v>
      </c>
      <c r="BR84" s="100" t="b">
        <f>+AZ113</f>
        <v>0</v>
      </c>
      <c r="BS84" s="100" t="b">
        <f>+AZ114</f>
        <v>0</v>
      </c>
      <c r="BT84" s="100" t="b">
        <f>+AZ115</f>
        <v>0</v>
      </c>
      <c r="BU84" s="100" t="b">
        <f>+AZ116</f>
        <v>0</v>
      </c>
      <c r="BV84" s="100"/>
      <c r="BW84" s="100"/>
      <c r="BX84" s="100"/>
      <c r="BY84" s="100"/>
      <c r="BZ84" s="100"/>
      <c r="CA84" s="100"/>
      <c r="CB84" s="100"/>
      <c r="CC84" s="100"/>
      <c r="CD84" s="47"/>
      <c r="CE84" s="47"/>
      <c r="CF84" s="47"/>
      <c r="CG84" s="47"/>
      <c r="CH84" s="47"/>
      <c r="CI84" s="47"/>
    </row>
    <row r="85" spans="4:87" ht="20.25" hidden="1" x14ac:dyDescent="0.3"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Q85" s="77"/>
      <c r="AR85" s="98"/>
      <c r="AS85" s="78"/>
      <c r="AT85" s="75"/>
      <c r="AU85" s="75"/>
      <c r="AV85" s="75"/>
      <c r="AW85" s="75"/>
      <c r="AX85" s="75"/>
      <c r="AY85" s="75"/>
      <c r="AZ85" s="75"/>
      <c r="BA85" s="75"/>
      <c r="BB85" s="75"/>
      <c r="BE85" s="46"/>
      <c r="BF85" s="101"/>
      <c r="BG85" s="101" t="b">
        <f>+BG84</f>
        <v>0</v>
      </c>
      <c r="BH85" s="101" t="b">
        <f>+BH84</f>
        <v>0</v>
      </c>
      <c r="BI85" s="101" t="b">
        <f>+BI84</f>
        <v>0</v>
      </c>
      <c r="BJ85" s="101" t="b">
        <f>+BJ84</f>
        <v>0</v>
      </c>
      <c r="BK85" s="101" t="b">
        <f>+BK84</f>
        <v>0</v>
      </c>
      <c r="BL85" s="101" t="b">
        <f t="shared" ref="BL85:BN85" si="1">+BL84</f>
        <v>0</v>
      </c>
      <c r="BM85" s="101" t="b">
        <f t="shared" si="1"/>
        <v>0</v>
      </c>
      <c r="BN85" s="101">
        <f t="shared" si="1"/>
        <v>8</v>
      </c>
      <c r="BO85" s="101" t="b">
        <f>+BO84</f>
        <v>0</v>
      </c>
      <c r="BP85" s="101" t="b">
        <f>+BP84</f>
        <v>0</v>
      </c>
      <c r="BQ85" s="389" t="b">
        <f t="shared" ref="BQ85:BU85" si="2">+BQ84</f>
        <v>0</v>
      </c>
      <c r="BR85" s="100" t="b">
        <f t="shared" si="2"/>
        <v>0</v>
      </c>
      <c r="BS85" s="100" t="b">
        <f t="shared" si="2"/>
        <v>0</v>
      </c>
      <c r="BT85" s="101" t="b">
        <f t="shared" si="2"/>
        <v>0</v>
      </c>
      <c r="BU85" s="101" t="b">
        <f t="shared" si="2"/>
        <v>0</v>
      </c>
      <c r="BV85" s="101"/>
      <c r="BW85" s="101"/>
      <c r="BX85" s="101"/>
      <c r="BY85" s="101"/>
      <c r="BZ85" s="101"/>
      <c r="CA85" s="101"/>
      <c r="CB85" s="101"/>
      <c r="CC85" s="101"/>
      <c r="CD85" s="47"/>
      <c r="CE85" s="47"/>
      <c r="CF85" s="47"/>
      <c r="CG85" s="47"/>
      <c r="CH85" s="47"/>
      <c r="CI85" s="47"/>
    </row>
    <row r="86" spans="4:87" ht="12.75" customHeight="1" thickBot="1" x14ac:dyDescent="0.35"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Q86" s="77"/>
      <c r="AR86" s="98"/>
      <c r="AS86" s="78"/>
      <c r="AT86" s="75"/>
      <c r="AU86" s="75"/>
      <c r="AV86" s="75"/>
      <c r="AW86" s="75"/>
      <c r="AX86" s="75"/>
      <c r="AY86" s="75"/>
      <c r="AZ86" s="75"/>
      <c r="BA86" s="75"/>
      <c r="BB86" s="75"/>
      <c r="BE86" s="46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47"/>
      <c r="CI86" s="47"/>
    </row>
    <row r="87" spans="4:87" ht="31.5" customHeight="1" thickBot="1" x14ac:dyDescent="0.4"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Q87" s="77"/>
      <c r="AS87" s="78"/>
      <c r="AT87" s="75"/>
      <c r="AU87" s="75"/>
      <c r="AV87" s="75"/>
      <c r="AW87" s="75"/>
      <c r="AX87" s="75"/>
      <c r="AY87" s="75"/>
      <c r="AZ87" s="75"/>
      <c r="BA87" s="75"/>
      <c r="BB87" s="75"/>
      <c r="BE87" s="102" t="s">
        <v>80</v>
      </c>
      <c r="BF87" s="14" t="str">
        <f>IF(BF85=11,"7","")</f>
        <v/>
      </c>
      <c r="BG87" s="489" t="str">
        <f>IF(BG85=1,"1","")</f>
        <v/>
      </c>
      <c r="BH87" s="490" t="str">
        <f>IF(BH85=2,"2","")</f>
        <v/>
      </c>
      <c r="BI87" s="490" t="str">
        <f>IF(BI85=3,"3","")</f>
        <v/>
      </c>
      <c r="BJ87" s="490" t="str">
        <f>IF(BJ85=4,"4","")</f>
        <v/>
      </c>
      <c r="BK87" s="490" t="str">
        <f>IF(BK85=5,"5","")</f>
        <v/>
      </c>
      <c r="BL87" s="490" t="str">
        <f>IF(BL85=6,"6","")</f>
        <v/>
      </c>
      <c r="BM87" s="490" t="str">
        <f>IF(BM85=7,"7","")</f>
        <v/>
      </c>
      <c r="BN87" s="490" t="str">
        <f>IF(BN85=8,"8","")</f>
        <v>8</v>
      </c>
      <c r="BO87" s="490" t="str">
        <f>IF(BO85=9,"9","")</f>
        <v/>
      </c>
      <c r="BP87" s="490" t="str">
        <f>IF(BP85=10,"10","")</f>
        <v/>
      </c>
      <c r="BQ87" s="490" t="str">
        <f>IF(BQ85=11,"X","")</f>
        <v/>
      </c>
      <c r="BR87" s="490" t="str">
        <f>IF(BR85=12,"11","")</f>
        <v/>
      </c>
      <c r="BS87" s="490" t="str">
        <f>IF(BS85=13,"12","")</f>
        <v/>
      </c>
      <c r="BT87" s="490" t="str">
        <f>IF(BT85=14,"13","")</f>
        <v/>
      </c>
      <c r="BU87" s="491" t="str">
        <f>IF(BU85=15,"14","")</f>
        <v/>
      </c>
      <c r="BV87" s="483"/>
      <c r="BW87" s="483"/>
      <c r="BX87" s="483"/>
      <c r="BY87" s="483"/>
      <c r="BZ87" s="483"/>
      <c r="CA87" s="483"/>
      <c r="CB87" s="483"/>
      <c r="CC87" s="483"/>
      <c r="CH87" s="47"/>
      <c r="CI87" s="47"/>
    </row>
    <row r="88" spans="4:87" ht="20.25" x14ac:dyDescent="0.3"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Q88" s="77"/>
      <c r="AS88" s="78"/>
      <c r="AT88" s="75"/>
      <c r="AU88" s="75"/>
      <c r="AV88" s="75"/>
      <c r="AW88" s="75"/>
      <c r="AX88" s="75"/>
      <c r="AY88" s="75"/>
      <c r="AZ88" s="75"/>
      <c r="BA88" s="75"/>
      <c r="CH88" s="47"/>
      <c r="CI88" s="47"/>
    </row>
    <row r="89" spans="4:87" ht="20.25" x14ac:dyDescent="0.3"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Q89" s="77"/>
      <c r="AR89" s="78"/>
      <c r="AS89" s="78"/>
      <c r="AT89" s="75"/>
      <c r="AU89" s="75"/>
      <c r="AV89" s="75"/>
      <c r="AW89" s="75"/>
      <c r="AX89" s="75"/>
      <c r="AY89" s="75"/>
      <c r="AZ89" s="75"/>
      <c r="BA89" s="75"/>
      <c r="BB89" s="75"/>
      <c r="CH89" s="47"/>
      <c r="CI89" s="47"/>
    </row>
    <row r="90" spans="4:87" ht="20.25" x14ac:dyDescent="0.3"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Q90" s="77"/>
      <c r="AR90" s="78"/>
      <c r="AS90" s="78"/>
      <c r="AT90" s="75"/>
      <c r="AU90" s="75"/>
      <c r="AV90" s="75"/>
      <c r="AW90" s="75"/>
      <c r="CH90" s="47"/>
      <c r="CI90" s="47"/>
    </row>
    <row r="91" spans="4:87" ht="20.25" hidden="1" x14ac:dyDescent="0.3"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Q91" s="77"/>
      <c r="AR91" s="78"/>
      <c r="AS91" s="78"/>
      <c r="AT91" s="75"/>
      <c r="AU91" s="75"/>
      <c r="AV91" s="75"/>
      <c r="AW91" s="75"/>
      <c r="CH91" s="47"/>
      <c r="CI91" s="47"/>
    </row>
    <row r="92" spans="4:87" ht="157.5" hidden="1" customHeight="1" x14ac:dyDescent="0.3"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Q92" s="77"/>
      <c r="AR92" s="78"/>
      <c r="AS92" s="78"/>
      <c r="AT92" s="75"/>
      <c r="AU92" s="75"/>
      <c r="AV92" s="75"/>
      <c r="AW92" s="75"/>
      <c r="BE92" s="79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47"/>
      <c r="CH92" s="47"/>
      <c r="CI92" s="47"/>
    </row>
    <row r="93" spans="4:87" ht="20.25" hidden="1" x14ac:dyDescent="0.3"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Q93" s="77"/>
      <c r="AR93" s="78"/>
      <c r="AS93" s="78"/>
      <c r="AT93" s="75"/>
      <c r="AU93" s="75"/>
      <c r="AV93" s="75"/>
      <c r="AW93" s="75"/>
      <c r="CH93" s="47"/>
      <c r="CI93" s="47"/>
    </row>
    <row r="94" spans="4:87" ht="33.75" hidden="1" customHeight="1" x14ac:dyDescent="0.3"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Q94" s="77"/>
      <c r="AR94" s="78"/>
      <c r="AS94" s="78"/>
      <c r="AT94" s="75"/>
      <c r="AU94" s="75"/>
      <c r="AV94" s="75"/>
      <c r="AW94" s="75"/>
      <c r="CH94" s="47"/>
      <c r="CI94" s="47"/>
    </row>
    <row r="95" spans="4:87" ht="25.5" hidden="1" x14ac:dyDescent="0.35"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4"/>
      <c r="AT95" s="75"/>
      <c r="AU95" s="75"/>
      <c r="AV95" s="75"/>
      <c r="AW95" s="75"/>
      <c r="AX95" s="75"/>
      <c r="AY95" s="75"/>
      <c r="AZ95" s="75"/>
      <c r="BA95" s="75"/>
      <c r="BB95" s="75"/>
    </row>
    <row r="96" spans="4:87" ht="30" hidden="1" x14ac:dyDescent="0.3">
      <c r="D96" s="105"/>
      <c r="E96" s="105"/>
      <c r="F96" s="105"/>
      <c r="G96" s="105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T96" s="75"/>
      <c r="AU96" s="75"/>
      <c r="AV96" s="75"/>
      <c r="AW96" s="75"/>
      <c r="AX96" s="75"/>
      <c r="AY96" s="75"/>
      <c r="AZ96" s="75"/>
      <c r="BA96" s="75"/>
      <c r="BB96" s="75"/>
      <c r="CH96" s="47"/>
      <c r="CI96" s="47"/>
    </row>
    <row r="97" spans="2:87" x14ac:dyDescent="0.25">
      <c r="D97" s="105"/>
      <c r="E97" s="105"/>
      <c r="F97" s="105"/>
      <c r="G97" s="105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7"/>
      <c r="AQ97" s="77"/>
      <c r="AR97" s="78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M97" s="109"/>
      <c r="BN97" s="109"/>
      <c r="BO97" s="107"/>
    </row>
    <row r="98" spans="2:87" ht="18.75" thickBot="1" x14ac:dyDescent="0.3">
      <c r="D98" s="105"/>
      <c r="E98" s="105"/>
      <c r="F98" s="105"/>
      <c r="G98" s="105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7"/>
      <c r="AQ98" s="77"/>
      <c r="AR98" s="78"/>
      <c r="AS98" s="78"/>
      <c r="AT98" s="75"/>
      <c r="AU98" s="75"/>
      <c r="AV98" s="75"/>
      <c r="AW98" s="75"/>
      <c r="AX98" s="75"/>
      <c r="AY98" s="75"/>
      <c r="BA98" s="110" t="s">
        <v>49</v>
      </c>
      <c r="BB98" s="75"/>
      <c r="BC98" s="111"/>
      <c r="BD98" s="75"/>
      <c r="BM98" s="109"/>
      <c r="BN98" s="109"/>
      <c r="BO98" s="107"/>
      <c r="BW98" s="112"/>
      <c r="CI98" s="110" t="s">
        <v>48</v>
      </c>
    </row>
    <row r="99" spans="2:87" ht="45.75" customHeight="1" thickBot="1" x14ac:dyDescent="0.4">
      <c r="B99" s="113" t="s">
        <v>108</v>
      </c>
      <c r="C99" s="114"/>
      <c r="D99" s="510" t="str">
        <f>IF(BA99&gt;0," ","change the angle of frame")</f>
        <v xml:space="preserve"> </v>
      </c>
      <c r="E99" s="115"/>
      <c r="F99" s="115"/>
      <c r="G99" s="115"/>
      <c r="H99" s="116"/>
      <c r="I99" s="116"/>
      <c r="J99" s="116"/>
      <c r="K99" s="116"/>
      <c r="L99" s="116"/>
      <c r="M99" s="116"/>
      <c r="N99" s="116"/>
      <c r="O99" s="116"/>
      <c r="P99" s="116"/>
      <c r="T99" s="341" t="s">
        <v>94</v>
      </c>
      <c r="U99" s="336"/>
      <c r="V99" s="336"/>
      <c r="W99" s="336"/>
      <c r="X99" s="342" t="s">
        <v>89</v>
      </c>
      <c r="Y99" s="116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6"/>
      <c r="AQ99" s="117"/>
      <c r="AR99" s="117"/>
      <c r="AS99" s="118"/>
      <c r="AT99" s="75"/>
      <c r="AU99" s="75"/>
      <c r="AV99" s="75"/>
      <c r="AW99" s="75"/>
      <c r="AX99" s="75"/>
      <c r="AY99" s="75"/>
      <c r="AZ99" s="119"/>
      <c r="BA99" s="110">
        <f>-+AW102</f>
        <v>202.02698565560024</v>
      </c>
      <c r="BB99" s="75"/>
      <c r="BC99" s="111"/>
      <c r="BD99" s="75"/>
      <c r="BM99" s="109"/>
      <c r="BN99" s="109"/>
      <c r="BO99" s="107"/>
      <c r="BU99" s="119"/>
      <c r="BW99" s="112"/>
      <c r="CI99" s="110">
        <f>+-AW116</f>
        <v>-217.97301434439976</v>
      </c>
    </row>
    <row r="100" spans="2:87" ht="45.75" customHeight="1" thickBot="1" x14ac:dyDescent="0.45">
      <c r="B100" s="1">
        <v>0</v>
      </c>
      <c r="C100" s="31"/>
      <c r="D100" s="511"/>
      <c r="E100" s="115"/>
      <c r="F100" s="115"/>
      <c r="G100" s="115"/>
      <c r="H100" s="116"/>
      <c r="I100" s="116"/>
      <c r="J100" s="116"/>
      <c r="K100" s="116"/>
      <c r="L100" s="116"/>
      <c r="M100" s="116"/>
      <c r="N100" s="116"/>
      <c r="O100" s="116"/>
      <c r="P100" s="116"/>
      <c r="T100" s="368" t="s">
        <v>86</v>
      </c>
      <c r="U100" s="338" t="s">
        <v>87</v>
      </c>
      <c r="V100" s="338" t="s">
        <v>88</v>
      </c>
      <c r="W100" s="366" t="s">
        <v>110</v>
      </c>
      <c r="X100" s="339" t="s">
        <v>90</v>
      </c>
      <c r="Y100" s="116"/>
      <c r="Z100" s="116"/>
      <c r="AA100" s="116"/>
      <c r="AB100" s="116"/>
      <c r="AC100" s="116"/>
      <c r="AD100" s="116"/>
      <c r="AE100" s="116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6"/>
      <c r="AQ100" s="117"/>
      <c r="AR100" s="117"/>
      <c r="AS100" s="118"/>
      <c r="BB100" s="75"/>
      <c r="BC100" s="75"/>
      <c r="BD100" s="75"/>
      <c r="BM100" s="109"/>
      <c r="BN100" s="109"/>
      <c r="BO100" s="107"/>
    </row>
    <row r="101" spans="2:87" ht="45.75" customHeight="1" thickBot="1" x14ac:dyDescent="0.45">
      <c r="B101" s="506" t="s">
        <v>109</v>
      </c>
      <c r="C101" s="120"/>
      <c r="D101" s="510" t="str">
        <f>IF(CI99&lt;0," ","change the angle of frame")</f>
        <v xml:space="preserve"> </v>
      </c>
      <c r="E101" s="115"/>
      <c r="F101" s="115"/>
      <c r="G101" s="115"/>
      <c r="H101" s="116"/>
      <c r="I101" s="116"/>
      <c r="J101" s="116"/>
      <c r="K101" s="116"/>
      <c r="L101" s="116"/>
      <c r="M101" s="116"/>
      <c r="N101" s="116"/>
      <c r="O101" s="116"/>
      <c r="P101" s="116"/>
      <c r="T101" s="368">
        <v>3.6464278999999999</v>
      </c>
      <c r="U101" s="338">
        <f>+$B$100-T101</f>
        <v>-3.6464278999999999</v>
      </c>
      <c r="V101" s="340">
        <f>COS(U101*3.14159265358979/180)</f>
        <v>0.99797552037648618</v>
      </c>
      <c r="W101" s="367">
        <f>+V101*250.949</f>
        <v>250.44095886295884</v>
      </c>
      <c r="X101" s="365">
        <f>+((X106*AF106)+(W101*1.6))/(AF106+1.6)</f>
        <v>248.9981990147042</v>
      </c>
      <c r="Y101" s="116"/>
      <c r="Z101" s="116"/>
      <c r="AA101" s="239"/>
      <c r="AB101" s="333"/>
      <c r="AC101" s="116"/>
      <c r="AD101" s="116"/>
      <c r="AE101" s="116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6"/>
      <c r="AQ101" s="121"/>
      <c r="AR101" s="117"/>
      <c r="AT101" s="75"/>
      <c r="AU101" s="75"/>
      <c r="AV101" s="185" t="s">
        <v>79</v>
      </c>
      <c r="AW101" s="75"/>
      <c r="AX101" s="75"/>
      <c r="AY101" s="75"/>
      <c r="AZ101" s="75"/>
      <c r="BA101" s="75"/>
      <c r="BB101" s="122"/>
      <c r="BC101" s="122"/>
      <c r="BD101" s="122"/>
      <c r="BM101" s="109"/>
      <c r="BN101" s="109"/>
      <c r="BO101" s="107"/>
    </row>
    <row r="102" spans="2:87" ht="45.75" customHeight="1" thickBot="1" x14ac:dyDescent="0.45">
      <c r="B102" s="507"/>
      <c r="C102" s="120"/>
      <c r="D102" s="511"/>
      <c r="E102" s="115"/>
      <c r="F102" s="115"/>
      <c r="G102" s="115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482" t="s">
        <v>107</v>
      </c>
      <c r="AO102" s="117"/>
      <c r="AP102" s="116"/>
      <c r="AQ102" s="121"/>
      <c r="AR102" s="117"/>
      <c r="AT102" s="186">
        <v>1</v>
      </c>
      <c r="AU102" s="387">
        <v>0</v>
      </c>
      <c r="AV102" s="188">
        <f>+COS(($B$100*-1)*3.14159265358979/180)*AU102</f>
        <v>0</v>
      </c>
      <c r="AW102" s="189">
        <f t="shared" ref="AW102:AW116" si="3">+AV102-D$3</f>
        <v>-202.02698565560024</v>
      </c>
      <c r="AX102" s="190">
        <f t="shared" ref="AX102:AX116" si="4">ABS(AW102)</f>
        <v>202.02698565560024</v>
      </c>
      <c r="AY102" s="191">
        <f>MIN(AX102:AX153)</f>
        <v>7.9730143443997576</v>
      </c>
      <c r="AZ102" s="190" t="b">
        <f>IF(AY102=AX102,AT102)</f>
        <v>0</v>
      </c>
      <c r="BA102" s="192">
        <v>1</v>
      </c>
      <c r="BB102" s="122"/>
      <c r="BC102" s="122"/>
      <c r="BD102" s="122"/>
      <c r="BM102" s="109"/>
      <c r="BN102" s="109"/>
      <c r="BO102" s="107"/>
    </row>
    <row r="103" spans="2:87" ht="27" hidden="1" thickBot="1" x14ac:dyDescent="0.45">
      <c r="B103" s="9">
        <v>1</v>
      </c>
      <c r="C103" s="123"/>
      <c r="D103" s="124"/>
      <c r="E103" s="125"/>
      <c r="F103" s="126"/>
      <c r="G103" s="126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5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508" t="s">
        <v>44</v>
      </c>
      <c r="AO103" s="509"/>
      <c r="AP103" s="129"/>
      <c r="AQ103" s="130"/>
      <c r="AT103" s="186">
        <v>2</v>
      </c>
      <c r="AU103" s="387">
        <f>+AU102+30</f>
        <v>30</v>
      </c>
      <c r="AV103" s="17">
        <f>+AV102+$E$2</f>
        <v>30</v>
      </c>
      <c r="AW103" s="189">
        <f t="shared" si="3"/>
        <v>-172.02698565560024</v>
      </c>
      <c r="AX103" s="190">
        <f t="shared" si="4"/>
        <v>172.02698565560024</v>
      </c>
      <c r="AY103" s="190">
        <f>+AY102</f>
        <v>7.9730143443997576</v>
      </c>
      <c r="AZ103" s="190" t="b">
        <f t="shared" ref="AZ103:AZ116" si="5">IF(AY103=AX103,AT103)</f>
        <v>0</v>
      </c>
      <c r="BA103" s="192">
        <v>2</v>
      </c>
      <c r="BB103" s="122"/>
      <c r="BC103" s="122"/>
      <c r="BD103" s="122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</row>
    <row r="104" spans="2:87" ht="42" hidden="1" thickBot="1" x14ac:dyDescent="0.45">
      <c r="B104" s="131"/>
      <c r="C104" s="132"/>
      <c r="D104" s="133"/>
      <c r="F104" s="134"/>
      <c r="H104" s="135" t="s">
        <v>4</v>
      </c>
      <c r="I104" s="135" t="s">
        <v>1</v>
      </c>
      <c r="J104" s="136" t="s">
        <v>0</v>
      </c>
      <c r="K104" s="136" t="s">
        <v>2</v>
      </c>
      <c r="L104" s="136" t="s">
        <v>3</v>
      </c>
      <c r="M104" s="136" t="s">
        <v>8</v>
      </c>
      <c r="N104" s="136" t="s">
        <v>5</v>
      </c>
      <c r="O104" s="136" t="s">
        <v>6</v>
      </c>
      <c r="P104" s="136" t="s">
        <v>7</v>
      </c>
      <c r="Q104" s="136" t="s">
        <v>9</v>
      </c>
      <c r="R104" s="137" t="s">
        <v>10</v>
      </c>
      <c r="S104" s="136" t="s">
        <v>11</v>
      </c>
      <c r="T104" s="138" t="s">
        <v>12</v>
      </c>
      <c r="U104" s="139"/>
      <c r="V104" s="139"/>
      <c r="W104" s="140"/>
      <c r="X104" s="139"/>
      <c r="Y104" s="139"/>
      <c r="Z104" s="364" t="s">
        <v>93</v>
      </c>
      <c r="AA104" s="364"/>
      <c r="AB104" s="364" t="s">
        <v>93</v>
      </c>
      <c r="AC104" s="364" t="s">
        <v>93</v>
      </c>
      <c r="AD104" s="364"/>
      <c r="AE104" s="364" t="s">
        <v>93</v>
      </c>
      <c r="AF104" s="139"/>
      <c r="AG104" s="139"/>
      <c r="AH104" s="139"/>
      <c r="AI104" s="139"/>
      <c r="AJ104" s="139"/>
      <c r="AK104" s="139"/>
      <c r="AL104" s="140" t="s">
        <v>39</v>
      </c>
      <c r="AM104" s="140" t="s">
        <v>39</v>
      </c>
      <c r="AN104" s="141"/>
      <c r="AO104" s="142"/>
      <c r="AP104" s="107"/>
      <c r="AQ104" s="143"/>
      <c r="AT104" s="186">
        <v>3</v>
      </c>
      <c r="AU104" s="387">
        <f t="shared" ref="AU104:AU116" si="6">+AU103+30</f>
        <v>60</v>
      </c>
      <c r="AV104" s="17">
        <f t="shared" ref="AV104:AV116" si="7">+AV103+$E$2</f>
        <v>60</v>
      </c>
      <c r="AW104" s="189">
        <f t="shared" si="3"/>
        <v>-142.02698565560024</v>
      </c>
      <c r="AX104" s="190">
        <f t="shared" si="4"/>
        <v>142.02698565560024</v>
      </c>
      <c r="AY104" s="190">
        <f t="shared" ref="AY104:AY116" si="8">+AY103</f>
        <v>7.9730143443997576</v>
      </c>
      <c r="AZ104" s="190" t="b">
        <f t="shared" si="5"/>
        <v>0</v>
      </c>
      <c r="BA104" s="192">
        <v>3</v>
      </c>
      <c r="BB104" s="122"/>
      <c r="BC104" s="122"/>
      <c r="BD104" s="122"/>
      <c r="BN104" s="144"/>
      <c r="BO104" s="144"/>
      <c r="BP104" s="144"/>
      <c r="BQ104" s="144"/>
      <c r="BR104" s="144"/>
      <c r="BS104" s="144"/>
    </row>
    <row r="105" spans="2:87" ht="42" hidden="1" customHeight="1" thickBot="1" x14ac:dyDescent="0.45">
      <c r="B105" s="145"/>
      <c r="C105" s="146"/>
      <c r="D105" s="460" t="s">
        <v>107</v>
      </c>
      <c r="E105" s="125"/>
      <c r="F105" s="147"/>
      <c r="H105" s="148"/>
      <c r="I105" s="149"/>
      <c r="J105" s="53"/>
      <c r="K105" s="53"/>
      <c r="L105" s="53"/>
      <c r="M105" s="53"/>
      <c r="N105" s="53"/>
      <c r="O105" s="53"/>
      <c r="P105" s="53"/>
      <c r="Q105" s="53"/>
      <c r="R105" s="150"/>
      <c r="S105" s="53"/>
      <c r="T105" s="151"/>
      <c r="U105" s="152"/>
      <c r="V105" s="152"/>
      <c r="W105" s="152"/>
      <c r="X105" s="139" t="s">
        <v>34</v>
      </c>
      <c r="Y105" s="153" t="s">
        <v>27</v>
      </c>
      <c r="Z105" s="453" t="s">
        <v>77</v>
      </c>
      <c r="AA105" s="454" t="s">
        <v>28</v>
      </c>
      <c r="AB105" s="453" t="s">
        <v>29</v>
      </c>
      <c r="AC105" s="453" t="s">
        <v>78</v>
      </c>
      <c r="AD105" s="364" t="s">
        <v>30</v>
      </c>
      <c r="AE105" s="455" t="s">
        <v>31</v>
      </c>
      <c r="AF105" s="361" t="s">
        <v>32</v>
      </c>
      <c r="AG105" s="364" t="s">
        <v>33</v>
      </c>
      <c r="AH105" s="364" t="s">
        <v>35</v>
      </c>
      <c r="AI105" s="364" t="s">
        <v>36</v>
      </c>
      <c r="AJ105" s="459" t="s">
        <v>37</v>
      </c>
      <c r="AK105" s="459" t="s">
        <v>38</v>
      </c>
      <c r="AL105" s="154" t="s">
        <v>20</v>
      </c>
      <c r="AM105" s="154" t="s">
        <v>21</v>
      </c>
      <c r="AN105" s="155" t="s">
        <v>20</v>
      </c>
      <c r="AO105" s="155" t="s">
        <v>21</v>
      </c>
      <c r="AP105" s="107"/>
      <c r="AR105" s="156"/>
      <c r="AT105" s="186">
        <v>4</v>
      </c>
      <c r="AU105" s="387">
        <f t="shared" si="6"/>
        <v>90</v>
      </c>
      <c r="AV105" s="17">
        <f t="shared" si="7"/>
        <v>90</v>
      </c>
      <c r="AW105" s="189">
        <f t="shared" si="3"/>
        <v>-112.02698565560024</v>
      </c>
      <c r="AX105" s="190">
        <f t="shared" si="4"/>
        <v>112.02698565560024</v>
      </c>
      <c r="AY105" s="190">
        <f t="shared" si="8"/>
        <v>7.9730143443997576</v>
      </c>
      <c r="AZ105" s="190" t="b">
        <f t="shared" si="5"/>
        <v>0</v>
      </c>
      <c r="BA105" s="192">
        <v>4</v>
      </c>
      <c r="BB105" s="122"/>
      <c r="BC105" s="122"/>
      <c r="BD105" s="122"/>
    </row>
    <row r="106" spans="2:87" ht="21" hidden="1" thickBot="1" x14ac:dyDescent="0.45">
      <c r="B106" s="157">
        <v>1</v>
      </c>
      <c r="C106" s="158">
        <f>+($B$100*-1)+D106</f>
        <v>0</v>
      </c>
      <c r="D106" s="8">
        <v>0</v>
      </c>
      <c r="E106" s="369"/>
      <c r="F106" s="370"/>
      <c r="G106" s="160">
        <f>+D106</f>
        <v>0</v>
      </c>
      <c r="H106" s="161">
        <v>418.99360000000001</v>
      </c>
      <c r="I106" s="162">
        <v>107.0869936</v>
      </c>
      <c r="J106" s="76">
        <f>+I106-C106</f>
        <v>107.0869936</v>
      </c>
      <c r="K106" s="76">
        <f t="shared" ref="K106:K125" si="9">+J106/2</f>
        <v>53.5434968</v>
      </c>
      <c r="L106" s="76">
        <f t="shared" ref="L106:L125" si="10">SIN(K106*3.14159265358979/180)</f>
        <v>0.80430819601038916</v>
      </c>
      <c r="M106" s="76">
        <f t="shared" ref="M106:M125" si="11">+L106*H106</f>
        <v>336.9999865558986</v>
      </c>
      <c r="N106" s="76">
        <f t="shared" ref="N106:N125" si="12">+M106*2</f>
        <v>673.9999731117972</v>
      </c>
      <c r="O106" s="76">
        <f>+C106/2</f>
        <v>0</v>
      </c>
      <c r="P106" s="76">
        <f t="shared" ref="P106:P125" si="13">SIN(O106*3.14159265358979/180)</f>
        <v>0</v>
      </c>
      <c r="Q106" s="76">
        <f t="shared" ref="Q106:Q125" si="14">+P106*N106</f>
        <v>0</v>
      </c>
      <c r="R106" s="163">
        <v>248.97120000000001</v>
      </c>
      <c r="S106" s="76">
        <f>+R106+Q106</f>
        <v>248.97120000000001</v>
      </c>
      <c r="T106" s="164">
        <f t="shared" ref="T106:T125" si="15">+S106</f>
        <v>248.97120000000001</v>
      </c>
      <c r="U106" s="51"/>
      <c r="V106" s="165">
        <f t="shared" ref="V106:V125" si="16">IF(B106&lt;($B$103+1),T106,0)</f>
        <v>248.97120000000001</v>
      </c>
      <c r="W106" s="160"/>
      <c r="X106" s="165">
        <f>SUM(V106:V125)/($B$103)</f>
        <v>248.97120000000001</v>
      </c>
      <c r="Y106" s="166">
        <f>+C106</f>
        <v>0</v>
      </c>
      <c r="Z106" s="456">
        <f>66.2555484-Y106</f>
        <v>66.255548399999995</v>
      </c>
      <c r="AA106" s="457">
        <f t="shared" ref="AA106:AA125" si="17">SIN(Z106*3.14159265358979/180)</f>
        <v>0.91535047595051022</v>
      </c>
      <c r="AB106" s="456">
        <f>+AA106*304.3209</f>
        <v>278.56028065668761</v>
      </c>
      <c r="AC106" s="456">
        <f>50.0185497+Y106</f>
        <v>50.018549700000001</v>
      </c>
      <c r="AD106" s="457">
        <f>SIN(AC106*3.14159265358979/180)</f>
        <v>0.76625250760411079</v>
      </c>
      <c r="AE106" s="456">
        <f>+AD106*279.0605</f>
        <v>213.83080789825695</v>
      </c>
      <c r="AF106" s="362">
        <f>28.5*3*B103</f>
        <v>85.5</v>
      </c>
      <c r="AG106" s="456">
        <f>+AE106+AB106</f>
        <v>492.39108855494453</v>
      </c>
      <c r="AH106" s="456">
        <f>+V106-AE106</f>
        <v>35.14039210174306</v>
      </c>
      <c r="AI106" s="456">
        <f>+X106-AH106</f>
        <v>213.83080789825695</v>
      </c>
      <c r="AJ106" s="456">
        <f>+((AG106-AI106)/AG106)*AF106</f>
        <v>48.369892448793031</v>
      </c>
      <c r="AK106" s="456">
        <f>+(AI106/AG106)*AF106</f>
        <v>37.130107551206976</v>
      </c>
      <c r="AL106" s="167">
        <f t="shared" ref="AL106:AL125" si="18">2*$C$7/AJ106</f>
        <v>239.81860229026523</v>
      </c>
      <c r="AM106" s="168">
        <f t="shared" ref="AM106:AM125" si="19">$D$7/AK106</f>
        <v>269.32321664322603</v>
      </c>
      <c r="AN106" s="169">
        <f>ABS(AL106)</f>
        <v>239.81860229026523</v>
      </c>
      <c r="AO106" s="169">
        <f>ABS(AM106)</f>
        <v>269.32321664322603</v>
      </c>
      <c r="AP106" s="57"/>
      <c r="AR106" s="170"/>
      <c r="AT106" s="186">
        <v>5</v>
      </c>
      <c r="AU106" s="387">
        <f t="shared" si="6"/>
        <v>120</v>
      </c>
      <c r="AV106" s="17">
        <f t="shared" si="7"/>
        <v>120</v>
      </c>
      <c r="AW106" s="189">
        <f t="shared" si="3"/>
        <v>-82.026985655600242</v>
      </c>
      <c r="AX106" s="190">
        <f t="shared" si="4"/>
        <v>82.026985655600242</v>
      </c>
      <c r="AY106" s="190">
        <f t="shared" si="8"/>
        <v>7.9730143443997576</v>
      </c>
      <c r="AZ106" s="190" t="b">
        <f t="shared" si="5"/>
        <v>0</v>
      </c>
      <c r="BA106" s="192">
        <v>5</v>
      </c>
      <c r="BB106" s="122"/>
      <c r="BC106" s="122"/>
      <c r="BD106" s="122"/>
    </row>
    <row r="107" spans="2:87" ht="21" hidden="1" thickBot="1" x14ac:dyDescent="0.45">
      <c r="B107" s="171">
        <v>2</v>
      </c>
      <c r="C107" s="172"/>
      <c r="D107" s="8">
        <v>0</v>
      </c>
      <c r="E107" s="371"/>
      <c r="F107" s="298"/>
      <c r="G107" s="175">
        <f t="shared" ref="G107:G125" si="20">+D107+AP107</f>
        <v>0</v>
      </c>
      <c r="H107" s="161">
        <v>418.99360000000001</v>
      </c>
      <c r="I107" s="162">
        <v>107.0869936</v>
      </c>
      <c r="J107" s="57">
        <f t="shared" ref="J107:J125" si="21">+I107-D107</f>
        <v>107.0869936</v>
      </c>
      <c r="K107" s="57">
        <f t="shared" si="9"/>
        <v>53.5434968</v>
      </c>
      <c r="L107" s="57">
        <f>SIN(K107*3.14159265358979/180)</f>
        <v>0.80430819601038916</v>
      </c>
      <c r="M107" s="57">
        <f t="shared" si="11"/>
        <v>336.9999865558986</v>
      </c>
      <c r="N107" s="57">
        <f t="shared" si="12"/>
        <v>673.9999731117972</v>
      </c>
      <c r="O107" s="57">
        <f>+C106+(D107/2)</f>
        <v>0</v>
      </c>
      <c r="P107" s="57">
        <f t="shared" si="13"/>
        <v>0</v>
      </c>
      <c r="Q107" s="57">
        <f t="shared" si="14"/>
        <v>0</v>
      </c>
      <c r="R107" s="57">
        <f t="shared" ref="R107:R125" si="22">+T106</f>
        <v>248.97120000000001</v>
      </c>
      <c r="S107" s="57">
        <f>+R107+Q107</f>
        <v>248.97120000000001</v>
      </c>
      <c r="T107" s="177">
        <f t="shared" si="15"/>
        <v>248.97120000000001</v>
      </c>
      <c r="U107" s="107"/>
      <c r="V107" s="178">
        <f t="shared" si="16"/>
        <v>0</v>
      </c>
      <c r="W107" s="160"/>
      <c r="X107" s="178" t="e">
        <f t="shared" ref="X107:X125" si="23">SUM(V107:V126)/($B$103-B106)</f>
        <v>#DIV/0!</v>
      </c>
      <c r="Y107" s="179">
        <f>SUM(D107)+$C$106</f>
        <v>0</v>
      </c>
      <c r="Z107" s="452">
        <f t="shared" ref="Z107:Z125" si="24">66.2555484-Y107</f>
        <v>66.255548399999995</v>
      </c>
      <c r="AA107" s="458">
        <f t="shared" si="17"/>
        <v>0.91535047595051022</v>
      </c>
      <c r="AB107" s="452">
        <f t="shared" ref="AB107:AB125" si="25">+AA107*304.3209</f>
        <v>278.56028065668761</v>
      </c>
      <c r="AC107" s="452">
        <f t="shared" ref="AC107:AC125" si="26">50.0185497+Y107</f>
        <v>50.018549700000001</v>
      </c>
      <c r="AD107" s="458">
        <f t="shared" ref="AD107:AD125" si="27">SIN(AC107*3.14159265358979/180)</f>
        <v>0.76625250760411079</v>
      </c>
      <c r="AE107" s="452">
        <f t="shared" ref="AE107:AE125" si="28">+AD107*279.0605</f>
        <v>213.83080789825695</v>
      </c>
      <c r="AF107" s="363">
        <f>28.5*($B$103-B106)</f>
        <v>0</v>
      </c>
      <c r="AG107" s="452">
        <f t="shared" ref="AG107:AG125" si="29">+AE107+AB107</f>
        <v>492.39108855494453</v>
      </c>
      <c r="AH107" s="452">
        <f>+V107-AE107</f>
        <v>-213.83080789825695</v>
      </c>
      <c r="AI107" s="452" t="e">
        <f>+X107-AH107</f>
        <v>#DIV/0!</v>
      </c>
      <c r="AJ107" s="452" t="e">
        <f t="shared" ref="AJ107:AJ125" si="30">+((AG107-AI107)/AG107)*AF107</f>
        <v>#DIV/0!</v>
      </c>
      <c r="AK107" s="452" t="e">
        <f t="shared" ref="AK107:AK125" si="31">+(AI107/AG107)*AF107</f>
        <v>#DIV/0!</v>
      </c>
      <c r="AL107" s="167" t="e">
        <f t="shared" si="18"/>
        <v>#DIV/0!</v>
      </c>
      <c r="AM107" s="168" t="e">
        <f t="shared" si="19"/>
        <v>#DIV/0!</v>
      </c>
      <c r="AN107" s="182" t="e">
        <f t="shared" ref="AN107:AO125" si="32">ABS(AL107)</f>
        <v>#DIV/0!</v>
      </c>
      <c r="AO107" s="169" t="e">
        <f t="shared" si="32"/>
        <v>#DIV/0!</v>
      </c>
      <c r="AR107" s="107"/>
      <c r="AT107" s="186">
        <v>6</v>
      </c>
      <c r="AU107" s="387">
        <f t="shared" si="6"/>
        <v>150</v>
      </c>
      <c r="AV107" s="17">
        <f t="shared" si="7"/>
        <v>150</v>
      </c>
      <c r="AW107" s="189">
        <f t="shared" si="3"/>
        <v>-52.026985655600242</v>
      </c>
      <c r="AX107" s="190">
        <f t="shared" si="4"/>
        <v>52.026985655600242</v>
      </c>
      <c r="AY107" s="190">
        <f t="shared" si="8"/>
        <v>7.9730143443997576</v>
      </c>
      <c r="AZ107" s="190" t="b">
        <f t="shared" si="5"/>
        <v>0</v>
      </c>
      <c r="BA107" s="192">
        <v>6</v>
      </c>
      <c r="BB107" s="122"/>
      <c r="BC107" s="122"/>
      <c r="BD107" s="122"/>
    </row>
    <row r="108" spans="2:87" ht="21" hidden="1" thickBot="1" x14ac:dyDescent="0.45">
      <c r="B108" s="171">
        <v>3</v>
      </c>
      <c r="C108" s="172"/>
      <c r="D108" s="8">
        <v>0</v>
      </c>
      <c r="E108" s="369"/>
      <c r="F108" s="372"/>
      <c r="G108" s="175">
        <f t="shared" si="20"/>
        <v>0</v>
      </c>
      <c r="H108" s="161">
        <v>418.99360000000001</v>
      </c>
      <c r="I108" s="162">
        <v>107.0869936</v>
      </c>
      <c r="J108" s="57">
        <f t="shared" si="21"/>
        <v>107.0869936</v>
      </c>
      <c r="K108" s="57">
        <f t="shared" si="9"/>
        <v>53.5434968</v>
      </c>
      <c r="L108" s="57">
        <f t="shared" si="10"/>
        <v>0.80430819601038916</v>
      </c>
      <c r="M108" s="57">
        <f t="shared" si="11"/>
        <v>336.9999865558986</v>
      </c>
      <c r="N108" s="57">
        <f t="shared" si="12"/>
        <v>673.9999731117972</v>
      </c>
      <c r="O108" s="57">
        <f>+C106+D107+(D108/2)</f>
        <v>0</v>
      </c>
      <c r="P108" s="57">
        <f t="shared" si="13"/>
        <v>0</v>
      </c>
      <c r="Q108" s="57">
        <f t="shared" si="14"/>
        <v>0</v>
      </c>
      <c r="R108" s="57">
        <f t="shared" si="22"/>
        <v>248.97120000000001</v>
      </c>
      <c r="S108" s="57">
        <f t="shared" ref="S108:S125" si="33">+S107+Q108</f>
        <v>248.97120000000001</v>
      </c>
      <c r="T108" s="177">
        <f t="shared" si="15"/>
        <v>248.97120000000001</v>
      </c>
      <c r="U108" s="107"/>
      <c r="V108" s="178">
        <f t="shared" si="16"/>
        <v>0</v>
      </c>
      <c r="W108" s="160"/>
      <c r="X108" s="178">
        <f t="shared" si="23"/>
        <v>0</v>
      </c>
      <c r="Y108" s="179">
        <f>SUM(D107:D108)+$C$106</f>
        <v>0</v>
      </c>
      <c r="Z108" s="452">
        <f t="shared" si="24"/>
        <v>66.255548399999995</v>
      </c>
      <c r="AA108" s="458">
        <f t="shared" si="17"/>
        <v>0.91535047595051022</v>
      </c>
      <c r="AB108" s="452">
        <f t="shared" si="25"/>
        <v>278.56028065668761</v>
      </c>
      <c r="AC108" s="452">
        <f t="shared" si="26"/>
        <v>50.018549700000001</v>
      </c>
      <c r="AD108" s="458">
        <f t="shared" si="27"/>
        <v>0.76625250760411079</v>
      </c>
      <c r="AE108" s="452">
        <f t="shared" si="28"/>
        <v>213.83080789825695</v>
      </c>
      <c r="AF108" s="363">
        <f t="shared" ref="AF108:AF125" si="34">28.5*($B$103-B107)</f>
        <v>-28.5</v>
      </c>
      <c r="AG108" s="452">
        <f t="shared" si="29"/>
        <v>492.39108855494453</v>
      </c>
      <c r="AH108" s="452">
        <f>+V108-AE108</f>
        <v>-213.83080789825695</v>
      </c>
      <c r="AI108" s="452">
        <f>+X108-AH108</f>
        <v>213.83080789825695</v>
      </c>
      <c r="AJ108" s="452">
        <f t="shared" si="30"/>
        <v>-16.123297482931012</v>
      </c>
      <c r="AK108" s="452">
        <f t="shared" si="31"/>
        <v>-12.376702517068994</v>
      </c>
      <c r="AL108" s="167">
        <f t="shared" si="18"/>
        <v>-719.45580687079564</v>
      </c>
      <c r="AM108" s="168">
        <f t="shared" si="19"/>
        <v>-807.9696499296781</v>
      </c>
      <c r="AN108" s="169">
        <f t="shared" si="32"/>
        <v>719.45580687079564</v>
      </c>
      <c r="AO108" s="169">
        <f t="shared" si="32"/>
        <v>807.9696499296781</v>
      </c>
      <c r="AT108" s="186">
        <v>7</v>
      </c>
      <c r="AU108" s="387">
        <f t="shared" si="6"/>
        <v>180</v>
      </c>
      <c r="AV108" s="17">
        <f t="shared" si="7"/>
        <v>180</v>
      </c>
      <c r="AW108" s="189">
        <f t="shared" si="3"/>
        <v>-22.026985655600242</v>
      </c>
      <c r="AX108" s="190">
        <f t="shared" si="4"/>
        <v>22.026985655600242</v>
      </c>
      <c r="AY108" s="190">
        <f t="shared" si="8"/>
        <v>7.9730143443997576</v>
      </c>
      <c r="AZ108" s="190" t="b">
        <f t="shared" si="5"/>
        <v>0</v>
      </c>
      <c r="BA108" s="192">
        <v>7</v>
      </c>
      <c r="BB108" s="122"/>
      <c r="BC108" s="122"/>
      <c r="BD108" s="122"/>
    </row>
    <row r="109" spans="2:87" ht="21" hidden="1" thickBot="1" x14ac:dyDescent="0.45">
      <c r="B109" s="171">
        <v>4</v>
      </c>
      <c r="C109" s="172"/>
      <c r="D109" s="8">
        <v>0</v>
      </c>
      <c r="E109" s="369"/>
      <c r="F109" s="372"/>
      <c r="G109" s="175">
        <f t="shared" si="20"/>
        <v>0</v>
      </c>
      <c r="H109" s="161">
        <v>418.99360000000001</v>
      </c>
      <c r="I109" s="162">
        <v>107.0869936</v>
      </c>
      <c r="J109" s="57">
        <f t="shared" si="21"/>
        <v>107.0869936</v>
      </c>
      <c r="K109" s="57">
        <f t="shared" si="9"/>
        <v>53.5434968</v>
      </c>
      <c r="L109" s="57">
        <f t="shared" si="10"/>
        <v>0.80430819601038916</v>
      </c>
      <c r="M109" s="57">
        <f t="shared" si="11"/>
        <v>336.9999865558986</v>
      </c>
      <c r="N109" s="57">
        <f t="shared" si="12"/>
        <v>673.9999731117972</v>
      </c>
      <c r="O109" s="57">
        <f>+C106+D107+D108+(D109/2)</f>
        <v>0</v>
      </c>
      <c r="P109" s="57">
        <f t="shared" si="13"/>
        <v>0</v>
      </c>
      <c r="Q109" s="57">
        <f t="shared" si="14"/>
        <v>0</v>
      </c>
      <c r="R109" s="57">
        <f t="shared" si="22"/>
        <v>248.97120000000001</v>
      </c>
      <c r="S109" s="57">
        <f t="shared" si="33"/>
        <v>248.97120000000001</v>
      </c>
      <c r="T109" s="177">
        <f t="shared" si="15"/>
        <v>248.97120000000001</v>
      </c>
      <c r="U109" s="107"/>
      <c r="V109" s="178">
        <f t="shared" si="16"/>
        <v>0</v>
      </c>
      <c r="W109" s="160"/>
      <c r="X109" s="178">
        <f t="shared" si="23"/>
        <v>0</v>
      </c>
      <c r="Y109" s="179">
        <f>SUM(D107:D109)+$C$106</f>
        <v>0</v>
      </c>
      <c r="Z109" s="452">
        <f t="shared" si="24"/>
        <v>66.255548399999995</v>
      </c>
      <c r="AA109" s="458">
        <f t="shared" si="17"/>
        <v>0.91535047595051022</v>
      </c>
      <c r="AB109" s="452">
        <f t="shared" si="25"/>
        <v>278.56028065668761</v>
      </c>
      <c r="AC109" s="452">
        <f t="shared" si="26"/>
        <v>50.018549700000001</v>
      </c>
      <c r="AD109" s="458">
        <f t="shared" si="27"/>
        <v>0.76625250760411079</v>
      </c>
      <c r="AE109" s="452">
        <f t="shared" si="28"/>
        <v>213.83080789825695</v>
      </c>
      <c r="AF109" s="363">
        <f t="shared" si="34"/>
        <v>-57</v>
      </c>
      <c r="AG109" s="452">
        <f t="shared" si="29"/>
        <v>492.39108855494453</v>
      </c>
      <c r="AH109" s="452">
        <f>+V109-AE109</f>
        <v>-213.83080789825695</v>
      </c>
      <c r="AI109" s="452">
        <f t="shared" ref="AI109:AI125" si="35">+X109-AH109</f>
        <v>213.83080789825695</v>
      </c>
      <c r="AJ109" s="452">
        <f t="shared" si="30"/>
        <v>-32.246594965862023</v>
      </c>
      <c r="AK109" s="452">
        <f t="shared" si="31"/>
        <v>-24.753405034137987</v>
      </c>
      <c r="AL109" s="167">
        <f t="shared" si="18"/>
        <v>-359.72790343539782</v>
      </c>
      <c r="AM109" s="168">
        <f t="shared" si="19"/>
        <v>-403.98482496483905</v>
      </c>
      <c r="AN109" s="169">
        <f t="shared" si="32"/>
        <v>359.72790343539782</v>
      </c>
      <c r="AO109" s="169">
        <f t="shared" si="32"/>
        <v>403.98482496483905</v>
      </c>
      <c r="AT109" s="186">
        <v>8</v>
      </c>
      <c r="AU109" s="387">
        <f t="shared" si="6"/>
        <v>210</v>
      </c>
      <c r="AV109" s="17">
        <f t="shared" si="7"/>
        <v>210</v>
      </c>
      <c r="AW109" s="189">
        <f t="shared" si="3"/>
        <v>7.9730143443997576</v>
      </c>
      <c r="AX109" s="190">
        <f t="shared" si="4"/>
        <v>7.9730143443997576</v>
      </c>
      <c r="AY109" s="190">
        <f t="shared" si="8"/>
        <v>7.9730143443997576</v>
      </c>
      <c r="AZ109" s="190">
        <f t="shared" si="5"/>
        <v>8</v>
      </c>
      <c r="BA109" s="192">
        <v>8</v>
      </c>
      <c r="BB109" s="122"/>
      <c r="BC109" s="122"/>
      <c r="BD109" s="122"/>
    </row>
    <row r="110" spans="2:87" ht="21" hidden="1" thickBot="1" x14ac:dyDescent="0.45">
      <c r="B110" s="171">
        <v>5</v>
      </c>
      <c r="C110" s="172"/>
      <c r="D110" s="8">
        <v>0</v>
      </c>
      <c r="E110" s="369"/>
      <c r="F110" s="372"/>
      <c r="G110" s="175">
        <f t="shared" si="20"/>
        <v>0</v>
      </c>
      <c r="H110" s="161">
        <v>418.99360000000001</v>
      </c>
      <c r="I110" s="162">
        <v>107.0869936</v>
      </c>
      <c r="J110" s="57">
        <f t="shared" si="21"/>
        <v>107.0869936</v>
      </c>
      <c r="K110" s="57">
        <f t="shared" si="9"/>
        <v>53.5434968</v>
      </c>
      <c r="L110" s="57">
        <f t="shared" si="10"/>
        <v>0.80430819601038916</v>
      </c>
      <c r="M110" s="57">
        <f t="shared" si="11"/>
        <v>336.9999865558986</v>
      </c>
      <c r="N110" s="57">
        <f t="shared" si="12"/>
        <v>673.9999731117972</v>
      </c>
      <c r="O110" s="57">
        <f>+C106+D107+D108+D109+(D110/2)</f>
        <v>0</v>
      </c>
      <c r="P110" s="57">
        <f t="shared" si="13"/>
        <v>0</v>
      </c>
      <c r="Q110" s="57">
        <f t="shared" si="14"/>
        <v>0</v>
      </c>
      <c r="R110" s="57">
        <f t="shared" si="22"/>
        <v>248.97120000000001</v>
      </c>
      <c r="S110" s="57">
        <f t="shared" si="33"/>
        <v>248.97120000000001</v>
      </c>
      <c r="T110" s="177">
        <f t="shared" si="15"/>
        <v>248.97120000000001</v>
      </c>
      <c r="U110" s="107"/>
      <c r="V110" s="178">
        <f t="shared" si="16"/>
        <v>0</v>
      </c>
      <c r="W110" s="160"/>
      <c r="X110" s="178">
        <f t="shared" si="23"/>
        <v>0</v>
      </c>
      <c r="Y110" s="179">
        <f>SUM(D107:D110)+$C$106</f>
        <v>0</v>
      </c>
      <c r="Z110" s="452">
        <f t="shared" si="24"/>
        <v>66.255548399999995</v>
      </c>
      <c r="AA110" s="458">
        <f t="shared" si="17"/>
        <v>0.91535047595051022</v>
      </c>
      <c r="AB110" s="452">
        <f t="shared" si="25"/>
        <v>278.56028065668761</v>
      </c>
      <c r="AC110" s="452">
        <f t="shared" si="26"/>
        <v>50.018549700000001</v>
      </c>
      <c r="AD110" s="458">
        <f t="shared" si="27"/>
        <v>0.76625250760411079</v>
      </c>
      <c r="AE110" s="452">
        <f t="shared" si="28"/>
        <v>213.83080789825695</v>
      </c>
      <c r="AF110" s="363">
        <f t="shared" si="34"/>
        <v>-85.5</v>
      </c>
      <c r="AG110" s="452">
        <f t="shared" si="29"/>
        <v>492.39108855494453</v>
      </c>
      <c r="AH110" s="452">
        <f t="shared" ref="AH110:AH125" si="36">+V110-AE110</f>
        <v>-213.83080789825695</v>
      </c>
      <c r="AI110" s="452">
        <f t="shared" si="35"/>
        <v>213.83080789825695</v>
      </c>
      <c r="AJ110" s="452">
        <f t="shared" si="30"/>
        <v>-48.369892448793031</v>
      </c>
      <c r="AK110" s="452">
        <f t="shared" si="31"/>
        <v>-37.130107551206976</v>
      </c>
      <c r="AL110" s="167">
        <f t="shared" si="18"/>
        <v>-239.81860229026523</v>
      </c>
      <c r="AM110" s="168">
        <f t="shared" si="19"/>
        <v>-269.32321664322603</v>
      </c>
      <c r="AN110" s="169">
        <f t="shared" si="32"/>
        <v>239.81860229026523</v>
      </c>
      <c r="AO110" s="169">
        <f t="shared" si="32"/>
        <v>269.32321664322603</v>
      </c>
      <c r="AR110" s="183"/>
      <c r="AT110" s="186">
        <v>9</v>
      </c>
      <c r="AU110" s="387">
        <f t="shared" si="6"/>
        <v>240</v>
      </c>
      <c r="AV110" s="17">
        <f t="shared" si="7"/>
        <v>240</v>
      </c>
      <c r="AW110" s="189">
        <f t="shared" si="3"/>
        <v>37.973014344399758</v>
      </c>
      <c r="AX110" s="190">
        <f t="shared" si="4"/>
        <v>37.973014344399758</v>
      </c>
      <c r="AY110" s="190">
        <f t="shared" si="8"/>
        <v>7.9730143443997576</v>
      </c>
      <c r="AZ110" s="190" t="b">
        <f t="shared" si="5"/>
        <v>0</v>
      </c>
      <c r="BA110" s="192">
        <v>9</v>
      </c>
      <c r="BB110" s="122"/>
      <c r="BC110" s="122"/>
      <c r="BD110" s="122"/>
    </row>
    <row r="111" spans="2:87" ht="21" hidden="1" thickBot="1" x14ac:dyDescent="0.45">
      <c r="B111" s="171">
        <v>6</v>
      </c>
      <c r="C111" s="172"/>
      <c r="D111" s="8">
        <v>0</v>
      </c>
      <c r="E111" s="369"/>
      <c r="F111" s="372"/>
      <c r="G111" s="175">
        <f t="shared" si="20"/>
        <v>0</v>
      </c>
      <c r="H111" s="161">
        <v>418.99360000000001</v>
      </c>
      <c r="I111" s="162">
        <v>107.0869936</v>
      </c>
      <c r="J111" s="57">
        <f t="shared" si="21"/>
        <v>107.0869936</v>
      </c>
      <c r="K111" s="57">
        <f t="shared" si="9"/>
        <v>53.5434968</v>
      </c>
      <c r="L111" s="57">
        <f t="shared" si="10"/>
        <v>0.80430819601038916</v>
      </c>
      <c r="M111" s="57">
        <f t="shared" si="11"/>
        <v>336.9999865558986</v>
      </c>
      <c r="N111" s="57">
        <f t="shared" si="12"/>
        <v>673.9999731117972</v>
      </c>
      <c r="O111" s="57">
        <f>+C106+D107+D108+D109+D110+(D111/2)</f>
        <v>0</v>
      </c>
      <c r="P111" s="57">
        <f t="shared" si="13"/>
        <v>0</v>
      </c>
      <c r="Q111" s="57">
        <f t="shared" si="14"/>
        <v>0</v>
      </c>
      <c r="R111" s="57">
        <f t="shared" si="22"/>
        <v>248.97120000000001</v>
      </c>
      <c r="S111" s="57">
        <f t="shared" si="33"/>
        <v>248.97120000000001</v>
      </c>
      <c r="T111" s="177">
        <f t="shared" si="15"/>
        <v>248.97120000000001</v>
      </c>
      <c r="U111" s="107"/>
      <c r="V111" s="178">
        <f t="shared" si="16"/>
        <v>0</v>
      </c>
      <c r="W111" s="160"/>
      <c r="X111" s="178">
        <f t="shared" si="23"/>
        <v>0</v>
      </c>
      <c r="Y111" s="179">
        <f>SUM(D107:D111)+$C$106</f>
        <v>0</v>
      </c>
      <c r="Z111" s="452">
        <f t="shared" si="24"/>
        <v>66.255548399999995</v>
      </c>
      <c r="AA111" s="458">
        <f t="shared" si="17"/>
        <v>0.91535047595051022</v>
      </c>
      <c r="AB111" s="452">
        <f t="shared" si="25"/>
        <v>278.56028065668761</v>
      </c>
      <c r="AC111" s="452">
        <f t="shared" si="26"/>
        <v>50.018549700000001</v>
      </c>
      <c r="AD111" s="458">
        <f t="shared" si="27"/>
        <v>0.76625250760411079</v>
      </c>
      <c r="AE111" s="452">
        <f t="shared" si="28"/>
        <v>213.83080789825695</v>
      </c>
      <c r="AF111" s="363">
        <f t="shared" si="34"/>
        <v>-114</v>
      </c>
      <c r="AG111" s="452">
        <f t="shared" si="29"/>
        <v>492.39108855494453</v>
      </c>
      <c r="AH111" s="452">
        <f t="shared" si="36"/>
        <v>-213.83080789825695</v>
      </c>
      <c r="AI111" s="452">
        <f t="shared" si="35"/>
        <v>213.83080789825695</v>
      </c>
      <c r="AJ111" s="452">
        <f t="shared" si="30"/>
        <v>-64.493189931724046</v>
      </c>
      <c r="AK111" s="452">
        <f t="shared" si="31"/>
        <v>-49.506810068275975</v>
      </c>
      <c r="AL111" s="167">
        <f t="shared" si="18"/>
        <v>-179.86395171769891</v>
      </c>
      <c r="AM111" s="168">
        <f t="shared" si="19"/>
        <v>-201.99241248241952</v>
      </c>
      <c r="AN111" s="169">
        <f t="shared" si="32"/>
        <v>179.86395171769891</v>
      </c>
      <c r="AO111" s="169">
        <f t="shared" si="32"/>
        <v>201.99241248241952</v>
      </c>
      <c r="AT111" s="186">
        <v>10</v>
      </c>
      <c r="AU111" s="387">
        <f t="shared" si="6"/>
        <v>270</v>
      </c>
      <c r="AV111" s="17">
        <f t="shared" si="7"/>
        <v>270</v>
      </c>
      <c r="AW111" s="189">
        <f t="shared" si="3"/>
        <v>67.973014344399758</v>
      </c>
      <c r="AX111" s="190">
        <f t="shared" si="4"/>
        <v>67.973014344399758</v>
      </c>
      <c r="AY111" s="190">
        <f t="shared" si="8"/>
        <v>7.9730143443997576</v>
      </c>
      <c r="AZ111" s="190" t="b">
        <f t="shared" si="5"/>
        <v>0</v>
      </c>
      <c r="BA111" s="192">
        <v>10</v>
      </c>
      <c r="BB111" s="122"/>
      <c r="BC111" s="122"/>
      <c r="BD111" s="122"/>
    </row>
    <row r="112" spans="2:87" ht="21" hidden="1" thickBot="1" x14ac:dyDescent="0.45">
      <c r="B112" s="171">
        <v>7</v>
      </c>
      <c r="C112" s="172"/>
      <c r="D112" s="8">
        <v>0</v>
      </c>
      <c r="E112" s="369"/>
      <c r="F112" s="372"/>
      <c r="G112" s="175">
        <f t="shared" si="20"/>
        <v>0</v>
      </c>
      <c r="H112" s="161">
        <v>418.99360000000001</v>
      </c>
      <c r="I112" s="162">
        <v>107.0869936</v>
      </c>
      <c r="J112" s="57">
        <f t="shared" si="21"/>
        <v>107.0869936</v>
      </c>
      <c r="K112" s="57">
        <f t="shared" si="9"/>
        <v>53.5434968</v>
      </c>
      <c r="L112" s="57">
        <f t="shared" si="10"/>
        <v>0.80430819601038916</v>
      </c>
      <c r="M112" s="57">
        <f t="shared" si="11"/>
        <v>336.9999865558986</v>
      </c>
      <c r="N112" s="57">
        <f t="shared" si="12"/>
        <v>673.9999731117972</v>
      </c>
      <c r="O112" s="57">
        <f>+C106+D107+D108+D109+D110+D111+(D112/2)</f>
        <v>0</v>
      </c>
      <c r="P112" s="57">
        <f t="shared" si="13"/>
        <v>0</v>
      </c>
      <c r="Q112" s="57">
        <f t="shared" si="14"/>
        <v>0</v>
      </c>
      <c r="R112" s="57">
        <f t="shared" si="22"/>
        <v>248.97120000000001</v>
      </c>
      <c r="S112" s="57">
        <f t="shared" si="33"/>
        <v>248.97120000000001</v>
      </c>
      <c r="T112" s="177">
        <f t="shared" si="15"/>
        <v>248.97120000000001</v>
      </c>
      <c r="U112" s="107"/>
      <c r="V112" s="178">
        <f t="shared" si="16"/>
        <v>0</v>
      </c>
      <c r="W112" s="160"/>
      <c r="X112" s="178">
        <f t="shared" si="23"/>
        <v>0</v>
      </c>
      <c r="Y112" s="179">
        <f>SUM(D107:D112)+$C$106</f>
        <v>0</v>
      </c>
      <c r="Z112" s="452">
        <f t="shared" si="24"/>
        <v>66.255548399999995</v>
      </c>
      <c r="AA112" s="458">
        <f t="shared" si="17"/>
        <v>0.91535047595051022</v>
      </c>
      <c r="AB112" s="452">
        <f t="shared" si="25"/>
        <v>278.56028065668761</v>
      </c>
      <c r="AC112" s="452">
        <f t="shared" si="26"/>
        <v>50.018549700000001</v>
      </c>
      <c r="AD112" s="458">
        <f t="shared" si="27"/>
        <v>0.76625250760411079</v>
      </c>
      <c r="AE112" s="452">
        <f t="shared" si="28"/>
        <v>213.83080789825695</v>
      </c>
      <c r="AF112" s="363">
        <f t="shared" si="34"/>
        <v>-142.5</v>
      </c>
      <c r="AG112" s="452">
        <f t="shared" si="29"/>
        <v>492.39108855494453</v>
      </c>
      <c r="AH112" s="452">
        <f t="shared" si="36"/>
        <v>-213.83080789825695</v>
      </c>
      <c r="AI112" s="452">
        <f t="shared" si="35"/>
        <v>213.83080789825695</v>
      </c>
      <c r="AJ112" s="452">
        <f t="shared" si="30"/>
        <v>-80.616487414655055</v>
      </c>
      <c r="AK112" s="452">
        <f t="shared" si="31"/>
        <v>-61.883512585344967</v>
      </c>
      <c r="AL112" s="167">
        <f t="shared" si="18"/>
        <v>-143.89116137415914</v>
      </c>
      <c r="AM112" s="168">
        <f t="shared" si="19"/>
        <v>-161.5939299859356</v>
      </c>
      <c r="AN112" s="169">
        <f t="shared" si="32"/>
        <v>143.89116137415914</v>
      </c>
      <c r="AO112" s="169">
        <f t="shared" si="32"/>
        <v>161.5939299859356</v>
      </c>
      <c r="AT112" s="186">
        <v>11</v>
      </c>
      <c r="AU112" s="387">
        <f t="shared" si="6"/>
        <v>300</v>
      </c>
      <c r="AV112" s="17">
        <f t="shared" si="7"/>
        <v>300</v>
      </c>
      <c r="AW112" s="189">
        <f t="shared" si="3"/>
        <v>97.973014344399758</v>
      </c>
      <c r="AX112" s="190">
        <f t="shared" si="4"/>
        <v>97.973014344399758</v>
      </c>
      <c r="AY112" s="190">
        <f t="shared" si="8"/>
        <v>7.9730143443997576</v>
      </c>
      <c r="AZ112" s="190" t="b">
        <f t="shared" si="5"/>
        <v>0</v>
      </c>
      <c r="BA112" s="192">
        <v>11</v>
      </c>
      <c r="BB112" s="122"/>
      <c r="BC112" s="122"/>
      <c r="BD112" s="122"/>
    </row>
    <row r="113" spans="1:56" ht="21" hidden="1" thickBot="1" x14ac:dyDescent="0.45">
      <c r="B113" s="171">
        <v>8</v>
      </c>
      <c r="C113" s="172"/>
      <c r="D113" s="8">
        <v>0</v>
      </c>
      <c r="E113" s="369"/>
      <c r="F113" s="372"/>
      <c r="G113" s="175">
        <f t="shared" si="20"/>
        <v>0</v>
      </c>
      <c r="H113" s="161">
        <v>418.99360000000001</v>
      </c>
      <c r="I113" s="162">
        <v>107.0869936</v>
      </c>
      <c r="J113" s="57">
        <f t="shared" si="21"/>
        <v>107.0869936</v>
      </c>
      <c r="K113" s="57">
        <f t="shared" si="9"/>
        <v>53.5434968</v>
      </c>
      <c r="L113" s="57">
        <f t="shared" si="10"/>
        <v>0.80430819601038916</v>
      </c>
      <c r="M113" s="57">
        <f t="shared" si="11"/>
        <v>336.9999865558986</v>
      </c>
      <c r="N113" s="57">
        <f t="shared" si="12"/>
        <v>673.9999731117972</v>
      </c>
      <c r="O113" s="57">
        <f>+C106+D107+D108+D109+D110+D111+D112+(D113/2)</f>
        <v>0</v>
      </c>
      <c r="P113" s="57">
        <f t="shared" si="13"/>
        <v>0</v>
      </c>
      <c r="Q113" s="57">
        <f t="shared" si="14"/>
        <v>0</v>
      </c>
      <c r="R113" s="57">
        <f t="shared" si="22"/>
        <v>248.97120000000001</v>
      </c>
      <c r="S113" s="57">
        <f t="shared" si="33"/>
        <v>248.97120000000001</v>
      </c>
      <c r="T113" s="177">
        <f t="shared" si="15"/>
        <v>248.97120000000001</v>
      </c>
      <c r="U113" s="107"/>
      <c r="V113" s="178">
        <f t="shared" si="16"/>
        <v>0</v>
      </c>
      <c r="W113" s="160"/>
      <c r="X113" s="178">
        <f t="shared" si="23"/>
        <v>0</v>
      </c>
      <c r="Y113" s="179">
        <f>SUM(D107:D113)+$C$106</f>
        <v>0</v>
      </c>
      <c r="Z113" s="452">
        <f t="shared" si="24"/>
        <v>66.255548399999995</v>
      </c>
      <c r="AA113" s="458">
        <f t="shared" si="17"/>
        <v>0.91535047595051022</v>
      </c>
      <c r="AB113" s="452">
        <f t="shared" si="25"/>
        <v>278.56028065668761</v>
      </c>
      <c r="AC113" s="452">
        <f t="shared" si="26"/>
        <v>50.018549700000001</v>
      </c>
      <c r="AD113" s="458">
        <f t="shared" si="27"/>
        <v>0.76625250760411079</v>
      </c>
      <c r="AE113" s="452">
        <f t="shared" si="28"/>
        <v>213.83080789825695</v>
      </c>
      <c r="AF113" s="363">
        <f t="shared" si="34"/>
        <v>-171</v>
      </c>
      <c r="AG113" s="452">
        <f t="shared" si="29"/>
        <v>492.39108855494453</v>
      </c>
      <c r="AH113" s="452">
        <f t="shared" si="36"/>
        <v>-213.83080789825695</v>
      </c>
      <c r="AI113" s="452">
        <f t="shared" si="35"/>
        <v>213.83080789825695</v>
      </c>
      <c r="AJ113" s="452">
        <f t="shared" si="30"/>
        <v>-96.739784897586063</v>
      </c>
      <c r="AK113" s="452">
        <f t="shared" si="31"/>
        <v>-74.260215102413952</v>
      </c>
      <c r="AL113" s="167">
        <f t="shared" si="18"/>
        <v>-119.90930114513262</v>
      </c>
      <c r="AM113" s="168">
        <f t="shared" si="19"/>
        <v>-134.66160832161302</v>
      </c>
      <c r="AN113" s="169">
        <f t="shared" si="32"/>
        <v>119.90930114513262</v>
      </c>
      <c r="AO113" s="169">
        <f t="shared" si="32"/>
        <v>134.66160832161302</v>
      </c>
      <c r="AT113" s="186">
        <v>12</v>
      </c>
      <c r="AU113" s="387">
        <f t="shared" si="6"/>
        <v>330</v>
      </c>
      <c r="AV113" s="17">
        <f t="shared" si="7"/>
        <v>330</v>
      </c>
      <c r="AW113" s="189">
        <f t="shared" si="3"/>
        <v>127.97301434439976</v>
      </c>
      <c r="AX113" s="190">
        <f t="shared" si="4"/>
        <v>127.97301434439976</v>
      </c>
      <c r="AY113" s="190">
        <f t="shared" si="8"/>
        <v>7.9730143443997576</v>
      </c>
      <c r="AZ113" s="190" t="b">
        <f t="shared" si="5"/>
        <v>0</v>
      </c>
      <c r="BA113" s="192">
        <v>12</v>
      </c>
      <c r="BB113" s="122"/>
      <c r="BC113" s="122"/>
      <c r="BD113" s="122"/>
    </row>
    <row r="114" spans="1:56" ht="21" hidden="1" thickBot="1" x14ac:dyDescent="0.45">
      <c r="B114" s="171">
        <v>9</v>
      </c>
      <c r="C114" s="172"/>
      <c r="D114" s="8">
        <v>0</v>
      </c>
      <c r="E114" s="369"/>
      <c r="F114" s="372"/>
      <c r="G114" s="175">
        <f t="shared" si="20"/>
        <v>0</v>
      </c>
      <c r="H114" s="161">
        <v>418.99360000000001</v>
      </c>
      <c r="I114" s="162">
        <v>107.0869936</v>
      </c>
      <c r="J114" s="57">
        <f t="shared" si="21"/>
        <v>107.0869936</v>
      </c>
      <c r="K114" s="57">
        <f t="shared" si="9"/>
        <v>53.5434968</v>
      </c>
      <c r="L114" s="57">
        <f t="shared" si="10"/>
        <v>0.80430819601038916</v>
      </c>
      <c r="M114" s="57">
        <f t="shared" si="11"/>
        <v>336.9999865558986</v>
      </c>
      <c r="N114" s="57">
        <f t="shared" si="12"/>
        <v>673.9999731117972</v>
      </c>
      <c r="O114" s="57">
        <f>+C106+D107+D108+D109+D110+D111+D112+D113+(D114/2)</f>
        <v>0</v>
      </c>
      <c r="P114" s="57">
        <f t="shared" si="13"/>
        <v>0</v>
      </c>
      <c r="Q114" s="57">
        <f t="shared" si="14"/>
        <v>0</v>
      </c>
      <c r="R114" s="57">
        <f t="shared" si="22"/>
        <v>248.97120000000001</v>
      </c>
      <c r="S114" s="57">
        <f t="shared" si="33"/>
        <v>248.97120000000001</v>
      </c>
      <c r="T114" s="177">
        <f t="shared" si="15"/>
        <v>248.97120000000001</v>
      </c>
      <c r="U114" s="107"/>
      <c r="V114" s="178">
        <f t="shared" si="16"/>
        <v>0</v>
      </c>
      <c r="W114" s="160"/>
      <c r="X114" s="178">
        <f t="shared" si="23"/>
        <v>0</v>
      </c>
      <c r="Y114" s="179">
        <f>SUM(D107:D114)+$C$106</f>
        <v>0</v>
      </c>
      <c r="Z114" s="452">
        <f t="shared" si="24"/>
        <v>66.255548399999995</v>
      </c>
      <c r="AA114" s="458">
        <f t="shared" si="17"/>
        <v>0.91535047595051022</v>
      </c>
      <c r="AB114" s="452">
        <f t="shared" si="25"/>
        <v>278.56028065668761</v>
      </c>
      <c r="AC114" s="452">
        <f t="shared" si="26"/>
        <v>50.018549700000001</v>
      </c>
      <c r="AD114" s="458">
        <f t="shared" si="27"/>
        <v>0.76625250760411079</v>
      </c>
      <c r="AE114" s="452">
        <f t="shared" si="28"/>
        <v>213.83080789825695</v>
      </c>
      <c r="AF114" s="363">
        <f t="shared" si="34"/>
        <v>-199.5</v>
      </c>
      <c r="AG114" s="452">
        <f t="shared" si="29"/>
        <v>492.39108855494453</v>
      </c>
      <c r="AH114" s="452">
        <f t="shared" si="36"/>
        <v>-213.83080789825695</v>
      </c>
      <c r="AI114" s="452">
        <f t="shared" si="35"/>
        <v>213.83080789825695</v>
      </c>
      <c r="AJ114" s="452">
        <f t="shared" si="30"/>
        <v>-112.86308238051707</v>
      </c>
      <c r="AK114" s="452">
        <f t="shared" si="31"/>
        <v>-86.636917619482958</v>
      </c>
      <c r="AL114" s="167">
        <f t="shared" si="18"/>
        <v>-102.77940098154225</v>
      </c>
      <c r="AM114" s="168">
        <f t="shared" si="19"/>
        <v>-115.42423570423972</v>
      </c>
      <c r="AN114" s="169">
        <f t="shared" si="32"/>
        <v>102.77940098154225</v>
      </c>
      <c r="AO114" s="169">
        <f t="shared" si="32"/>
        <v>115.42423570423972</v>
      </c>
      <c r="AT114" s="186">
        <v>13</v>
      </c>
      <c r="AU114" s="387">
        <f t="shared" si="6"/>
        <v>360</v>
      </c>
      <c r="AV114" s="17">
        <f t="shared" si="7"/>
        <v>360</v>
      </c>
      <c r="AW114" s="189">
        <f t="shared" si="3"/>
        <v>157.97301434439976</v>
      </c>
      <c r="AX114" s="190">
        <f t="shared" si="4"/>
        <v>157.97301434439976</v>
      </c>
      <c r="AY114" s="190">
        <f t="shared" si="8"/>
        <v>7.9730143443997576</v>
      </c>
      <c r="AZ114" s="190" t="b">
        <f t="shared" si="5"/>
        <v>0</v>
      </c>
      <c r="BA114" s="192">
        <v>13</v>
      </c>
      <c r="BB114" s="122"/>
      <c r="BC114" s="122"/>
      <c r="BD114" s="122"/>
    </row>
    <row r="115" spans="1:56" ht="21" hidden="1" thickBot="1" x14ac:dyDescent="0.45">
      <c r="B115" s="171">
        <v>10</v>
      </c>
      <c r="C115" s="172"/>
      <c r="D115" s="8">
        <v>0</v>
      </c>
      <c r="E115" s="369"/>
      <c r="F115" s="372"/>
      <c r="G115" s="175">
        <f t="shared" si="20"/>
        <v>0</v>
      </c>
      <c r="H115" s="161">
        <v>418.99360000000001</v>
      </c>
      <c r="I115" s="162">
        <v>107.0869936</v>
      </c>
      <c r="J115" s="57">
        <f t="shared" si="21"/>
        <v>107.0869936</v>
      </c>
      <c r="K115" s="57">
        <f t="shared" si="9"/>
        <v>53.5434968</v>
      </c>
      <c r="L115" s="57">
        <f t="shared" si="10"/>
        <v>0.80430819601038916</v>
      </c>
      <c r="M115" s="57">
        <f t="shared" si="11"/>
        <v>336.9999865558986</v>
      </c>
      <c r="N115" s="57">
        <f t="shared" si="12"/>
        <v>673.9999731117972</v>
      </c>
      <c r="O115" s="57">
        <f>+C106+D107+D108+D109+D110+D111+D112+D113+D114+(D115/2)</f>
        <v>0</v>
      </c>
      <c r="P115" s="57">
        <f t="shared" si="13"/>
        <v>0</v>
      </c>
      <c r="Q115" s="57">
        <f t="shared" si="14"/>
        <v>0</v>
      </c>
      <c r="R115" s="57">
        <f t="shared" si="22"/>
        <v>248.97120000000001</v>
      </c>
      <c r="S115" s="57">
        <f t="shared" si="33"/>
        <v>248.97120000000001</v>
      </c>
      <c r="T115" s="177">
        <f t="shared" si="15"/>
        <v>248.97120000000001</v>
      </c>
      <c r="U115" s="107"/>
      <c r="V115" s="178">
        <f t="shared" si="16"/>
        <v>0</v>
      </c>
      <c r="W115" s="160"/>
      <c r="X115" s="178">
        <f t="shared" si="23"/>
        <v>0</v>
      </c>
      <c r="Y115" s="179">
        <f>SUM(D107:D115)+$C$106</f>
        <v>0</v>
      </c>
      <c r="Z115" s="452">
        <f t="shared" si="24"/>
        <v>66.255548399999995</v>
      </c>
      <c r="AA115" s="458">
        <f t="shared" si="17"/>
        <v>0.91535047595051022</v>
      </c>
      <c r="AB115" s="452">
        <f t="shared" si="25"/>
        <v>278.56028065668761</v>
      </c>
      <c r="AC115" s="452">
        <f t="shared" si="26"/>
        <v>50.018549700000001</v>
      </c>
      <c r="AD115" s="458">
        <f t="shared" si="27"/>
        <v>0.76625250760411079</v>
      </c>
      <c r="AE115" s="452">
        <f t="shared" si="28"/>
        <v>213.83080789825695</v>
      </c>
      <c r="AF115" s="363">
        <f t="shared" si="34"/>
        <v>-228</v>
      </c>
      <c r="AG115" s="452">
        <f t="shared" si="29"/>
        <v>492.39108855494453</v>
      </c>
      <c r="AH115" s="452">
        <f t="shared" si="36"/>
        <v>-213.83080789825695</v>
      </c>
      <c r="AI115" s="452">
        <f t="shared" si="35"/>
        <v>213.83080789825695</v>
      </c>
      <c r="AJ115" s="452">
        <f t="shared" si="30"/>
        <v>-128.98637986344809</v>
      </c>
      <c r="AK115" s="452">
        <f t="shared" si="31"/>
        <v>-99.01362013655195</v>
      </c>
      <c r="AL115" s="167">
        <f t="shared" si="18"/>
        <v>-89.931975858849455</v>
      </c>
      <c r="AM115" s="168">
        <f t="shared" si="19"/>
        <v>-100.99620624120976</v>
      </c>
      <c r="AN115" s="169">
        <f t="shared" si="32"/>
        <v>89.931975858849455</v>
      </c>
      <c r="AO115" s="169">
        <f t="shared" si="32"/>
        <v>100.99620624120976</v>
      </c>
      <c r="AT115" s="186">
        <v>14</v>
      </c>
      <c r="AU115" s="387">
        <f t="shared" si="6"/>
        <v>390</v>
      </c>
      <c r="AV115" s="17">
        <f t="shared" si="7"/>
        <v>390</v>
      </c>
      <c r="AW115" s="189">
        <f t="shared" si="3"/>
        <v>187.97301434439976</v>
      </c>
      <c r="AX115" s="190">
        <f t="shared" si="4"/>
        <v>187.97301434439976</v>
      </c>
      <c r="AY115" s="190">
        <f t="shared" si="8"/>
        <v>7.9730143443997576</v>
      </c>
      <c r="AZ115" s="190" t="b">
        <f t="shared" si="5"/>
        <v>0</v>
      </c>
      <c r="BA115" s="192">
        <v>14</v>
      </c>
      <c r="BB115" s="122"/>
      <c r="BC115" s="122"/>
      <c r="BD115" s="122"/>
    </row>
    <row r="116" spans="1:56" ht="21" hidden="1" thickBot="1" x14ac:dyDescent="0.45">
      <c r="A116" s="184"/>
      <c r="B116" s="171">
        <v>11</v>
      </c>
      <c r="C116" s="172"/>
      <c r="D116" s="8">
        <v>0</v>
      </c>
      <c r="E116" s="369"/>
      <c r="F116" s="372"/>
      <c r="G116" s="175">
        <f t="shared" si="20"/>
        <v>0</v>
      </c>
      <c r="H116" s="161">
        <v>418.99360000000001</v>
      </c>
      <c r="I116" s="162">
        <v>107.0869936</v>
      </c>
      <c r="J116" s="57">
        <f t="shared" si="21"/>
        <v>107.0869936</v>
      </c>
      <c r="K116" s="57">
        <f t="shared" si="9"/>
        <v>53.5434968</v>
      </c>
      <c r="L116" s="57">
        <f t="shared" si="10"/>
        <v>0.80430819601038916</v>
      </c>
      <c r="M116" s="57">
        <f t="shared" si="11"/>
        <v>336.9999865558986</v>
      </c>
      <c r="N116" s="57">
        <f t="shared" si="12"/>
        <v>673.9999731117972</v>
      </c>
      <c r="O116" s="57">
        <f>+C106+D107+D108+D109+D110+D111+D112+D113+D114+D115+(D116/2)</f>
        <v>0</v>
      </c>
      <c r="P116" s="57">
        <f t="shared" si="13"/>
        <v>0</v>
      </c>
      <c r="Q116" s="57">
        <f t="shared" si="14"/>
        <v>0</v>
      </c>
      <c r="R116" s="57">
        <f t="shared" si="22"/>
        <v>248.97120000000001</v>
      </c>
      <c r="S116" s="57">
        <f t="shared" si="33"/>
        <v>248.97120000000001</v>
      </c>
      <c r="T116" s="177">
        <f t="shared" si="15"/>
        <v>248.97120000000001</v>
      </c>
      <c r="U116" s="107"/>
      <c r="V116" s="178">
        <f t="shared" si="16"/>
        <v>0</v>
      </c>
      <c r="W116" s="160"/>
      <c r="X116" s="178">
        <f t="shared" si="23"/>
        <v>0</v>
      </c>
      <c r="Y116" s="179">
        <f>SUM(D107:D116)+$C$106</f>
        <v>0</v>
      </c>
      <c r="Z116" s="452">
        <f t="shared" si="24"/>
        <v>66.255548399999995</v>
      </c>
      <c r="AA116" s="458">
        <f t="shared" si="17"/>
        <v>0.91535047595051022</v>
      </c>
      <c r="AB116" s="452">
        <f t="shared" si="25"/>
        <v>278.56028065668761</v>
      </c>
      <c r="AC116" s="452">
        <f t="shared" si="26"/>
        <v>50.018549700000001</v>
      </c>
      <c r="AD116" s="458">
        <f t="shared" si="27"/>
        <v>0.76625250760411079</v>
      </c>
      <c r="AE116" s="452">
        <f t="shared" si="28"/>
        <v>213.83080789825695</v>
      </c>
      <c r="AF116" s="363">
        <f t="shared" si="34"/>
        <v>-256.5</v>
      </c>
      <c r="AG116" s="452">
        <f t="shared" si="29"/>
        <v>492.39108855494453</v>
      </c>
      <c r="AH116" s="452">
        <f t="shared" si="36"/>
        <v>-213.83080789825695</v>
      </c>
      <c r="AI116" s="452">
        <f t="shared" si="35"/>
        <v>213.83080789825695</v>
      </c>
      <c r="AJ116" s="452">
        <f t="shared" si="30"/>
        <v>-145.1096773463791</v>
      </c>
      <c r="AK116" s="452">
        <f t="shared" si="31"/>
        <v>-111.39032265362094</v>
      </c>
      <c r="AL116" s="167">
        <f t="shared" si="18"/>
        <v>-79.939534096755082</v>
      </c>
      <c r="AM116" s="168">
        <f t="shared" si="19"/>
        <v>-89.774405547742006</v>
      </c>
      <c r="AN116" s="169">
        <f t="shared" si="32"/>
        <v>79.939534096755082</v>
      </c>
      <c r="AO116" s="169">
        <f t="shared" si="32"/>
        <v>89.774405547742006</v>
      </c>
      <c r="AT116" s="186">
        <v>15</v>
      </c>
      <c r="AU116" s="387">
        <f t="shared" si="6"/>
        <v>420</v>
      </c>
      <c r="AV116" s="17">
        <f t="shared" si="7"/>
        <v>420</v>
      </c>
      <c r="AW116" s="189">
        <f t="shared" si="3"/>
        <v>217.97301434439976</v>
      </c>
      <c r="AX116" s="190">
        <f t="shared" si="4"/>
        <v>217.97301434439976</v>
      </c>
      <c r="AY116" s="190">
        <f t="shared" si="8"/>
        <v>7.9730143443997576</v>
      </c>
      <c r="AZ116" s="190" t="b">
        <f t="shared" si="5"/>
        <v>0</v>
      </c>
      <c r="BA116" s="192">
        <v>15</v>
      </c>
      <c r="BB116" s="122"/>
      <c r="BC116" s="122"/>
      <c r="BD116" s="122"/>
    </row>
    <row r="117" spans="1:56" ht="21" hidden="1" thickBot="1" x14ac:dyDescent="0.45">
      <c r="A117" s="184"/>
      <c r="B117" s="171">
        <v>12</v>
      </c>
      <c r="C117" s="172"/>
      <c r="D117" s="8">
        <v>0</v>
      </c>
      <c r="E117" s="369"/>
      <c r="F117" s="372"/>
      <c r="G117" s="175">
        <f t="shared" si="20"/>
        <v>0</v>
      </c>
      <c r="H117" s="161">
        <v>418.99360000000001</v>
      </c>
      <c r="I117" s="162">
        <v>107.0869936</v>
      </c>
      <c r="J117" s="57">
        <f t="shared" si="21"/>
        <v>107.0869936</v>
      </c>
      <c r="K117" s="57">
        <f t="shared" si="9"/>
        <v>53.5434968</v>
      </c>
      <c r="L117" s="57">
        <f t="shared" si="10"/>
        <v>0.80430819601038916</v>
      </c>
      <c r="M117" s="57">
        <f t="shared" si="11"/>
        <v>336.9999865558986</v>
      </c>
      <c r="N117" s="57">
        <f t="shared" si="12"/>
        <v>673.9999731117972</v>
      </c>
      <c r="O117" s="57">
        <f>+C106+D107+D108+D109+D110+D111+D112+D113+D114+D115+D116+(D117/2)</f>
        <v>0</v>
      </c>
      <c r="P117" s="57">
        <f t="shared" si="13"/>
        <v>0</v>
      </c>
      <c r="Q117" s="57">
        <f t="shared" si="14"/>
        <v>0</v>
      </c>
      <c r="R117" s="57">
        <f t="shared" si="22"/>
        <v>248.97120000000001</v>
      </c>
      <c r="S117" s="57">
        <f t="shared" si="33"/>
        <v>248.97120000000001</v>
      </c>
      <c r="T117" s="177">
        <f t="shared" si="15"/>
        <v>248.97120000000001</v>
      </c>
      <c r="U117" s="107"/>
      <c r="V117" s="178">
        <f t="shared" si="16"/>
        <v>0</v>
      </c>
      <c r="W117" s="160"/>
      <c r="X117" s="178">
        <f t="shared" si="23"/>
        <v>0</v>
      </c>
      <c r="Y117" s="179">
        <f>SUM(D107:D117)+$C$106</f>
        <v>0</v>
      </c>
      <c r="Z117" s="452">
        <f t="shared" si="24"/>
        <v>66.255548399999995</v>
      </c>
      <c r="AA117" s="458">
        <f t="shared" si="17"/>
        <v>0.91535047595051022</v>
      </c>
      <c r="AB117" s="452">
        <f t="shared" si="25"/>
        <v>278.56028065668761</v>
      </c>
      <c r="AC117" s="452">
        <f t="shared" si="26"/>
        <v>50.018549700000001</v>
      </c>
      <c r="AD117" s="458">
        <f t="shared" si="27"/>
        <v>0.76625250760411079</v>
      </c>
      <c r="AE117" s="452">
        <f t="shared" si="28"/>
        <v>213.83080789825695</v>
      </c>
      <c r="AF117" s="363">
        <f t="shared" si="34"/>
        <v>-285</v>
      </c>
      <c r="AG117" s="452">
        <f t="shared" si="29"/>
        <v>492.39108855494453</v>
      </c>
      <c r="AH117" s="452">
        <f t="shared" si="36"/>
        <v>-213.83080789825695</v>
      </c>
      <c r="AI117" s="452">
        <f t="shared" si="35"/>
        <v>213.83080789825695</v>
      </c>
      <c r="AJ117" s="452">
        <f t="shared" si="30"/>
        <v>-161.23297482931011</v>
      </c>
      <c r="AK117" s="452">
        <f t="shared" si="31"/>
        <v>-123.76702517068993</v>
      </c>
      <c r="AL117" s="167">
        <f t="shared" si="18"/>
        <v>-71.94558068707957</v>
      </c>
      <c r="AM117" s="168">
        <f t="shared" si="19"/>
        <v>-80.796964992967801</v>
      </c>
      <c r="AN117" s="169">
        <f t="shared" si="32"/>
        <v>71.94558068707957</v>
      </c>
      <c r="AO117" s="169">
        <f t="shared" si="32"/>
        <v>80.796964992967801</v>
      </c>
      <c r="AT117" s="186"/>
      <c r="AU117" s="387"/>
      <c r="AV117" s="17"/>
      <c r="AW117" s="189"/>
      <c r="AX117" s="190"/>
      <c r="AY117" s="190"/>
      <c r="AZ117" s="190"/>
      <c r="BA117" s="192"/>
      <c r="BB117" s="122"/>
      <c r="BC117" s="122"/>
      <c r="BD117" s="122"/>
    </row>
    <row r="118" spans="1:56" ht="21" hidden="1" thickBot="1" x14ac:dyDescent="0.45">
      <c r="B118" s="171">
        <v>13</v>
      </c>
      <c r="C118" s="172"/>
      <c r="D118" s="8">
        <v>0</v>
      </c>
      <c r="E118" s="369"/>
      <c r="F118" s="372"/>
      <c r="G118" s="175">
        <f t="shared" si="20"/>
        <v>0</v>
      </c>
      <c r="H118" s="161">
        <v>418.99360000000001</v>
      </c>
      <c r="I118" s="162">
        <v>107.0869936</v>
      </c>
      <c r="J118" s="57">
        <f t="shared" si="21"/>
        <v>107.0869936</v>
      </c>
      <c r="K118" s="57">
        <f t="shared" si="9"/>
        <v>53.5434968</v>
      </c>
      <c r="L118" s="57">
        <f t="shared" si="10"/>
        <v>0.80430819601038916</v>
      </c>
      <c r="M118" s="57">
        <f t="shared" si="11"/>
        <v>336.9999865558986</v>
      </c>
      <c r="N118" s="57">
        <f t="shared" si="12"/>
        <v>673.9999731117972</v>
      </c>
      <c r="O118" s="57">
        <f>+C106+D107+D108+D109+D110+D111+D112+D113+D114+D115+D116+D117+(D118/2)</f>
        <v>0</v>
      </c>
      <c r="P118" s="57">
        <f t="shared" si="13"/>
        <v>0</v>
      </c>
      <c r="Q118" s="57">
        <f t="shared" si="14"/>
        <v>0</v>
      </c>
      <c r="R118" s="57">
        <f t="shared" si="22"/>
        <v>248.97120000000001</v>
      </c>
      <c r="S118" s="57">
        <f t="shared" si="33"/>
        <v>248.97120000000001</v>
      </c>
      <c r="T118" s="177">
        <f t="shared" si="15"/>
        <v>248.97120000000001</v>
      </c>
      <c r="U118" s="107"/>
      <c r="V118" s="178">
        <f t="shared" si="16"/>
        <v>0</v>
      </c>
      <c r="W118" s="160"/>
      <c r="X118" s="178">
        <f t="shared" si="23"/>
        <v>0</v>
      </c>
      <c r="Y118" s="179">
        <f>SUM(D107:D118)+$C$106</f>
        <v>0</v>
      </c>
      <c r="Z118" s="452">
        <f t="shared" si="24"/>
        <v>66.255548399999995</v>
      </c>
      <c r="AA118" s="458">
        <f t="shared" si="17"/>
        <v>0.91535047595051022</v>
      </c>
      <c r="AB118" s="452">
        <f t="shared" si="25"/>
        <v>278.56028065668761</v>
      </c>
      <c r="AC118" s="452">
        <f t="shared" si="26"/>
        <v>50.018549700000001</v>
      </c>
      <c r="AD118" s="458">
        <f t="shared" si="27"/>
        <v>0.76625250760411079</v>
      </c>
      <c r="AE118" s="452">
        <f t="shared" si="28"/>
        <v>213.83080789825695</v>
      </c>
      <c r="AF118" s="363">
        <f t="shared" si="34"/>
        <v>-313.5</v>
      </c>
      <c r="AG118" s="452">
        <f t="shared" si="29"/>
        <v>492.39108855494453</v>
      </c>
      <c r="AH118" s="452">
        <f t="shared" si="36"/>
        <v>-213.83080789825695</v>
      </c>
      <c r="AI118" s="452">
        <f t="shared" si="35"/>
        <v>213.83080789825695</v>
      </c>
      <c r="AJ118" s="452">
        <f t="shared" si="30"/>
        <v>-177.35627231224112</v>
      </c>
      <c r="AK118" s="452">
        <f t="shared" si="31"/>
        <v>-136.14372768775891</v>
      </c>
      <c r="AL118" s="167">
        <f t="shared" si="18"/>
        <v>-65.405073351890522</v>
      </c>
      <c r="AM118" s="168">
        <f t="shared" si="19"/>
        <v>-73.451786357243463</v>
      </c>
      <c r="AN118" s="169">
        <f t="shared" si="32"/>
        <v>65.405073351890522</v>
      </c>
      <c r="AO118" s="169">
        <f t="shared" si="32"/>
        <v>73.451786357243463</v>
      </c>
      <c r="AT118" s="186"/>
      <c r="AU118" s="387"/>
      <c r="AV118" s="17"/>
      <c r="AW118" s="189"/>
      <c r="AX118" s="190"/>
      <c r="AY118" s="190"/>
      <c r="AZ118" s="190"/>
      <c r="BA118" s="192"/>
      <c r="BB118" s="122"/>
      <c r="BC118" s="122"/>
      <c r="BD118" s="122"/>
    </row>
    <row r="119" spans="1:56" ht="21" hidden="1" thickBot="1" x14ac:dyDescent="0.45">
      <c r="B119" s="171">
        <v>14</v>
      </c>
      <c r="C119" s="172"/>
      <c r="D119" s="8">
        <v>0</v>
      </c>
      <c r="E119" s="369"/>
      <c r="F119" s="372"/>
      <c r="G119" s="175">
        <f t="shared" si="20"/>
        <v>0</v>
      </c>
      <c r="H119" s="161">
        <v>418.99360000000001</v>
      </c>
      <c r="I119" s="162">
        <v>107.0869936</v>
      </c>
      <c r="J119" s="57">
        <f t="shared" si="21"/>
        <v>107.0869936</v>
      </c>
      <c r="K119" s="57">
        <f t="shared" si="9"/>
        <v>53.5434968</v>
      </c>
      <c r="L119" s="57">
        <f t="shared" si="10"/>
        <v>0.80430819601038916</v>
      </c>
      <c r="M119" s="57">
        <f t="shared" si="11"/>
        <v>336.9999865558986</v>
      </c>
      <c r="N119" s="57">
        <f t="shared" si="12"/>
        <v>673.9999731117972</v>
      </c>
      <c r="O119" s="57">
        <f>+C106+D107+D108+D109+D110+D111+D112+D113+D114+D115+D116+D117+D118+(D119/2)</f>
        <v>0</v>
      </c>
      <c r="P119" s="57">
        <f t="shared" si="13"/>
        <v>0</v>
      </c>
      <c r="Q119" s="57">
        <f t="shared" si="14"/>
        <v>0</v>
      </c>
      <c r="R119" s="57">
        <f t="shared" si="22"/>
        <v>248.97120000000001</v>
      </c>
      <c r="S119" s="57">
        <f t="shared" si="33"/>
        <v>248.97120000000001</v>
      </c>
      <c r="T119" s="177">
        <f t="shared" si="15"/>
        <v>248.97120000000001</v>
      </c>
      <c r="U119" s="107"/>
      <c r="V119" s="178">
        <f t="shared" si="16"/>
        <v>0</v>
      </c>
      <c r="W119" s="160"/>
      <c r="X119" s="178">
        <f t="shared" si="23"/>
        <v>0</v>
      </c>
      <c r="Y119" s="179">
        <f>SUM(D107:D119)+$C$106</f>
        <v>0</v>
      </c>
      <c r="Z119" s="452">
        <f t="shared" si="24"/>
        <v>66.255548399999995</v>
      </c>
      <c r="AA119" s="458">
        <f t="shared" si="17"/>
        <v>0.91535047595051022</v>
      </c>
      <c r="AB119" s="452">
        <f t="shared" si="25"/>
        <v>278.56028065668761</v>
      </c>
      <c r="AC119" s="452">
        <f t="shared" si="26"/>
        <v>50.018549700000001</v>
      </c>
      <c r="AD119" s="458">
        <f t="shared" si="27"/>
        <v>0.76625250760411079</v>
      </c>
      <c r="AE119" s="452">
        <f t="shared" si="28"/>
        <v>213.83080789825695</v>
      </c>
      <c r="AF119" s="363">
        <f t="shared" si="34"/>
        <v>-342</v>
      </c>
      <c r="AG119" s="452">
        <f t="shared" si="29"/>
        <v>492.39108855494453</v>
      </c>
      <c r="AH119" s="452">
        <f t="shared" si="36"/>
        <v>-213.83080789825695</v>
      </c>
      <c r="AI119" s="452">
        <f t="shared" si="35"/>
        <v>213.83080789825695</v>
      </c>
      <c r="AJ119" s="452">
        <f t="shared" si="30"/>
        <v>-193.47956979517213</v>
      </c>
      <c r="AK119" s="452">
        <f t="shared" si="31"/>
        <v>-148.5204302048279</v>
      </c>
      <c r="AL119" s="167">
        <f t="shared" si="18"/>
        <v>-59.954650572566308</v>
      </c>
      <c r="AM119" s="168">
        <f t="shared" si="19"/>
        <v>-67.330804160806508</v>
      </c>
      <c r="AN119" s="169">
        <f t="shared" si="32"/>
        <v>59.954650572566308</v>
      </c>
      <c r="AO119" s="169">
        <f t="shared" si="32"/>
        <v>67.330804160806508</v>
      </c>
      <c r="AT119" s="186"/>
      <c r="AU119" s="387"/>
      <c r="AV119" s="17"/>
      <c r="AW119" s="189"/>
      <c r="AX119" s="190"/>
      <c r="AY119" s="190"/>
      <c r="AZ119" s="190"/>
      <c r="BA119" s="192"/>
      <c r="BB119" s="122"/>
      <c r="BC119" s="122"/>
      <c r="BD119" s="122"/>
    </row>
    <row r="120" spans="1:56" ht="21" hidden="1" thickBot="1" x14ac:dyDescent="0.45">
      <c r="B120" s="171">
        <v>15</v>
      </c>
      <c r="C120" s="172"/>
      <c r="D120" s="8">
        <v>0</v>
      </c>
      <c r="E120" s="369"/>
      <c r="F120" s="372"/>
      <c r="G120" s="175">
        <f t="shared" si="20"/>
        <v>0</v>
      </c>
      <c r="H120" s="161">
        <v>418.99360000000001</v>
      </c>
      <c r="I120" s="162">
        <v>107.0869936</v>
      </c>
      <c r="J120" s="57">
        <f t="shared" si="21"/>
        <v>107.0869936</v>
      </c>
      <c r="K120" s="57">
        <f t="shared" si="9"/>
        <v>53.5434968</v>
      </c>
      <c r="L120" s="57">
        <f t="shared" si="10"/>
        <v>0.80430819601038916</v>
      </c>
      <c r="M120" s="57">
        <f t="shared" si="11"/>
        <v>336.9999865558986</v>
      </c>
      <c r="N120" s="57">
        <f t="shared" si="12"/>
        <v>673.9999731117972</v>
      </c>
      <c r="O120" s="57">
        <f>+C106+D107+D108+D109+D110+D111+D112+D113+D114+D115+D116+D117+D118+D119+(D120/2)</f>
        <v>0</v>
      </c>
      <c r="P120" s="57">
        <f t="shared" si="13"/>
        <v>0</v>
      </c>
      <c r="Q120" s="57">
        <f t="shared" si="14"/>
        <v>0</v>
      </c>
      <c r="R120" s="57">
        <f t="shared" si="22"/>
        <v>248.97120000000001</v>
      </c>
      <c r="S120" s="57">
        <f t="shared" si="33"/>
        <v>248.97120000000001</v>
      </c>
      <c r="T120" s="177">
        <f t="shared" si="15"/>
        <v>248.97120000000001</v>
      </c>
      <c r="U120" s="107"/>
      <c r="V120" s="178">
        <f t="shared" si="16"/>
        <v>0</v>
      </c>
      <c r="W120" s="160"/>
      <c r="X120" s="178">
        <f t="shared" si="23"/>
        <v>0</v>
      </c>
      <c r="Y120" s="179">
        <f>SUM(D107:D120)+$C$106</f>
        <v>0</v>
      </c>
      <c r="Z120" s="452">
        <f t="shared" si="24"/>
        <v>66.255548399999995</v>
      </c>
      <c r="AA120" s="458">
        <f t="shared" si="17"/>
        <v>0.91535047595051022</v>
      </c>
      <c r="AB120" s="452">
        <f t="shared" si="25"/>
        <v>278.56028065668761</v>
      </c>
      <c r="AC120" s="452">
        <f t="shared" si="26"/>
        <v>50.018549700000001</v>
      </c>
      <c r="AD120" s="458">
        <f t="shared" si="27"/>
        <v>0.76625250760411079</v>
      </c>
      <c r="AE120" s="452">
        <f t="shared" si="28"/>
        <v>213.83080789825695</v>
      </c>
      <c r="AF120" s="363">
        <f t="shared" si="34"/>
        <v>-370.5</v>
      </c>
      <c r="AG120" s="452">
        <f t="shared" si="29"/>
        <v>492.39108855494453</v>
      </c>
      <c r="AH120" s="452">
        <f t="shared" si="36"/>
        <v>-213.83080789825695</v>
      </c>
      <c r="AI120" s="452">
        <f t="shared" si="35"/>
        <v>213.83080789825695</v>
      </c>
      <c r="AJ120" s="452">
        <f t="shared" si="30"/>
        <v>-209.60286727810313</v>
      </c>
      <c r="AK120" s="452">
        <f t="shared" si="31"/>
        <v>-160.89713272189692</v>
      </c>
      <c r="AL120" s="167">
        <f t="shared" si="18"/>
        <v>-55.342754374676595</v>
      </c>
      <c r="AM120" s="168">
        <f t="shared" si="19"/>
        <v>-62.151511533052158</v>
      </c>
      <c r="AN120" s="169">
        <f t="shared" si="32"/>
        <v>55.342754374676595</v>
      </c>
      <c r="AO120" s="169">
        <f t="shared" si="32"/>
        <v>62.151511533052158</v>
      </c>
      <c r="AT120" s="186"/>
      <c r="AU120" s="387"/>
      <c r="AV120" s="17"/>
      <c r="AW120" s="189"/>
      <c r="AX120" s="190"/>
      <c r="AY120" s="190"/>
      <c r="AZ120" s="190"/>
      <c r="BA120" s="192"/>
      <c r="BB120" s="122"/>
      <c r="BC120" s="122"/>
      <c r="BD120" s="122"/>
    </row>
    <row r="121" spans="1:56" ht="21" hidden="1" thickBot="1" x14ac:dyDescent="0.45">
      <c r="B121" s="171">
        <v>16</v>
      </c>
      <c r="C121" s="172"/>
      <c r="D121" s="8">
        <v>0</v>
      </c>
      <c r="E121" s="369"/>
      <c r="F121" s="372"/>
      <c r="G121" s="175">
        <f t="shared" si="20"/>
        <v>0</v>
      </c>
      <c r="H121" s="161">
        <v>418.99360000000001</v>
      </c>
      <c r="I121" s="162">
        <v>107.0869936</v>
      </c>
      <c r="J121" s="57">
        <f t="shared" si="21"/>
        <v>107.0869936</v>
      </c>
      <c r="K121" s="57">
        <f t="shared" si="9"/>
        <v>53.5434968</v>
      </c>
      <c r="L121" s="57">
        <f t="shared" si="10"/>
        <v>0.80430819601038916</v>
      </c>
      <c r="M121" s="57">
        <f t="shared" si="11"/>
        <v>336.9999865558986</v>
      </c>
      <c r="N121" s="57">
        <f t="shared" si="12"/>
        <v>673.9999731117972</v>
      </c>
      <c r="O121" s="57">
        <f>+C106+D107+D108+D109+D110+D111+D112+D113+D114+D115+D116+D117+D118+D119+D120+(D121/2)</f>
        <v>0</v>
      </c>
      <c r="P121" s="57">
        <f t="shared" si="13"/>
        <v>0</v>
      </c>
      <c r="Q121" s="57">
        <f t="shared" si="14"/>
        <v>0</v>
      </c>
      <c r="R121" s="57">
        <f t="shared" si="22"/>
        <v>248.97120000000001</v>
      </c>
      <c r="S121" s="57">
        <f t="shared" si="33"/>
        <v>248.97120000000001</v>
      </c>
      <c r="T121" s="177">
        <f t="shared" si="15"/>
        <v>248.97120000000001</v>
      </c>
      <c r="U121" s="107"/>
      <c r="V121" s="178">
        <f t="shared" si="16"/>
        <v>0</v>
      </c>
      <c r="W121" s="160"/>
      <c r="X121" s="178">
        <f t="shared" si="23"/>
        <v>0</v>
      </c>
      <c r="Y121" s="179">
        <f>SUM(D107:D121)+$C$106</f>
        <v>0</v>
      </c>
      <c r="Z121" s="452">
        <f t="shared" si="24"/>
        <v>66.255548399999995</v>
      </c>
      <c r="AA121" s="458">
        <f t="shared" si="17"/>
        <v>0.91535047595051022</v>
      </c>
      <c r="AB121" s="452">
        <f t="shared" si="25"/>
        <v>278.56028065668761</v>
      </c>
      <c r="AC121" s="452">
        <f t="shared" si="26"/>
        <v>50.018549700000001</v>
      </c>
      <c r="AD121" s="458">
        <f t="shared" si="27"/>
        <v>0.76625250760411079</v>
      </c>
      <c r="AE121" s="452">
        <f t="shared" si="28"/>
        <v>213.83080789825695</v>
      </c>
      <c r="AF121" s="363">
        <f t="shared" si="34"/>
        <v>-399</v>
      </c>
      <c r="AG121" s="452">
        <f t="shared" si="29"/>
        <v>492.39108855494453</v>
      </c>
      <c r="AH121" s="452">
        <f t="shared" si="36"/>
        <v>-213.83080789825695</v>
      </c>
      <c r="AI121" s="452">
        <f t="shared" si="35"/>
        <v>213.83080789825695</v>
      </c>
      <c r="AJ121" s="452">
        <f t="shared" si="30"/>
        <v>-225.72616476103414</v>
      </c>
      <c r="AK121" s="452">
        <f t="shared" si="31"/>
        <v>-173.27383523896592</v>
      </c>
      <c r="AL121" s="167">
        <f t="shared" si="18"/>
        <v>-51.389700490771126</v>
      </c>
      <c r="AM121" s="168">
        <f t="shared" si="19"/>
        <v>-57.71211785211986</v>
      </c>
      <c r="AN121" s="169">
        <f t="shared" si="32"/>
        <v>51.389700490771126</v>
      </c>
      <c r="AO121" s="169">
        <f t="shared" si="32"/>
        <v>57.71211785211986</v>
      </c>
      <c r="AT121" s="186"/>
      <c r="AU121" s="387"/>
      <c r="AV121" s="17"/>
      <c r="AW121" s="189"/>
      <c r="AX121" s="190"/>
      <c r="AY121" s="190"/>
      <c r="AZ121" s="190"/>
      <c r="BA121" s="192"/>
      <c r="BB121" s="122"/>
      <c r="BC121" s="122"/>
      <c r="BD121" s="122"/>
    </row>
    <row r="122" spans="1:56" ht="21" hidden="1" thickBot="1" x14ac:dyDescent="0.45">
      <c r="B122" s="171">
        <v>17</v>
      </c>
      <c r="C122" s="172"/>
      <c r="D122" s="8">
        <v>0</v>
      </c>
      <c r="E122" s="369"/>
      <c r="F122" s="372"/>
      <c r="G122" s="175">
        <f t="shared" si="20"/>
        <v>0</v>
      </c>
      <c r="H122" s="161">
        <v>418.99360000000001</v>
      </c>
      <c r="I122" s="162">
        <v>107.0869936</v>
      </c>
      <c r="J122" s="57">
        <f t="shared" si="21"/>
        <v>107.0869936</v>
      </c>
      <c r="K122" s="57">
        <f t="shared" si="9"/>
        <v>53.5434968</v>
      </c>
      <c r="L122" s="57">
        <f t="shared" si="10"/>
        <v>0.80430819601038916</v>
      </c>
      <c r="M122" s="57">
        <f t="shared" si="11"/>
        <v>336.9999865558986</v>
      </c>
      <c r="N122" s="57">
        <f t="shared" si="12"/>
        <v>673.9999731117972</v>
      </c>
      <c r="O122" s="57">
        <f>+C106+D107+D108+D109+D110+D111+D112+D113+D114+D115+D116+D117+D118+D119+D120+D121+(D122/2)</f>
        <v>0</v>
      </c>
      <c r="P122" s="57">
        <f t="shared" si="13"/>
        <v>0</v>
      </c>
      <c r="Q122" s="57">
        <f t="shared" si="14"/>
        <v>0</v>
      </c>
      <c r="R122" s="57">
        <f t="shared" si="22"/>
        <v>248.97120000000001</v>
      </c>
      <c r="S122" s="57">
        <f t="shared" si="33"/>
        <v>248.97120000000001</v>
      </c>
      <c r="T122" s="177">
        <f t="shared" si="15"/>
        <v>248.97120000000001</v>
      </c>
      <c r="U122" s="107"/>
      <c r="V122" s="178">
        <f t="shared" si="16"/>
        <v>0</v>
      </c>
      <c r="W122" s="160"/>
      <c r="X122" s="178">
        <f t="shared" si="23"/>
        <v>0</v>
      </c>
      <c r="Y122" s="179">
        <f>SUM(D107:D122)+$C$106</f>
        <v>0</v>
      </c>
      <c r="Z122" s="452">
        <f t="shared" si="24"/>
        <v>66.255548399999995</v>
      </c>
      <c r="AA122" s="458">
        <f t="shared" si="17"/>
        <v>0.91535047595051022</v>
      </c>
      <c r="AB122" s="452">
        <f t="shared" si="25"/>
        <v>278.56028065668761</v>
      </c>
      <c r="AC122" s="452">
        <f t="shared" si="26"/>
        <v>50.018549700000001</v>
      </c>
      <c r="AD122" s="458">
        <f t="shared" si="27"/>
        <v>0.76625250760411079</v>
      </c>
      <c r="AE122" s="452">
        <f t="shared" si="28"/>
        <v>213.83080789825695</v>
      </c>
      <c r="AF122" s="363">
        <f t="shared" si="34"/>
        <v>-427.5</v>
      </c>
      <c r="AG122" s="452">
        <f t="shared" si="29"/>
        <v>492.39108855494453</v>
      </c>
      <c r="AH122" s="452">
        <f t="shared" si="36"/>
        <v>-213.83080789825695</v>
      </c>
      <c r="AI122" s="452">
        <f t="shared" si="35"/>
        <v>213.83080789825695</v>
      </c>
      <c r="AJ122" s="452">
        <f t="shared" si="30"/>
        <v>-241.84946224396515</v>
      </c>
      <c r="AK122" s="452">
        <f t="shared" si="31"/>
        <v>-185.65053775603491</v>
      </c>
      <c r="AL122" s="167">
        <f t="shared" si="18"/>
        <v>-47.963720458053054</v>
      </c>
      <c r="AM122" s="168">
        <f t="shared" si="19"/>
        <v>-53.864643328645201</v>
      </c>
      <c r="AN122" s="169">
        <f t="shared" si="32"/>
        <v>47.963720458053054</v>
      </c>
      <c r="AO122" s="169">
        <f t="shared" si="32"/>
        <v>53.864643328645201</v>
      </c>
      <c r="AT122" s="186"/>
      <c r="AU122" s="387"/>
      <c r="AV122" s="17"/>
      <c r="AW122" s="189"/>
      <c r="AX122" s="190"/>
      <c r="AY122" s="190"/>
      <c r="AZ122" s="190"/>
      <c r="BA122" s="192"/>
      <c r="BB122" s="122"/>
      <c r="BC122" s="122"/>
      <c r="BD122" s="122"/>
    </row>
    <row r="123" spans="1:56" ht="21" hidden="1" thickBot="1" x14ac:dyDescent="0.45">
      <c r="B123" s="171">
        <v>18</v>
      </c>
      <c r="C123" s="172"/>
      <c r="D123" s="8">
        <v>0</v>
      </c>
      <c r="E123" s="369"/>
      <c r="F123" s="372"/>
      <c r="G123" s="175">
        <f t="shared" si="20"/>
        <v>0</v>
      </c>
      <c r="H123" s="161">
        <v>418.99360000000001</v>
      </c>
      <c r="I123" s="162">
        <v>107.0869936</v>
      </c>
      <c r="J123" s="57">
        <f t="shared" si="21"/>
        <v>107.0869936</v>
      </c>
      <c r="K123" s="57">
        <f t="shared" si="9"/>
        <v>53.5434968</v>
      </c>
      <c r="L123" s="57">
        <f t="shared" si="10"/>
        <v>0.80430819601038916</v>
      </c>
      <c r="M123" s="57">
        <f t="shared" si="11"/>
        <v>336.9999865558986</v>
      </c>
      <c r="N123" s="57">
        <f t="shared" si="12"/>
        <v>673.9999731117972</v>
      </c>
      <c r="O123" s="57">
        <f>+C106+D107+D108+D109+D110+D111+D112+D113+D114+D115+D116+D117+D118+D119+D120+D121+D122+(D123/2)</f>
        <v>0</v>
      </c>
      <c r="P123" s="57">
        <f t="shared" si="13"/>
        <v>0</v>
      </c>
      <c r="Q123" s="57">
        <f t="shared" si="14"/>
        <v>0</v>
      </c>
      <c r="R123" s="57">
        <f t="shared" si="22"/>
        <v>248.97120000000001</v>
      </c>
      <c r="S123" s="57">
        <f t="shared" si="33"/>
        <v>248.97120000000001</v>
      </c>
      <c r="T123" s="177">
        <f t="shared" si="15"/>
        <v>248.97120000000001</v>
      </c>
      <c r="U123" s="107"/>
      <c r="V123" s="178">
        <f t="shared" si="16"/>
        <v>0</v>
      </c>
      <c r="W123" s="160"/>
      <c r="X123" s="178">
        <f t="shared" si="23"/>
        <v>0</v>
      </c>
      <c r="Y123" s="179">
        <f>SUM(D107:D123)+$C$106</f>
        <v>0</v>
      </c>
      <c r="Z123" s="452">
        <f t="shared" si="24"/>
        <v>66.255548399999995</v>
      </c>
      <c r="AA123" s="458">
        <f t="shared" si="17"/>
        <v>0.91535047595051022</v>
      </c>
      <c r="AB123" s="452">
        <f t="shared" si="25"/>
        <v>278.56028065668761</v>
      </c>
      <c r="AC123" s="452">
        <f t="shared" si="26"/>
        <v>50.018549700000001</v>
      </c>
      <c r="AD123" s="458">
        <f t="shared" si="27"/>
        <v>0.76625250760411079</v>
      </c>
      <c r="AE123" s="452">
        <f t="shared" si="28"/>
        <v>213.83080789825695</v>
      </c>
      <c r="AF123" s="363">
        <f t="shared" si="34"/>
        <v>-456</v>
      </c>
      <c r="AG123" s="452">
        <f t="shared" si="29"/>
        <v>492.39108855494453</v>
      </c>
      <c r="AH123" s="452">
        <f t="shared" si="36"/>
        <v>-213.83080789825695</v>
      </c>
      <c r="AI123" s="452">
        <f t="shared" si="35"/>
        <v>213.83080789825695</v>
      </c>
      <c r="AJ123" s="452">
        <f t="shared" si="30"/>
        <v>-257.97275972689619</v>
      </c>
      <c r="AK123" s="452">
        <f t="shared" si="31"/>
        <v>-198.0272402731039</v>
      </c>
      <c r="AL123" s="167">
        <f t="shared" si="18"/>
        <v>-44.965987929424728</v>
      </c>
      <c r="AM123" s="168">
        <f t="shared" si="19"/>
        <v>-50.498103120604881</v>
      </c>
      <c r="AN123" s="169">
        <f t="shared" si="32"/>
        <v>44.965987929424728</v>
      </c>
      <c r="AO123" s="169">
        <f t="shared" si="32"/>
        <v>50.498103120604881</v>
      </c>
      <c r="AT123" s="186"/>
      <c r="AU123" s="387"/>
      <c r="AV123" s="17"/>
      <c r="AW123" s="189"/>
      <c r="AX123" s="190"/>
      <c r="AY123" s="190"/>
      <c r="AZ123" s="190"/>
      <c r="BA123" s="192"/>
      <c r="BB123" s="122"/>
      <c r="BC123" s="122"/>
      <c r="BD123" s="122"/>
    </row>
    <row r="124" spans="1:56" ht="21" hidden="1" thickBot="1" x14ac:dyDescent="0.45">
      <c r="B124" s="171">
        <v>19</v>
      </c>
      <c r="C124" s="172"/>
      <c r="D124" s="8">
        <v>0</v>
      </c>
      <c r="E124" s="369"/>
      <c r="F124" s="372"/>
      <c r="G124" s="175">
        <f t="shared" si="20"/>
        <v>0</v>
      </c>
      <c r="H124" s="161">
        <v>418.99360000000001</v>
      </c>
      <c r="I124" s="162">
        <v>107.0869936</v>
      </c>
      <c r="J124" s="57">
        <f t="shared" si="21"/>
        <v>107.0869936</v>
      </c>
      <c r="K124" s="57">
        <f t="shared" si="9"/>
        <v>53.5434968</v>
      </c>
      <c r="L124" s="57">
        <f t="shared" si="10"/>
        <v>0.80430819601038916</v>
      </c>
      <c r="M124" s="57">
        <f t="shared" si="11"/>
        <v>336.9999865558986</v>
      </c>
      <c r="N124" s="57">
        <f t="shared" si="12"/>
        <v>673.9999731117972</v>
      </c>
      <c r="O124" s="57">
        <f>+C106+D107+D108+D109+D110+D111+D112+D113+D114+D115+D116+D117+D118+D119+D120+D121+D122+D123+(D124/2)</f>
        <v>0</v>
      </c>
      <c r="P124" s="57">
        <f t="shared" si="13"/>
        <v>0</v>
      </c>
      <c r="Q124" s="57">
        <f t="shared" si="14"/>
        <v>0</v>
      </c>
      <c r="R124" s="57">
        <f t="shared" si="22"/>
        <v>248.97120000000001</v>
      </c>
      <c r="S124" s="57">
        <f t="shared" si="33"/>
        <v>248.97120000000001</v>
      </c>
      <c r="T124" s="177">
        <f t="shared" si="15"/>
        <v>248.97120000000001</v>
      </c>
      <c r="U124" s="107"/>
      <c r="V124" s="178">
        <f t="shared" si="16"/>
        <v>0</v>
      </c>
      <c r="W124" s="160"/>
      <c r="X124" s="178">
        <f t="shared" si="23"/>
        <v>0</v>
      </c>
      <c r="Y124" s="179">
        <f>SUM(D107:D124)+$C$106</f>
        <v>0</v>
      </c>
      <c r="Z124" s="452">
        <f t="shared" si="24"/>
        <v>66.255548399999995</v>
      </c>
      <c r="AA124" s="458">
        <f t="shared" si="17"/>
        <v>0.91535047595051022</v>
      </c>
      <c r="AB124" s="452">
        <f t="shared" si="25"/>
        <v>278.56028065668761</v>
      </c>
      <c r="AC124" s="452">
        <f t="shared" si="26"/>
        <v>50.018549700000001</v>
      </c>
      <c r="AD124" s="458">
        <f t="shared" si="27"/>
        <v>0.76625250760411079</v>
      </c>
      <c r="AE124" s="452">
        <f t="shared" si="28"/>
        <v>213.83080789825695</v>
      </c>
      <c r="AF124" s="363">
        <f t="shared" si="34"/>
        <v>-484.5</v>
      </c>
      <c r="AG124" s="452">
        <f t="shared" si="29"/>
        <v>492.39108855494453</v>
      </c>
      <c r="AH124" s="452">
        <f t="shared" si="36"/>
        <v>-213.83080789825695</v>
      </c>
      <c r="AI124" s="452">
        <f t="shared" si="35"/>
        <v>213.83080789825695</v>
      </c>
      <c r="AJ124" s="452">
        <f t="shared" si="30"/>
        <v>-274.09605720982717</v>
      </c>
      <c r="AK124" s="452">
        <f t="shared" si="31"/>
        <v>-210.40394279017289</v>
      </c>
      <c r="AL124" s="167">
        <f t="shared" si="18"/>
        <v>-42.320929815929162</v>
      </c>
      <c r="AM124" s="168">
        <f t="shared" si="19"/>
        <v>-47.52762646645165</v>
      </c>
      <c r="AN124" s="169">
        <f t="shared" si="32"/>
        <v>42.320929815929162</v>
      </c>
      <c r="AO124" s="169">
        <f t="shared" si="32"/>
        <v>47.52762646645165</v>
      </c>
      <c r="AT124" s="186"/>
      <c r="AU124" s="387"/>
      <c r="AV124" s="17"/>
      <c r="AW124" s="189"/>
      <c r="AX124" s="190"/>
      <c r="AY124" s="190"/>
      <c r="AZ124" s="190"/>
      <c r="BA124" s="192"/>
      <c r="BB124" s="122"/>
      <c r="BC124" s="122"/>
      <c r="BD124" s="122"/>
    </row>
    <row r="125" spans="1:56" ht="21" hidden="1" thickBot="1" x14ac:dyDescent="0.45">
      <c r="B125" s="171">
        <v>20</v>
      </c>
      <c r="C125" s="172"/>
      <c r="D125" s="8">
        <v>0</v>
      </c>
      <c r="E125" s="369"/>
      <c r="F125" s="372"/>
      <c r="G125" s="175">
        <f t="shared" si="20"/>
        <v>0</v>
      </c>
      <c r="H125" s="161">
        <v>418.99360000000001</v>
      </c>
      <c r="I125" s="162">
        <v>107.0869936</v>
      </c>
      <c r="J125" s="57">
        <f t="shared" si="21"/>
        <v>107.0869936</v>
      </c>
      <c r="K125" s="57">
        <f t="shared" si="9"/>
        <v>53.5434968</v>
      </c>
      <c r="L125" s="57">
        <f t="shared" si="10"/>
        <v>0.80430819601038916</v>
      </c>
      <c r="M125" s="57">
        <f t="shared" si="11"/>
        <v>336.9999865558986</v>
      </c>
      <c r="N125" s="57">
        <f t="shared" si="12"/>
        <v>673.9999731117972</v>
      </c>
      <c r="O125" s="57">
        <f>+C106+D107+D108+D109+D110+D111+D112+D113+D114+D115+D116+D117+D118+D119+D120+D121+D122+D123+D124+(D125/2)</f>
        <v>0</v>
      </c>
      <c r="P125" s="57">
        <f t="shared" si="13"/>
        <v>0</v>
      </c>
      <c r="Q125" s="57">
        <f t="shared" si="14"/>
        <v>0</v>
      </c>
      <c r="R125" s="57">
        <f t="shared" si="22"/>
        <v>248.97120000000001</v>
      </c>
      <c r="S125" s="57">
        <f t="shared" si="33"/>
        <v>248.97120000000001</v>
      </c>
      <c r="T125" s="177">
        <f t="shared" si="15"/>
        <v>248.97120000000001</v>
      </c>
      <c r="U125" s="107"/>
      <c r="V125" s="178">
        <f t="shared" si="16"/>
        <v>0</v>
      </c>
      <c r="W125" s="160"/>
      <c r="X125" s="178">
        <f t="shared" si="23"/>
        <v>0</v>
      </c>
      <c r="Y125" s="179">
        <f>SUM(D107:D125)+$C$106</f>
        <v>0</v>
      </c>
      <c r="Z125" s="452">
        <f t="shared" si="24"/>
        <v>66.255548399999995</v>
      </c>
      <c r="AA125" s="458">
        <f t="shared" si="17"/>
        <v>0.91535047595051022</v>
      </c>
      <c r="AB125" s="452">
        <f t="shared" si="25"/>
        <v>278.56028065668761</v>
      </c>
      <c r="AC125" s="452">
        <f t="shared" si="26"/>
        <v>50.018549700000001</v>
      </c>
      <c r="AD125" s="458">
        <f t="shared" si="27"/>
        <v>0.76625250760411079</v>
      </c>
      <c r="AE125" s="452">
        <f t="shared" si="28"/>
        <v>213.83080789825695</v>
      </c>
      <c r="AF125" s="363">
        <f t="shared" si="34"/>
        <v>-513</v>
      </c>
      <c r="AG125" s="452">
        <f t="shared" si="29"/>
        <v>492.39108855494453</v>
      </c>
      <c r="AH125" s="452">
        <f t="shared" si="36"/>
        <v>-213.83080789825695</v>
      </c>
      <c r="AI125" s="452">
        <f t="shared" si="35"/>
        <v>213.83080789825695</v>
      </c>
      <c r="AJ125" s="452">
        <f t="shared" si="30"/>
        <v>-290.2193546927582</v>
      </c>
      <c r="AK125" s="452">
        <f t="shared" si="31"/>
        <v>-222.78064530724188</v>
      </c>
      <c r="AL125" s="167">
        <f t="shared" si="18"/>
        <v>-39.969767048377541</v>
      </c>
      <c r="AM125" s="168">
        <f t="shared" si="19"/>
        <v>-44.887202773871003</v>
      </c>
      <c r="AN125" s="169">
        <f t="shared" si="32"/>
        <v>39.969767048377541</v>
      </c>
      <c r="AO125" s="169">
        <f t="shared" si="32"/>
        <v>44.887202773871003</v>
      </c>
      <c r="AT125" s="186"/>
      <c r="AU125" s="187"/>
      <c r="AV125" s="17"/>
      <c r="AW125" s="189"/>
      <c r="AX125" s="190"/>
      <c r="AY125" s="190"/>
      <c r="AZ125" s="190"/>
      <c r="BA125" s="192"/>
      <c r="BB125" s="122"/>
      <c r="BC125" s="122"/>
      <c r="BD125" s="122"/>
    </row>
    <row r="126" spans="1:56" ht="19.5" hidden="1" x14ac:dyDescent="0.4">
      <c r="BB126" s="122"/>
      <c r="BC126" s="122"/>
      <c r="BD126" s="122"/>
    </row>
    <row r="127" spans="1:56" ht="19.5" hidden="1" x14ac:dyDescent="0.4">
      <c r="BB127" s="122"/>
      <c r="BC127" s="122"/>
      <c r="BD127" s="122"/>
    </row>
    <row r="128" spans="1:56" ht="19.5" hidden="1" x14ac:dyDescent="0.4">
      <c r="BB128" s="122"/>
      <c r="BC128" s="122"/>
      <c r="BD128" s="122"/>
    </row>
    <row r="129" spans="42:56" ht="19.5" hidden="1" x14ac:dyDescent="0.4">
      <c r="BB129" s="122"/>
      <c r="BC129" s="122"/>
      <c r="BD129" s="122"/>
    </row>
    <row r="130" spans="42:56" ht="19.5" hidden="1" x14ac:dyDescent="0.4">
      <c r="BB130" s="122"/>
      <c r="BC130" s="122"/>
      <c r="BD130" s="122"/>
    </row>
    <row r="131" spans="42:56" ht="19.5" hidden="1" x14ac:dyDescent="0.4">
      <c r="BB131" s="122"/>
      <c r="BC131" s="122"/>
      <c r="BD131" s="122"/>
    </row>
    <row r="132" spans="42:56" ht="19.5" hidden="1" x14ac:dyDescent="0.4">
      <c r="BB132" s="122"/>
      <c r="BC132" s="122"/>
      <c r="BD132" s="122"/>
    </row>
    <row r="133" spans="42:56" ht="19.5" hidden="1" x14ac:dyDescent="0.4">
      <c r="BB133" s="122"/>
      <c r="BC133" s="122"/>
      <c r="BD133" s="122"/>
    </row>
    <row r="134" spans="42:56" hidden="1" x14ac:dyDescent="0.25">
      <c r="AP134" s="107"/>
      <c r="AQ134" s="107"/>
      <c r="AR134" s="107"/>
      <c r="AS134" s="107"/>
    </row>
    <row r="135" spans="42:56" hidden="1" x14ac:dyDescent="0.25">
      <c r="AP135" s="107"/>
      <c r="AQ135" s="107"/>
      <c r="AR135" s="107"/>
      <c r="AS135" s="107"/>
    </row>
    <row r="136" spans="42:56" hidden="1" x14ac:dyDescent="0.25">
      <c r="AP136" s="107"/>
      <c r="AQ136" s="107"/>
      <c r="AR136" s="107"/>
      <c r="AS136" s="107"/>
    </row>
    <row r="137" spans="42:56" hidden="1" x14ac:dyDescent="0.25">
      <c r="AP137" s="107"/>
      <c r="AQ137" s="107"/>
      <c r="AR137" s="107"/>
      <c r="AS137" s="107"/>
    </row>
    <row r="138" spans="42:56" hidden="1" x14ac:dyDescent="0.25">
      <c r="AP138" s="107"/>
      <c r="AQ138" s="107"/>
      <c r="AR138" s="107"/>
      <c r="AS138" s="107"/>
    </row>
    <row r="139" spans="42:56" hidden="1" x14ac:dyDescent="0.25">
      <c r="AP139" s="107"/>
      <c r="AQ139" s="107"/>
      <c r="AR139" s="107"/>
      <c r="AS139" s="107"/>
    </row>
    <row r="140" spans="42:56" hidden="1" x14ac:dyDescent="0.25">
      <c r="AP140" s="107"/>
      <c r="AQ140" s="107"/>
      <c r="AR140" s="107"/>
      <c r="AS140" s="107"/>
    </row>
    <row r="141" spans="42:56" hidden="1" x14ac:dyDescent="0.25">
      <c r="AP141" s="107"/>
      <c r="AQ141" s="107"/>
      <c r="AR141" s="107"/>
      <c r="AS141" s="107"/>
    </row>
    <row r="142" spans="42:56" hidden="1" x14ac:dyDescent="0.25">
      <c r="AP142" s="107"/>
      <c r="AQ142" s="107"/>
      <c r="AR142" s="107"/>
      <c r="AS142" s="107"/>
    </row>
    <row r="143" spans="42:56" hidden="1" x14ac:dyDescent="0.25"/>
    <row r="144" spans="42:56" hidden="1" x14ac:dyDescent="0.25"/>
    <row r="145" spans="57:72" hidden="1" x14ac:dyDescent="0.25"/>
    <row r="146" spans="57:72" hidden="1" x14ac:dyDescent="0.25">
      <c r="BE146" s="193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</row>
    <row r="147" spans="57:72" hidden="1" x14ac:dyDescent="0.25"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94"/>
      <c r="BO147" s="107"/>
      <c r="BP147" s="107"/>
      <c r="BQ147" s="107"/>
      <c r="BR147" s="107"/>
      <c r="BS147" s="107"/>
      <c r="BT147" s="107"/>
    </row>
    <row r="148" spans="57:72" hidden="1" x14ac:dyDescent="0.25">
      <c r="BE148" s="195"/>
      <c r="BF148" s="107"/>
      <c r="BG148" s="107"/>
      <c r="BH148" s="107"/>
      <c r="BI148" s="107"/>
      <c r="BJ148" s="107"/>
      <c r="BK148" s="107"/>
      <c r="BL148" s="107"/>
      <c r="BM148" s="503"/>
      <c r="BN148" s="503"/>
      <c r="BO148" s="107"/>
      <c r="BP148" s="107"/>
      <c r="BQ148" s="107"/>
      <c r="BR148" s="107"/>
      <c r="BS148" s="107"/>
      <c r="BT148" s="107"/>
    </row>
    <row r="149" spans="57:72" hidden="1" x14ac:dyDescent="0.25"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</row>
    <row r="150" spans="57:72" hidden="1" x14ac:dyDescent="0.25"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</row>
    <row r="151" spans="57:72" hidden="1" x14ac:dyDescent="0.25">
      <c r="BE151" s="107"/>
      <c r="BF151" s="107"/>
      <c r="BG151" s="107"/>
      <c r="BH151" s="107"/>
      <c r="BI151" s="107"/>
      <c r="BJ151" s="107"/>
      <c r="BK151" s="107"/>
      <c r="BL151" s="107"/>
      <c r="BM151" s="107"/>
      <c r="BN151" s="107"/>
      <c r="BO151" s="107"/>
      <c r="BP151" s="107"/>
      <c r="BQ151" s="107"/>
      <c r="BR151" s="107"/>
      <c r="BS151" s="107"/>
      <c r="BT151" s="107"/>
    </row>
    <row r="152" spans="57:72" hidden="1" x14ac:dyDescent="0.25"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</row>
    <row r="153" spans="57:72" hidden="1" x14ac:dyDescent="0.25"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</row>
    <row r="154" spans="57:72" hidden="1" x14ac:dyDescent="0.25"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</row>
    <row r="155" spans="57:72" hidden="1" x14ac:dyDescent="0.25"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</row>
    <row r="156" spans="57:72" hidden="1" x14ac:dyDescent="0.25"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</row>
    <row r="157" spans="57:72" hidden="1" x14ac:dyDescent="0.25"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</row>
    <row r="158" spans="57:72" hidden="1" x14ac:dyDescent="0.25"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</row>
    <row r="159" spans="57:72" hidden="1" x14ac:dyDescent="0.25"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</row>
    <row r="160" spans="57:72" hidden="1" x14ac:dyDescent="0.25"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</row>
    <row r="161" spans="57:72" hidden="1" x14ac:dyDescent="0.25">
      <c r="BE161" s="107"/>
      <c r="BF161" s="53"/>
      <c r="BG161" s="53"/>
      <c r="BH161" s="53"/>
      <c r="BI161" s="53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</row>
    <row r="162" spans="57:72" hidden="1" x14ac:dyDescent="0.25">
      <c r="BE162" s="107"/>
      <c r="BF162" s="53"/>
      <c r="BG162" s="53"/>
      <c r="BH162" s="53"/>
      <c r="BI162" s="53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</row>
    <row r="163" spans="57:72" hidden="1" x14ac:dyDescent="0.25">
      <c r="BE163" s="107"/>
      <c r="BF163" s="53"/>
      <c r="BG163" s="53"/>
      <c r="BH163" s="53"/>
      <c r="BI163" s="53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</row>
    <row r="164" spans="57:72" hidden="1" x14ac:dyDescent="0.25">
      <c r="BE164" s="107"/>
      <c r="BF164" s="53"/>
      <c r="BG164" s="53"/>
      <c r="BH164" s="53"/>
      <c r="BI164" s="53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</row>
    <row r="165" spans="57:72" hidden="1" x14ac:dyDescent="0.25">
      <c r="BE165" s="108"/>
      <c r="BF165" s="53"/>
      <c r="BG165" s="53"/>
      <c r="BH165" s="53"/>
      <c r="BI165" s="53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</row>
    <row r="166" spans="57:72" hidden="1" x14ac:dyDescent="0.25">
      <c r="BE166" s="108"/>
      <c r="BF166" s="53"/>
      <c r="BG166" s="53"/>
      <c r="BH166" s="53"/>
      <c r="BI166" s="53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</row>
    <row r="167" spans="57:72" hidden="1" x14ac:dyDescent="0.25">
      <c r="BE167" s="108"/>
      <c r="BF167" s="198"/>
      <c r="BG167" s="198"/>
      <c r="BH167" s="198"/>
      <c r="BI167" s="198"/>
      <c r="BJ167" s="198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07"/>
    </row>
    <row r="168" spans="57:72" hidden="1" x14ac:dyDescent="0.25">
      <c r="BE168" s="108"/>
      <c r="BF168" s="107"/>
      <c r="BG168" s="107"/>
      <c r="BH168" s="107"/>
      <c r="BI168" s="107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</row>
    <row r="169" spans="57:72" x14ac:dyDescent="0.25">
      <c r="BE169" s="199"/>
      <c r="BF169" s="200"/>
      <c r="BG169" s="200"/>
      <c r="BH169" s="200"/>
      <c r="BI169" s="200"/>
      <c r="BJ169" s="200"/>
      <c r="BK169" s="200"/>
      <c r="BL169" s="200"/>
      <c r="BM169" s="200"/>
      <c r="BN169" s="200"/>
      <c r="BO169" s="200"/>
      <c r="BP169" s="200"/>
      <c r="BQ169" s="200"/>
      <c r="BR169" s="200"/>
      <c r="BS169" s="200"/>
      <c r="BT169" s="107"/>
    </row>
    <row r="170" spans="57:72" x14ac:dyDescent="0.25">
      <c r="BE170" s="108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109"/>
      <c r="BQ170" s="109"/>
      <c r="BR170" s="109"/>
      <c r="BS170" s="109"/>
      <c r="BT170" s="107"/>
    </row>
    <row r="171" spans="57:72" x14ac:dyDescent="0.25">
      <c r="BE171" s="107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</row>
    <row r="172" spans="57:72" x14ac:dyDescent="0.25">
      <c r="BE172" s="107"/>
      <c r="BF172" s="108"/>
      <c r="BG172" s="201"/>
      <c r="BH172" s="201"/>
      <c r="BI172" s="201"/>
      <c r="BJ172" s="108"/>
      <c r="BK172" s="108"/>
      <c r="BL172" s="108"/>
      <c r="BM172" s="108"/>
      <c r="BN172" s="108"/>
      <c r="BO172" s="108"/>
      <c r="BP172" s="108"/>
      <c r="BQ172" s="108"/>
      <c r="BR172" s="108"/>
      <c r="BS172" s="108"/>
      <c r="BT172" s="107"/>
    </row>
    <row r="173" spans="57:72" x14ac:dyDescent="0.25">
      <c r="BE173" s="107"/>
      <c r="BF173" s="201"/>
      <c r="BG173" s="201"/>
      <c r="BH173" s="201"/>
      <c r="BI173" s="201"/>
      <c r="BJ173" s="107"/>
      <c r="BK173" s="107"/>
      <c r="BL173" s="107"/>
      <c r="BM173" s="107"/>
      <c r="BN173" s="201"/>
      <c r="BO173" s="201"/>
      <c r="BP173" s="201"/>
      <c r="BQ173" s="201"/>
      <c r="BR173" s="201"/>
      <c r="BS173" s="201"/>
      <c r="BT173" s="107"/>
    </row>
    <row r="174" spans="57:72" x14ac:dyDescent="0.25"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</row>
    <row r="175" spans="57:72" x14ac:dyDescent="0.25">
      <c r="BE175" s="107"/>
      <c r="BF175" s="107"/>
      <c r="BG175" s="107"/>
      <c r="BH175" s="107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</row>
  </sheetData>
  <sheetProtection password="CC22" sheet="1" objects="1" scenarios="1" selectLockedCells="1"/>
  <protectedRanges>
    <protectedRange sqref="B100" name="Range1"/>
  </protectedRanges>
  <mergeCells count="11">
    <mergeCell ref="BT57:BU57"/>
    <mergeCell ref="D99:D100"/>
    <mergeCell ref="D101:D102"/>
    <mergeCell ref="B101:B102"/>
    <mergeCell ref="AN103:AO103"/>
    <mergeCell ref="BM148:BN148"/>
    <mergeCell ref="B33:E33"/>
    <mergeCell ref="AR51:AS51"/>
    <mergeCell ref="BG54:BH54"/>
    <mergeCell ref="BF56:BF57"/>
    <mergeCell ref="BG57:BH57"/>
  </mergeCells>
  <conditionalFormatting sqref="D99 D101">
    <cfRule type="cellIs" dxfId="31" priority="38" stopIfTrue="1" operator="equal">
      <formula>"change the angle of frame"</formula>
    </cfRule>
  </conditionalFormatting>
  <conditionalFormatting sqref="B107:G107 J107:AO107">
    <cfRule type="expression" dxfId="30" priority="33">
      <formula>$B$103&lt;2</formula>
    </cfRule>
  </conditionalFormatting>
  <conditionalFormatting sqref="B108:F108 J108:AE108 AG108:AO108">
    <cfRule type="expression" dxfId="29" priority="32">
      <formula>$B$103&lt;3</formula>
    </cfRule>
  </conditionalFormatting>
  <conditionalFormatting sqref="B109:F109 J109:AE109 AG109:AO109">
    <cfRule type="expression" dxfId="28" priority="31">
      <formula>$B$103&lt;4</formula>
    </cfRule>
  </conditionalFormatting>
  <conditionalFormatting sqref="B110:F110 J110:AE110 AG110:AO110">
    <cfRule type="expression" dxfId="27" priority="30">
      <formula>$B$103&lt;5</formula>
    </cfRule>
  </conditionalFormatting>
  <conditionalFormatting sqref="B111:F111 J111:AE111 AG111:AO111">
    <cfRule type="expression" dxfId="26" priority="29">
      <formula>$B$103&lt;6</formula>
    </cfRule>
  </conditionalFormatting>
  <conditionalFormatting sqref="B112:F112 J112:AE112 AG112:AO112">
    <cfRule type="expression" dxfId="25" priority="28">
      <formula>$B$103&lt;7</formula>
    </cfRule>
  </conditionalFormatting>
  <conditionalFormatting sqref="B113:F113 J113:AE113 AG113:AO113">
    <cfRule type="expression" dxfId="24" priority="27">
      <formula>$B$103&lt;8</formula>
    </cfRule>
  </conditionalFormatting>
  <conditionalFormatting sqref="B114:F114 J114:AE114 AG114:AO114">
    <cfRule type="expression" dxfId="23" priority="26">
      <formula>$B$103&lt;9</formula>
    </cfRule>
  </conditionalFormatting>
  <conditionalFormatting sqref="B115:F115 J115:AE115 AG115:AO115">
    <cfRule type="expression" dxfId="22" priority="25">
      <formula>$B$103&lt;10</formula>
    </cfRule>
  </conditionalFormatting>
  <conditionalFormatting sqref="B116:F116 J116:AE116 AG116:AO116">
    <cfRule type="expression" dxfId="21" priority="24">
      <formula>$B$103&lt;11</formula>
    </cfRule>
  </conditionalFormatting>
  <conditionalFormatting sqref="B117:F117 J117:AE117 AG117:AO117">
    <cfRule type="expression" dxfId="20" priority="23">
      <formula>$B$103&lt;12</formula>
    </cfRule>
  </conditionalFormatting>
  <conditionalFormatting sqref="B118:F118 J118:AE118 AG118:AO118">
    <cfRule type="expression" dxfId="19" priority="22">
      <formula>$B$103&lt;13</formula>
    </cfRule>
  </conditionalFormatting>
  <conditionalFormatting sqref="B119:F119 J119:AE119 AG119:AO119">
    <cfRule type="expression" dxfId="18" priority="21">
      <formula>$B$103&lt;14</formula>
    </cfRule>
  </conditionalFormatting>
  <conditionalFormatting sqref="B120:F120 J120:AE120 AG120:AO120">
    <cfRule type="expression" dxfId="17" priority="20">
      <formula>$B$103&lt;15</formula>
    </cfRule>
  </conditionalFormatting>
  <conditionalFormatting sqref="B121:F121 J121:AE121 AG121:AO121">
    <cfRule type="expression" dxfId="16" priority="19">
      <formula>$B$103&lt;16</formula>
    </cfRule>
  </conditionalFormatting>
  <conditionalFormatting sqref="B122:F122 J122:AE122 AG122:AO122">
    <cfRule type="expression" dxfId="15" priority="18">
      <formula>$B$103&lt;17</formula>
    </cfRule>
  </conditionalFormatting>
  <conditionalFormatting sqref="B123:F123 J123:AE123 AG123:AO123">
    <cfRule type="expression" dxfId="14" priority="17">
      <formula>$B$103&lt;18</formula>
    </cfRule>
  </conditionalFormatting>
  <conditionalFormatting sqref="B124:F124 J124:AE124 AG124:AO124">
    <cfRule type="expression" dxfId="13" priority="16">
      <formula>$B$103&lt;19</formula>
    </cfRule>
  </conditionalFormatting>
  <conditionalFormatting sqref="B125:F125 J125:AE125 AG125:AO125">
    <cfRule type="expression" dxfId="12" priority="15">
      <formula>$B$103&lt;20</formula>
    </cfRule>
  </conditionalFormatting>
  <conditionalFormatting sqref="D106:D125">
    <cfRule type="cellIs" dxfId="11" priority="35" operator="notEqual">
      <formula>0</formula>
    </cfRule>
  </conditionalFormatting>
  <conditionalFormatting sqref="AN106:AO125">
    <cfRule type="cellIs" dxfId="10" priority="34" operator="lessThan">
      <formula>10</formula>
    </cfRule>
  </conditionalFormatting>
  <conditionalFormatting sqref="D108">
    <cfRule type="expression" dxfId="9" priority="11">
      <formula>$B$103&lt;2</formula>
    </cfRule>
  </conditionalFormatting>
  <conditionalFormatting sqref="D109:D125">
    <cfRule type="expression" dxfId="8" priority="8">
      <formula>$B$103&lt;2</formula>
    </cfRule>
  </conditionalFormatting>
  <conditionalFormatting sqref="D109:D125">
    <cfRule type="expression" dxfId="7" priority="9">
      <formula>$B$103&lt;3</formula>
    </cfRule>
  </conditionalFormatting>
  <conditionalFormatting sqref="CC82">
    <cfRule type="cellIs" dxfId="6" priority="6" operator="equal">
      <formula>0</formula>
    </cfRule>
    <cfRule type="expression" dxfId="5" priority="7">
      <formula>$B$100=0</formula>
    </cfRule>
  </conditionalFormatting>
  <conditionalFormatting sqref="G108">
    <cfRule type="expression" dxfId="4" priority="5">
      <formula>$B$103&lt;2</formula>
    </cfRule>
  </conditionalFormatting>
  <conditionalFormatting sqref="G109:G125">
    <cfRule type="expression" dxfId="3" priority="4">
      <formula>$B$103&lt;2</formula>
    </cfRule>
  </conditionalFormatting>
  <conditionalFormatting sqref="BG82:CB82">
    <cfRule type="cellIs" dxfId="2" priority="2" operator="equal">
      <formula>0</formula>
    </cfRule>
    <cfRule type="expression" dxfId="1" priority="3">
      <formula>$B$100=0</formula>
    </cfRule>
  </conditionalFormatting>
  <conditionalFormatting sqref="AF108:AF125">
    <cfRule type="expression" dxfId="0" priority="1">
      <formula>$B$103&lt;2</formula>
    </cfRule>
  </conditionalFormatting>
  <dataValidations count="4">
    <dataValidation type="decimal" allowBlank="1" showInputMessage="1" showErrorMessage="1" sqref="B100">
      <formula1>-89.9</formula1>
      <formula2>89.9</formula2>
    </dataValidation>
    <dataValidation type="decimal" allowBlank="1" showInputMessage="1" showErrorMessage="1" sqref="G107:G125">
      <formula1>0</formula1>
      <formula2>8</formula2>
    </dataValidation>
    <dataValidation type="decimal" allowBlank="1" showInputMessage="1" showErrorMessage="1" sqref="G106">
      <formula1>0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20" sqref="B103">
      <formula1>1</formula1>
      <formula2>20</formula2>
    </dataValidation>
  </dataValidations>
  <pageMargins left="0.75" right="0.75" top="1" bottom="1" header="0.5" footer="0.5"/>
  <pageSetup paperSize="9" orientation="portrait" horizontalDpi="4294967293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APS with FRV APS</vt:lpstr>
      <vt:lpstr>APS SUB with FRV APS</vt:lpstr>
      <vt:lpstr>APS SUB+APS with FRV APS</vt:lpstr>
      <vt:lpstr>APS with FRH APS </vt:lpstr>
    </vt:vector>
  </TitlesOfParts>
  <Company>CODA AUDIO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Edgar Krueger</cp:lastModifiedBy>
  <dcterms:created xsi:type="dcterms:W3CDTF">2009-10-07T12:24:30Z</dcterms:created>
  <dcterms:modified xsi:type="dcterms:W3CDTF">2018-02-26T12:55:39Z</dcterms:modified>
</cp:coreProperties>
</file>