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edgarkruger/Desktop/Desktop/safety sheets/safety sheets/2023/"/>
    </mc:Choice>
  </mc:AlternateContent>
  <xr:revisionPtr revIDLastSave="0" documentId="8_{F5D683A4-B4A5-C241-BA58-E3FA6784BB12}" xr6:coauthVersionLast="47" xr6:coauthVersionMax="47" xr10:uidLastSave="{00000000-0000-0000-0000-000000000000}"/>
  <bookViews>
    <workbookView xWindow="34560" yWindow="500" windowWidth="38400" windowHeight="21100" activeTab="4" xr2:uid="{00000000-000D-0000-FFFF-FFFF00000000}"/>
  </bookViews>
  <sheets>
    <sheet name="N-RAY with FR-NR" sheetId="1" r:id="rId1"/>
    <sheet name="SCN-F with FR-NR" sheetId="2" r:id="rId2"/>
    <sheet name="SCN-F+N-RAY" sheetId="3" r:id="rId3"/>
    <sheet name="N-RAY+SCN-F+N-RAY" sheetId="7" r:id="rId4"/>
    <sheet name="SCN-F+N-RAY with NR-LINK" sheetId="26" r:id="rId5"/>
  </sheets>
  <definedNames>
    <definedName name="_xlnm._FilterDatabase" localSheetId="0" hidden="1">'N-RAY with FR-NR'!$AR$154:$AR$155</definedName>
    <definedName name="_xlnm._FilterDatabase" localSheetId="1" hidden="1">'SCN-F with FR-NR'!#REF!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160" i="26" l="1"/>
  <c r="H22" i="26" l="1"/>
  <c r="H8" i="26"/>
  <c r="H7" i="26"/>
  <c r="H22" i="7"/>
  <c r="H8" i="7"/>
  <c r="H7" i="7"/>
  <c r="H22" i="3" l="1"/>
  <c r="H8" i="3"/>
  <c r="H7" i="3"/>
  <c r="H22" i="2" l="1"/>
  <c r="H8" i="2"/>
  <c r="H7" i="2"/>
  <c r="H22" i="1" l="1"/>
  <c r="H8" i="1" l="1"/>
  <c r="H7" i="1"/>
  <c r="G171" i="26" l="1"/>
  <c r="J171" i="26"/>
  <c r="K171" i="26" s="1"/>
  <c r="L171" i="26" s="1"/>
  <c r="M171" i="26" s="1"/>
  <c r="N171" i="26" s="1"/>
  <c r="AP171" i="26"/>
  <c r="CF176" i="26" l="1"/>
  <c r="CE177" i="26"/>
  <c r="CE178" i="26" s="1"/>
  <c r="CE179" i="26" s="1"/>
  <c r="CE180" i="26" s="1"/>
  <c r="CE181" i="26" s="1"/>
  <c r="CE182" i="26" s="1"/>
  <c r="CE183" i="26" s="1"/>
  <c r="CE184" i="26" s="1"/>
  <c r="CE185" i="26" s="1"/>
  <c r="CE186" i="26" s="1"/>
  <c r="CE187" i="26" s="1"/>
  <c r="CE188" i="26" s="1"/>
  <c r="CE189" i="26" s="1"/>
  <c r="CE190" i="26" s="1"/>
  <c r="CE191" i="26" s="1"/>
  <c r="CE192" i="26" s="1"/>
  <c r="CE193" i="26" s="1"/>
  <c r="CE194" i="26" s="1"/>
  <c r="CE195" i="26" s="1"/>
  <c r="CE196" i="26" s="1"/>
  <c r="CE197" i="26" s="1"/>
  <c r="CE198" i="26" s="1"/>
  <c r="CE199" i="26" s="1"/>
  <c r="CE200" i="26" s="1"/>
  <c r="CE201" i="26" s="1"/>
  <c r="CE202" i="26" s="1"/>
  <c r="CE203" i="26" s="1"/>
  <c r="CE204" i="26" s="1"/>
  <c r="CE205" i="26" s="1"/>
  <c r="CE206" i="26" s="1"/>
  <c r="CE207" i="26" s="1"/>
  <c r="CE208" i="26" s="1"/>
  <c r="CE209" i="26" s="1"/>
  <c r="CE210" i="26" s="1"/>
  <c r="CE211" i="26" s="1"/>
  <c r="CE212" i="26" s="1"/>
  <c r="CE213" i="26" s="1"/>
  <c r="CE214" i="26" s="1"/>
  <c r="CE215" i="26" s="1"/>
  <c r="CE216" i="26" s="1"/>
  <c r="CO126" i="26"/>
  <c r="CO128" i="26" s="1"/>
  <c r="CM126" i="26"/>
  <c r="CM128" i="26" s="1"/>
  <c r="CK126" i="26"/>
  <c r="CK128" i="26" s="1"/>
  <c r="CH126" i="26"/>
  <c r="CE126" i="26"/>
  <c r="CE128" i="26" s="1"/>
  <c r="CC126" i="26"/>
  <c r="CC128" i="26" s="1"/>
  <c r="CA126" i="26"/>
  <c r="CA128" i="26" s="1"/>
  <c r="AP170" i="26"/>
  <c r="AP169" i="26"/>
  <c r="AP168" i="26"/>
  <c r="AP167" i="26"/>
  <c r="AP166" i="26"/>
  <c r="AP165" i="26"/>
  <c r="AP164" i="26"/>
  <c r="AP163" i="26"/>
  <c r="AP153" i="26"/>
  <c r="AP152" i="26"/>
  <c r="AP151" i="26"/>
  <c r="AP150" i="26"/>
  <c r="AP149" i="26"/>
  <c r="AP148" i="26"/>
  <c r="AP147" i="26"/>
  <c r="AP146" i="26"/>
  <c r="AP145" i="26"/>
  <c r="AP144" i="26"/>
  <c r="AP143" i="26"/>
  <c r="AP142" i="26"/>
  <c r="C13" i="26"/>
  <c r="C10" i="26"/>
  <c r="D4" i="26"/>
  <c r="F2" i="26"/>
  <c r="E2" i="26"/>
  <c r="D2" i="26"/>
  <c r="H11" i="26" l="1"/>
  <c r="H9" i="26"/>
  <c r="AQ146" i="26"/>
  <c r="AQ143" i="26"/>
  <c r="AQ150" i="26"/>
  <c r="AQ142" i="26"/>
  <c r="C7" i="26"/>
  <c r="CF177" i="26"/>
  <c r="AQ153" i="26"/>
  <c r="AQ144" i="26"/>
  <c r="AQ148" i="26"/>
  <c r="AQ152" i="26"/>
  <c r="AQ147" i="26"/>
  <c r="AQ151" i="26"/>
  <c r="AQ145" i="26"/>
  <c r="AQ149" i="26"/>
  <c r="CF178" i="26" l="1"/>
  <c r="CF179" i="26" s="1"/>
  <c r="CC232" i="7"/>
  <c r="CB233" i="7"/>
  <c r="CB234" i="7" s="1"/>
  <c r="CB235" i="7" s="1"/>
  <c r="CB236" i="7" s="1"/>
  <c r="CB237" i="7" s="1"/>
  <c r="CB238" i="7" s="1"/>
  <c r="CB239" i="7" s="1"/>
  <c r="CB240" i="7" s="1"/>
  <c r="CB241" i="7" s="1"/>
  <c r="CB242" i="7" s="1"/>
  <c r="CB243" i="7" s="1"/>
  <c r="CB244" i="7" s="1"/>
  <c r="CB245" i="7" s="1"/>
  <c r="CB246" i="7" s="1"/>
  <c r="CB247" i="7" s="1"/>
  <c r="CB248" i="7" s="1"/>
  <c r="CB249" i="7" s="1"/>
  <c r="CB250" i="7" s="1"/>
  <c r="CB251" i="7" s="1"/>
  <c r="CB252" i="7" s="1"/>
  <c r="CB253" i="7" s="1"/>
  <c r="CB254" i="7" s="1"/>
  <c r="CB255" i="7" s="1"/>
  <c r="CB256" i="7" s="1"/>
  <c r="CB257" i="7" s="1"/>
  <c r="CB258" i="7" s="1"/>
  <c r="CB259" i="7" s="1"/>
  <c r="CB260" i="7" s="1"/>
  <c r="CB261" i="7" s="1"/>
  <c r="CB262" i="7" s="1"/>
  <c r="CB263" i="7" s="1"/>
  <c r="CB264" i="7" s="1"/>
  <c r="CB265" i="7" s="1"/>
  <c r="CB266" i="7" s="1"/>
  <c r="CB267" i="7" s="1"/>
  <c r="CB268" i="7" s="1"/>
  <c r="CB269" i="7" s="1"/>
  <c r="CB270" i="7" s="1"/>
  <c r="CB271" i="7" s="1"/>
  <c r="CB272" i="7" s="1"/>
  <c r="CL113" i="7"/>
  <c r="CL115" i="7" s="1"/>
  <c r="CJ113" i="7"/>
  <c r="CJ115" i="7" s="1"/>
  <c r="CH113" i="7"/>
  <c r="CH115" i="7" s="1"/>
  <c r="CE113" i="7"/>
  <c r="CB113" i="7"/>
  <c r="CB115" i="7" s="1"/>
  <c r="BZ113" i="7"/>
  <c r="BZ115" i="7" s="1"/>
  <c r="BX113" i="7"/>
  <c r="BX115" i="7" s="1"/>
  <c r="CF180" i="26" l="1"/>
  <c r="AQ227" i="7"/>
  <c r="AQ226" i="7"/>
  <c r="AQ225" i="7"/>
  <c r="AQ224" i="7"/>
  <c r="AQ223" i="7"/>
  <c r="AQ222" i="7"/>
  <c r="AQ221" i="7"/>
  <c r="AQ220" i="7"/>
  <c r="AQ219" i="7"/>
  <c r="AQ218" i="7"/>
  <c r="AQ217" i="7"/>
  <c r="AQ216" i="7"/>
  <c r="AQ215" i="7"/>
  <c r="AQ214" i="7"/>
  <c r="AQ213" i="7"/>
  <c r="AQ212" i="7"/>
  <c r="AQ211" i="7"/>
  <c r="AQ210" i="7"/>
  <c r="AQ209" i="7"/>
  <c r="AQ208" i="7"/>
  <c r="AQ207" i="7"/>
  <c r="AQ206" i="7"/>
  <c r="AQ205" i="7"/>
  <c r="AQ204" i="7"/>
  <c r="O224" i="7"/>
  <c r="P224" i="7" s="1"/>
  <c r="J227" i="7"/>
  <c r="K227" i="7" s="1"/>
  <c r="L227" i="7" s="1"/>
  <c r="M227" i="7" s="1"/>
  <c r="N227" i="7" s="1"/>
  <c r="J226" i="7"/>
  <c r="K226" i="7" s="1"/>
  <c r="L226" i="7" s="1"/>
  <c r="M226" i="7" s="1"/>
  <c r="N226" i="7" s="1"/>
  <c r="J225" i="7"/>
  <c r="K225" i="7" s="1"/>
  <c r="L225" i="7" s="1"/>
  <c r="M225" i="7" s="1"/>
  <c r="N225" i="7" s="1"/>
  <c r="J224" i="7"/>
  <c r="K224" i="7" s="1"/>
  <c r="L224" i="7" s="1"/>
  <c r="M224" i="7" s="1"/>
  <c r="N224" i="7" s="1"/>
  <c r="AQ191" i="7"/>
  <c r="AQ190" i="7"/>
  <c r="AQ189" i="7"/>
  <c r="AQ188" i="7"/>
  <c r="AQ187" i="7"/>
  <c r="AQ186" i="7"/>
  <c r="AQ185" i="7"/>
  <c r="AQ184" i="7"/>
  <c r="AQ183" i="7"/>
  <c r="AQ182" i="7"/>
  <c r="AQ181" i="7"/>
  <c r="AQ180" i="7"/>
  <c r="AQ166" i="7"/>
  <c r="AQ165" i="7"/>
  <c r="AQ164" i="7"/>
  <c r="AQ163" i="7"/>
  <c r="AQ162" i="7"/>
  <c r="AQ161" i="7"/>
  <c r="AQ160" i="7"/>
  <c r="AQ159" i="7"/>
  <c r="AQ158" i="7"/>
  <c r="AQ157" i="7"/>
  <c r="AQ156" i="7"/>
  <c r="AQ155" i="7"/>
  <c r="AQ154" i="7"/>
  <c r="AQ153" i="7"/>
  <c r="AQ152" i="7"/>
  <c r="AQ151" i="7"/>
  <c r="AQ150" i="7"/>
  <c r="AQ149" i="7"/>
  <c r="AQ148" i="7"/>
  <c r="AQ147" i="7"/>
  <c r="AQ146" i="7"/>
  <c r="AQ145" i="7"/>
  <c r="AQ144" i="7"/>
  <c r="AQ143" i="7"/>
  <c r="J166" i="7"/>
  <c r="K166" i="7" s="1"/>
  <c r="L166" i="7" s="1"/>
  <c r="M166" i="7" s="1"/>
  <c r="N166" i="7" s="1"/>
  <c r="J165" i="7"/>
  <c r="K165" i="7" s="1"/>
  <c r="L165" i="7" s="1"/>
  <c r="M165" i="7" s="1"/>
  <c r="N165" i="7" s="1"/>
  <c r="J164" i="7"/>
  <c r="K164" i="7" s="1"/>
  <c r="L164" i="7" s="1"/>
  <c r="M164" i="7" s="1"/>
  <c r="N164" i="7" s="1"/>
  <c r="J163" i="7"/>
  <c r="K163" i="7" s="1"/>
  <c r="L163" i="7" s="1"/>
  <c r="M163" i="7" s="1"/>
  <c r="N163" i="7" s="1"/>
  <c r="C14" i="7"/>
  <c r="C11" i="7"/>
  <c r="D4" i="7"/>
  <c r="F2" i="7"/>
  <c r="E2" i="7"/>
  <c r="D2" i="7"/>
  <c r="AR147" i="7" l="1"/>
  <c r="CC233" i="7"/>
  <c r="CC234" i="7" s="1"/>
  <c r="H9" i="7"/>
  <c r="H11" i="7"/>
  <c r="CF181" i="26"/>
  <c r="Q224" i="7"/>
  <c r="C7" i="7"/>
  <c r="CL202" i="3"/>
  <c r="CF182" i="26" l="1"/>
  <c r="CC235" i="7"/>
  <c r="CK203" i="3"/>
  <c r="CK204" i="3" s="1"/>
  <c r="CK205" i="3" s="1"/>
  <c r="CK206" i="3" s="1"/>
  <c r="CK207" i="3" s="1"/>
  <c r="CK208" i="3" s="1"/>
  <c r="CK209" i="3" s="1"/>
  <c r="CK210" i="3" s="1"/>
  <c r="CK211" i="3" s="1"/>
  <c r="CK212" i="3" s="1"/>
  <c r="CK213" i="3" s="1"/>
  <c r="CK214" i="3" s="1"/>
  <c r="CK215" i="3" s="1"/>
  <c r="CK216" i="3" s="1"/>
  <c r="CK217" i="3" s="1"/>
  <c r="CK218" i="3" s="1"/>
  <c r="CK219" i="3" s="1"/>
  <c r="CK220" i="3" s="1"/>
  <c r="CK221" i="3" s="1"/>
  <c r="CK222" i="3" s="1"/>
  <c r="CK223" i="3" s="1"/>
  <c r="CK224" i="3" s="1"/>
  <c r="CK225" i="3" s="1"/>
  <c r="CK226" i="3" s="1"/>
  <c r="CK227" i="3" s="1"/>
  <c r="CK228" i="3" s="1"/>
  <c r="CK229" i="3" s="1"/>
  <c r="CK230" i="3" s="1"/>
  <c r="CK231" i="3" s="1"/>
  <c r="CK232" i="3" s="1"/>
  <c r="CK233" i="3" s="1"/>
  <c r="CK234" i="3" s="1"/>
  <c r="CK235" i="3" s="1"/>
  <c r="CK236" i="3" s="1"/>
  <c r="CK237" i="3" s="1"/>
  <c r="CK238" i="3" s="1"/>
  <c r="CK239" i="3" s="1"/>
  <c r="CK240" i="3" s="1"/>
  <c r="CK241" i="3" s="1"/>
  <c r="CK242" i="3" s="1"/>
  <c r="CP114" i="3"/>
  <c r="CP116" i="3" s="1"/>
  <c r="CN114" i="3"/>
  <c r="CN116" i="3" s="1"/>
  <c r="CL114" i="3"/>
  <c r="CL116" i="3" s="1"/>
  <c r="CI114" i="3"/>
  <c r="CF114" i="3"/>
  <c r="CF116" i="3" s="1"/>
  <c r="CD114" i="3"/>
  <c r="CD116" i="3" s="1"/>
  <c r="CB114" i="3"/>
  <c r="CB116" i="3" s="1"/>
  <c r="CF183" i="26" l="1"/>
  <c r="CC236" i="7"/>
  <c r="AP198" i="3"/>
  <c r="AP197" i="3"/>
  <c r="AP196" i="3"/>
  <c r="AP195" i="3"/>
  <c r="AP194" i="3"/>
  <c r="AP193" i="3"/>
  <c r="AP192" i="3"/>
  <c r="AP191" i="3"/>
  <c r="AP190" i="3"/>
  <c r="AP189" i="3"/>
  <c r="AP188" i="3"/>
  <c r="AP187" i="3"/>
  <c r="AP186" i="3"/>
  <c r="AP185" i="3"/>
  <c r="AP184" i="3"/>
  <c r="AP183" i="3"/>
  <c r="AP182" i="3"/>
  <c r="AP181" i="3"/>
  <c r="AP180" i="3"/>
  <c r="AP179" i="3"/>
  <c r="AP178" i="3"/>
  <c r="AP177" i="3"/>
  <c r="AP176" i="3"/>
  <c r="AP175" i="3"/>
  <c r="J198" i="3"/>
  <c r="K198" i="3" s="1"/>
  <c r="L198" i="3" s="1"/>
  <c r="M198" i="3" s="1"/>
  <c r="N198" i="3" s="1"/>
  <c r="J197" i="3"/>
  <c r="K197" i="3" s="1"/>
  <c r="L197" i="3" s="1"/>
  <c r="M197" i="3" s="1"/>
  <c r="N197" i="3" s="1"/>
  <c r="J196" i="3"/>
  <c r="K196" i="3" s="1"/>
  <c r="L196" i="3" s="1"/>
  <c r="M196" i="3" s="1"/>
  <c r="N196" i="3" s="1"/>
  <c r="J195" i="3"/>
  <c r="K195" i="3" s="1"/>
  <c r="L195" i="3" s="1"/>
  <c r="M195" i="3" s="1"/>
  <c r="N195" i="3" s="1"/>
  <c r="G198" i="3"/>
  <c r="G197" i="3"/>
  <c r="G196" i="3"/>
  <c r="G195" i="3"/>
  <c r="AP161" i="3"/>
  <c r="AP160" i="3"/>
  <c r="AP159" i="3"/>
  <c r="AP158" i="3"/>
  <c r="AP157" i="3"/>
  <c r="AP156" i="3"/>
  <c r="AP155" i="3"/>
  <c r="AP154" i="3"/>
  <c r="AP153" i="3"/>
  <c r="AP152" i="3"/>
  <c r="AP151" i="3"/>
  <c r="AP150" i="3"/>
  <c r="C14" i="3"/>
  <c r="C11" i="3"/>
  <c r="D4" i="3"/>
  <c r="F2" i="3"/>
  <c r="E2" i="3"/>
  <c r="D2" i="3"/>
  <c r="H11" i="3" l="1"/>
  <c r="H9" i="3"/>
  <c r="CL203" i="3"/>
  <c r="CL204" i="3" s="1"/>
  <c r="CF184" i="26"/>
  <c r="CC237" i="7"/>
  <c r="AQ153" i="3"/>
  <c r="AQ161" i="3"/>
  <c r="AQ157" i="3"/>
  <c r="C7" i="3"/>
  <c r="AQ152" i="3"/>
  <c r="AQ156" i="3"/>
  <c r="AQ160" i="3"/>
  <c r="AQ150" i="3"/>
  <c r="AQ154" i="3"/>
  <c r="AQ158" i="3"/>
  <c r="AQ151" i="3"/>
  <c r="AQ155" i="3"/>
  <c r="AQ159" i="3"/>
  <c r="BV165" i="2"/>
  <c r="CA100" i="2"/>
  <c r="CA102" i="2" s="1"/>
  <c r="BY100" i="2"/>
  <c r="BY102" i="2" s="1"/>
  <c r="BW100" i="2"/>
  <c r="BW102" i="2" s="1"/>
  <c r="BT100" i="2"/>
  <c r="BQ100" i="2"/>
  <c r="BQ102" i="2" s="1"/>
  <c r="BO100" i="2"/>
  <c r="BO102" i="2" s="1"/>
  <c r="BM100" i="2"/>
  <c r="BM102" i="2" s="1"/>
  <c r="BU166" i="2"/>
  <c r="BU167" i="2" s="1"/>
  <c r="BU168" i="2" s="1"/>
  <c r="BU169" i="2" s="1"/>
  <c r="BU170" i="2" s="1"/>
  <c r="BU171" i="2" s="1"/>
  <c r="BU172" i="2" s="1"/>
  <c r="BU173" i="2" s="1"/>
  <c r="BU174" i="2" s="1"/>
  <c r="BU175" i="2" s="1"/>
  <c r="BU176" i="2" s="1"/>
  <c r="BU177" i="2" s="1"/>
  <c r="BU178" i="2" s="1"/>
  <c r="BU179" i="2" s="1"/>
  <c r="BU180" i="2" s="1"/>
  <c r="BU181" i="2" s="1"/>
  <c r="BU182" i="2" s="1"/>
  <c r="BU183" i="2" s="1"/>
  <c r="BU184" i="2" s="1"/>
  <c r="BU185" i="2" s="1"/>
  <c r="BU186" i="2" s="1"/>
  <c r="BU187" i="2" s="1"/>
  <c r="BU188" i="2" s="1"/>
  <c r="BU189" i="2" s="1"/>
  <c r="BU190" i="2" s="1"/>
  <c r="BU191" i="2" s="1"/>
  <c r="BU192" i="2" s="1"/>
  <c r="BU193" i="2" s="1"/>
  <c r="BU194" i="2" s="1"/>
  <c r="BU195" i="2" s="1"/>
  <c r="BU196" i="2" s="1"/>
  <c r="BU197" i="2" s="1"/>
  <c r="BU198" i="2" s="1"/>
  <c r="BU199" i="2" s="1"/>
  <c r="BU200" i="2" s="1"/>
  <c r="BU201" i="2" s="1"/>
  <c r="BU202" i="2" s="1"/>
  <c r="BU203" i="2" s="1"/>
  <c r="BU204" i="2" s="1"/>
  <c r="BU205" i="2" s="1"/>
  <c r="AF153" i="2"/>
  <c r="AF152" i="2"/>
  <c r="AF151" i="2"/>
  <c r="AF150" i="2"/>
  <c r="AF149" i="2"/>
  <c r="AF148" i="2"/>
  <c r="AF147" i="2"/>
  <c r="AF146" i="2"/>
  <c r="AF145" i="2"/>
  <c r="AF144" i="2"/>
  <c r="AF143" i="2"/>
  <c r="AF142" i="2"/>
  <c r="CF185" i="26" l="1"/>
  <c r="CC238" i="7"/>
  <c r="CL205" i="3"/>
  <c r="CL206" i="3" s="1"/>
  <c r="C7" i="2"/>
  <c r="D4" i="2"/>
  <c r="F2" i="2"/>
  <c r="E2" i="2"/>
  <c r="D2" i="2"/>
  <c r="BV166" i="2" l="1"/>
  <c r="BV167" i="2" s="1"/>
  <c r="H11" i="2"/>
  <c r="H9" i="2"/>
  <c r="CF186" i="26"/>
  <c r="CC239" i="7"/>
  <c r="CL207" i="3"/>
  <c r="CG135" i="1"/>
  <c r="CG137" i="1" s="1"/>
  <c r="CE135" i="1"/>
  <c r="CE137" i="1" s="1"/>
  <c r="CC135" i="1"/>
  <c r="CC137" i="1" s="1"/>
  <c r="BZ135" i="1"/>
  <c r="BW135" i="1"/>
  <c r="BW137" i="1" s="1"/>
  <c r="BU135" i="1"/>
  <c r="BU137" i="1" s="1"/>
  <c r="BS135" i="1"/>
  <c r="BS137" i="1" s="1"/>
  <c r="CF187" i="26" l="1"/>
  <c r="CC240" i="7"/>
  <c r="CL208" i="3"/>
  <c r="BV168" i="2"/>
  <c r="CF188" i="26" l="1"/>
  <c r="CC241" i="7"/>
  <c r="CL209" i="3"/>
  <c r="BV169" i="2"/>
  <c r="DG38" i="1"/>
  <c r="DG39" i="1" s="1"/>
  <c r="DG40" i="1" s="1"/>
  <c r="DG41" i="1" s="1"/>
  <c r="DG42" i="1" s="1"/>
  <c r="DG43" i="1" s="1"/>
  <c r="DG44" i="1" s="1"/>
  <c r="DG45" i="1" s="1"/>
  <c r="DG46" i="1" s="1"/>
  <c r="DG47" i="1" s="1"/>
  <c r="DG48" i="1" s="1"/>
  <c r="DG49" i="1" s="1"/>
  <c r="DG50" i="1" s="1"/>
  <c r="DG51" i="1" s="1"/>
  <c r="DG52" i="1" s="1"/>
  <c r="DG53" i="1" s="1"/>
  <c r="DG54" i="1" s="1"/>
  <c r="DG55" i="1" s="1"/>
  <c r="DG56" i="1" s="1"/>
  <c r="DG57" i="1" s="1"/>
  <c r="DG58" i="1" s="1"/>
  <c r="DG59" i="1" s="1"/>
  <c r="DG60" i="1" s="1"/>
  <c r="DG61" i="1" s="1"/>
  <c r="DG62" i="1" s="1"/>
  <c r="DG63" i="1" s="1"/>
  <c r="DG64" i="1" s="1"/>
  <c r="DG65" i="1" s="1"/>
  <c r="DG66" i="1" s="1"/>
  <c r="DG67" i="1" s="1"/>
  <c r="DG68" i="1" s="1"/>
  <c r="DG69" i="1" s="1"/>
  <c r="DG70" i="1" s="1"/>
  <c r="DG71" i="1" s="1"/>
  <c r="DG72" i="1" s="1"/>
  <c r="DG73" i="1" s="1"/>
  <c r="DG74" i="1" s="1"/>
  <c r="DG75" i="1" s="1"/>
  <c r="DG76" i="1" s="1"/>
  <c r="DG77" i="1" s="1"/>
  <c r="CF189" i="26" l="1"/>
  <c r="CC242" i="7"/>
  <c r="CL210" i="3"/>
  <c r="BV170" i="2"/>
  <c r="AF170" i="1"/>
  <c r="AF171" i="1"/>
  <c r="AF172" i="1"/>
  <c r="AF173" i="1"/>
  <c r="G170" i="1"/>
  <c r="J170" i="1"/>
  <c r="K170" i="1" s="1"/>
  <c r="L170" i="1" s="1"/>
  <c r="M170" i="1" s="1"/>
  <c r="N170" i="1" s="1"/>
  <c r="G171" i="1"/>
  <c r="J171" i="1"/>
  <c r="K171" i="1" s="1"/>
  <c r="L171" i="1" s="1"/>
  <c r="M171" i="1" s="1"/>
  <c r="N171" i="1" s="1"/>
  <c r="G172" i="1"/>
  <c r="J172" i="1"/>
  <c r="K172" i="1" s="1"/>
  <c r="L172" i="1" s="1"/>
  <c r="M172" i="1" s="1"/>
  <c r="N172" i="1" s="1"/>
  <c r="G173" i="1"/>
  <c r="J173" i="1"/>
  <c r="K173" i="1" s="1"/>
  <c r="L173" i="1" s="1"/>
  <c r="M173" i="1" s="1"/>
  <c r="N173" i="1" s="1"/>
  <c r="DH37" i="1"/>
  <c r="CF190" i="26" l="1"/>
  <c r="CC243" i="7"/>
  <c r="CL211" i="3"/>
  <c r="BV171" i="2"/>
  <c r="AF169" i="1"/>
  <c r="AF168" i="1"/>
  <c r="AF167" i="1"/>
  <c r="AF166" i="1"/>
  <c r="AF165" i="1"/>
  <c r="AF164" i="1"/>
  <c r="AF163" i="1"/>
  <c r="AF162" i="1"/>
  <c r="AF161" i="1"/>
  <c r="AF160" i="1"/>
  <c r="AF159" i="1"/>
  <c r="AF158" i="1"/>
  <c r="AF157" i="1"/>
  <c r="AF156" i="1"/>
  <c r="AF155" i="1"/>
  <c r="AF154" i="1"/>
  <c r="AF153" i="1"/>
  <c r="AF152" i="1"/>
  <c r="AF151" i="1"/>
  <c r="AF150" i="1"/>
  <c r="C12" i="1"/>
  <c r="CF191" i="26" l="1"/>
  <c r="CC244" i="7"/>
  <c r="CL212" i="3"/>
  <c r="BV172" i="2"/>
  <c r="F2" i="1"/>
  <c r="CF192" i="26" l="1"/>
  <c r="CC245" i="7"/>
  <c r="CL213" i="3"/>
  <c r="BV173" i="2"/>
  <c r="E2" i="1"/>
  <c r="CF193" i="26" l="1"/>
  <c r="CC246" i="7"/>
  <c r="CL214" i="3"/>
  <c r="BV174" i="2"/>
  <c r="J170" i="26"/>
  <c r="K170" i="26" s="1"/>
  <c r="L170" i="26" s="1"/>
  <c r="M170" i="26" s="1"/>
  <c r="N170" i="26" s="1"/>
  <c r="G170" i="26"/>
  <c r="J169" i="26"/>
  <c r="K169" i="26" s="1"/>
  <c r="L169" i="26" s="1"/>
  <c r="M169" i="26" s="1"/>
  <c r="N169" i="26" s="1"/>
  <c r="G169" i="26"/>
  <c r="CF194" i="26" l="1"/>
  <c r="CC247" i="7"/>
  <c r="CL215" i="3"/>
  <c r="BV175" i="2"/>
  <c r="CF195" i="26" l="1"/>
  <c r="CC248" i="7"/>
  <c r="CL216" i="3"/>
  <c r="BV176" i="2"/>
  <c r="AL138" i="26"/>
  <c r="CF196" i="26" l="1"/>
  <c r="CC249" i="7"/>
  <c r="CL217" i="3"/>
  <c r="BV177" i="2"/>
  <c r="AM138" i="26"/>
  <c r="AN138" i="26" s="1"/>
  <c r="CF197" i="26" l="1"/>
  <c r="CC250" i="7"/>
  <c r="CL218" i="3"/>
  <c r="BV178" i="2"/>
  <c r="AM139" i="7"/>
  <c r="AN139" i="7" s="1"/>
  <c r="AO139" i="7" s="1"/>
  <c r="CF198" i="26" l="1"/>
  <c r="CC251" i="7"/>
  <c r="CL219" i="3"/>
  <c r="BV179" i="2"/>
  <c r="CF199" i="26" l="1"/>
  <c r="CC252" i="7"/>
  <c r="CL220" i="3"/>
  <c r="BV180" i="2"/>
  <c r="CF200" i="26" l="1"/>
  <c r="CC253" i="7"/>
  <c r="CL221" i="3"/>
  <c r="BV181" i="2"/>
  <c r="AL146" i="3"/>
  <c r="AM146" i="3" s="1"/>
  <c r="AN146" i="3" s="1"/>
  <c r="CF201" i="26" l="1"/>
  <c r="CC254" i="7"/>
  <c r="CL222" i="3"/>
  <c r="BV182" i="2"/>
  <c r="Q136" i="2"/>
  <c r="R136" i="2" s="1"/>
  <c r="S136" i="2" s="1"/>
  <c r="CF202" i="26" l="1"/>
  <c r="CC255" i="7"/>
  <c r="CL223" i="3"/>
  <c r="BV183" i="2"/>
  <c r="U145" i="1"/>
  <c r="V145" i="1" s="1"/>
  <c r="W145" i="1" s="1"/>
  <c r="CF203" i="26" l="1"/>
  <c r="CC256" i="7"/>
  <c r="CL224" i="3"/>
  <c r="BV184" i="2"/>
  <c r="CF204" i="26" l="1"/>
  <c r="CC257" i="7"/>
  <c r="CL225" i="3"/>
  <c r="BV185" i="2"/>
  <c r="CF205" i="26" l="1"/>
  <c r="CC258" i="7"/>
  <c r="CL226" i="3"/>
  <c r="BV186" i="2"/>
  <c r="CF206" i="26" l="1"/>
  <c r="CC259" i="7"/>
  <c r="CL227" i="3"/>
  <c r="BV187" i="2"/>
  <c r="CF207" i="26" l="1"/>
  <c r="CC260" i="7"/>
  <c r="CL228" i="3"/>
  <c r="BV188" i="2"/>
  <c r="CF208" i="26" l="1"/>
  <c r="CC261" i="7"/>
  <c r="CL229" i="3"/>
  <c r="BV189" i="2"/>
  <c r="J168" i="26"/>
  <c r="K168" i="26" s="1"/>
  <c r="L168" i="26" s="1"/>
  <c r="M168" i="26" s="1"/>
  <c r="N168" i="26" s="1"/>
  <c r="G168" i="26"/>
  <c r="J167" i="26"/>
  <c r="K167" i="26" s="1"/>
  <c r="L167" i="26" s="1"/>
  <c r="M167" i="26" s="1"/>
  <c r="N167" i="26" s="1"/>
  <c r="G167" i="26"/>
  <c r="J166" i="26"/>
  <c r="K166" i="26" s="1"/>
  <c r="L166" i="26" s="1"/>
  <c r="M166" i="26" s="1"/>
  <c r="N166" i="26" s="1"/>
  <c r="G166" i="26"/>
  <c r="J165" i="26"/>
  <c r="K165" i="26" s="1"/>
  <c r="L165" i="26" s="1"/>
  <c r="M165" i="26" s="1"/>
  <c r="N165" i="26" s="1"/>
  <c r="G165" i="26"/>
  <c r="J164" i="26"/>
  <c r="K164" i="26" s="1"/>
  <c r="L164" i="26" s="1"/>
  <c r="M164" i="26" s="1"/>
  <c r="N164" i="26" s="1"/>
  <c r="G164" i="26"/>
  <c r="G163" i="26"/>
  <c r="J153" i="26"/>
  <c r="K153" i="26" s="1"/>
  <c r="L153" i="26" s="1"/>
  <c r="M153" i="26" s="1"/>
  <c r="N153" i="26" s="1"/>
  <c r="J152" i="26"/>
  <c r="K152" i="26" s="1"/>
  <c r="L152" i="26" s="1"/>
  <c r="M152" i="26" s="1"/>
  <c r="N152" i="26" s="1"/>
  <c r="J151" i="26"/>
  <c r="K151" i="26" s="1"/>
  <c r="L151" i="26" s="1"/>
  <c r="M151" i="26" s="1"/>
  <c r="N151" i="26" s="1"/>
  <c r="J150" i="26"/>
  <c r="K150" i="26" s="1"/>
  <c r="L150" i="26" s="1"/>
  <c r="M150" i="26" s="1"/>
  <c r="N150" i="26" s="1"/>
  <c r="J149" i="26"/>
  <c r="K149" i="26" s="1"/>
  <c r="L149" i="26" s="1"/>
  <c r="M149" i="26" s="1"/>
  <c r="N149" i="26" s="1"/>
  <c r="J148" i="26"/>
  <c r="K148" i="26" s="1"/>
  <c r="L148" i="26" s="1"/>
  <c r="M148" i="26" s="1"/>
  <c r="N148" i="26" s="1"/>
  <c r="J147" i="26"/>
  <c r="K147" i="26" s="1"/>
  <c r="L147" i="26" s="1"/>
  <c r="M147" i="26" s="1"/>
  <c r="N147" i="26" s="1"/>
  <c r="J146" i="26"/>
  <c r="K146" i="26" s="1"/>
  <c r="L146" i="26" s="1"/>
  <c r="M146" i="26" s="1"/>
  <c r="N146" i="26" s="1"/>
  <c r="J145" i="26"/>
  <c r="K145" i="26" s="1"/>
  <c r="L145" i="26" s="1"/>
  <c r="M145" i="26" s="1"/>
  <c r="N145" i="26" s="1"/>
  <c r="J144" i="26"/>
  <c r="K144" i="26" s="1"/>
  <c r="L144" i="26" s="1"/>
  <c r="M144" i="26" s="1"/>
  <c r="N144" i="26" s="1"/>
  <c r="J143" i="26"/>
  <c r="K143" i="26" s="1"/>
  <c r="L143" i="26" s="1"/>
  <c r="M143" i="26" s="1"/>
  <c r="N143" i="26" s="1"/>
  <c r="C142" i="26"/>
  <c r="AG153" i="26" s="1"/>
  <c r="AH153" i="26" s="1"/>
  <c r="CF209" i="26" l="1"/>
  <c r="AL153" i="26"/>
  <c r="AM153" i="26" s="1"/>
  <c r="AN153" i="26" s="1"/>
  <c r="AI153" i="26"/>
  <c r="AJ153" i="26" s="1"/>
  <c r="CC262" i="7"/>
  <c r="CL230" i="3"/>
  <c r="BV190" i="2"/>
  <c r="BN40" i="26"/>
  <c r="O144" i="26"/>
  <c r="P144" i="26" s="1"/>
  <c r="Q144" i="26" s="1"/>
  <c r="J142" i="26"/>
  <c r="P142" i="26" s="1"/>
  <c r="Q142" i="26" s="1"/>
  <c r="S142" i="26" s="1"/>
  <c r="T142" i="26" s="1"/>
  <c r="R143" i="26" s="1"/>
  <c r="AG145" i="26"/>
  <c r="O146" i="26"/>
  <c r="P146" i="26" s="1"/>
  <c r="Q146" i="26" s="1"/>
  <c r="O148" i="26"/>
  <c r="P148" i="26" s="1"/>
  <c r="Q148" i="26" s="1"/>
  <c r="AG149" i="26"/>
  <c r="O150" i="26"/>
  <c r="P150" i="26" s="1"/>
  <c r="Q150" i="26" s="1"/>
  <c r="AG151" i="26"/>
  <c r="AG143" i="26"/>
  <c r="AG147" i="26"/>
  <c r="O152" i="26"/>
  <c r="P152" i="26" s="1"/>
  <c r="Q152" i="26" s="1"/>
  <c r="AG144" i="26"/>
  <c r="O145" i="26"/>
  <c r="P145" i="26" s="1"/>
  <c r="Q145" i="26" s="1"/>
  <c r="AG148" i="26"/>
  <c r="O149" i="26"/>
  <c r="P149" i="26" s="1"/>
  <c r="Q149" i="26" s="1"/>
  <c r="AG152" i="26"/>
  <c r="AH152" i="26" s="1"/>
  <c r="O153" i="26"/>
  <c r="P153" i="26" s="1"/>
  <c r="Q153" i="26" s="1"/>
  <c r="AG142" i="26"/>
  <c r="O143" i="26"/>
  <c r="P143" i="26" s="1"/>
  <c r="Q143" i="26" s="1"/>
  <c r="AG146" i="26"/>
  <c r="O147" i="26"/>
  <c r="P147" i="26" s="1"/>
  <c r="Q147" i="26" s="1"/>
  <c r="AG150" i="26"/>
  <c r="O151" i="26"/>
  <c r="P151" i="26" s="1"/>
  <c r="Q151" i="26" s="1"/>
  <c r="L44" i="26" l="1"/>
  <c r="J20" i="26"/>
  <c r="J50" i="26"/>
  <c r="J38" i="26"/>
  <c r="L26" i="26"/>
  <c r="J56" i="26"/>
  <c r="L32" i="26"/>
  <c r="L85" i="26"/>
  <c r="J48" i="26"/>
  <c r="L42" i="26"/>
  <c r="CF210" i="26"/>
  <c r="AL147" i="26"/>
  <c r="AM147" i="26" s="1"/>
  <c r="AN147" i="26" s="1"/>
  <c r="AI147" i="26"/>
  <c r="AJ147" i="26" s="1"/>
  <c r="AK147" i="26" s="1"/>
  <c r="AL152" i="26"/>
  <c r="AM152" i="26" s="1"/>
  <c r="AN152" i="26" s="1"/>
  <c r="AI152" i="26"/>
  <c r="AJ152" i="26" s="1"/>
  <c r="AK152" i="26" s="1"/>
  <c r="AH144" i="26"/>
  <c r="AL144" i="26"/>
  <c r="AM144" i="26" s="1"/>
  <c r="AN144" i="26" s="1"/>
  <c r="AI144" i="26"/>
  <c r="AJ144" i="26" s="1"/>
  <c r="AK144" i="26" s="1"/>
  <c r="AH143" i="26"/>
  <c r="AL143" i="26"/>
  <c r="AM143" i="26" s="1"/>
  <c r="AN143" i="26" s="1"/>
  <c r="AI143" i="26"/>
  <c r="AJ143" i="26" s="1"/>
  <c r="AK143" i="26" s="1"/>
  <c r="AL145" i="26"/>
  <c r="AM145" i="26" s="1"/>
  <c r="AN145" i="26" s="1"/>
  <c r="AI145" i="26"/>
  <c r="AJ145" i="26" s="1"/>
  <c r="AK145" i="26" s="1"/>
  <c r="AH148" i="26"/>
  <c r="AL148" i="26"/>
  <c r="AM148" i="26" s="1"/>
  <c r="AN148" i="26" s="1"/>
  <c r="AI148" i="26"/>
  <c r="AJ148" i="26" s="1"/>
  <c r="AK148" i="26" s="1"/>
  <c r="AK153" i="26"/>
  <c r="AR153" i="26" s="1"/>
  <c r="AH146" i="26"/>
  <c r="AL146" i="26"/>
  <c r="AM146" i="26" s="1"/>
  <c r="AN146" i="26" s="1"/>
  <c r="AI146" i="26"/>
  <c r="AJ146" i="26" s="1"/>
  <c r="AK146" i="26" s="1"/>
  <c r="AH150" i="26"/>
  <c r="AL150" i="26"/>
  <c r="AM150" i="26" s="1"/>
  <c r="AN150" i="26" s="1"/>
  <c r="AI150" i="26"/>
  <c r="AJ150" i="26" s="1"/>
  <c r="AK150" i="26" s="1"/>
  <c r="AL142" i="26"/>
  <c r="AM142" i="26" s="1"/>
  <c r="AN142" i="26" s="1"/>
  <c r="AI142" i="26"/>
  <c r="AJ142" i="26" s="1"/>
  <c r="AK142" i="26" s="1"/>
  <c r="AL151" i="26"/>
  <c r="AM151" i="26" s="1"/>
  <c r="AN151" i="26" s="1"/>
  <c r="AI151" i="26"/>
  <c r="AJ151" i="26" s="1"/>
  <c r="AK151" i="26" s="1"/>
  <c r="AH149" i="26"/>
  <c r="AL149" i="26"/>
  <c r="AM149" i="26" s="1"/>
  <c r="AN149" i="26" s="1"/>
  <c r="AI149" i="26"/>
  <c r="AJ149" i="26" s="1"/>
  <c r="AK149" i="26" s="1"/>
  <c r="CC263" i="7"/>
  <c r="AR189" i="7"/>
  <c r="AR180" i="7"/>
  <c r="AR182" i="7"/>
  <c r="AR184" i="7"/>
  <c r="AR185" i="7"/>
  <c r="AR183" i="7"/>
  <c r="AR188" i="7"/>
  <c r="AR186" i="7"/>
  <c r="AR187" i="7"/>
  <c r="AR181" i="7"/>
  <c r="AR190" i="7"/>
  <c r="AR191" i="7"/>
  <c r="AR165" i="7"/>
  <c r="AR161" i="7"/>
  <c r="AR157" i="7"/>
  <c r="AR153" i="7"/>
  <c r="AR149" i="7"/>
  <c r="AR145" i="7"/>
  <c r="AR163" i="7"/>
  <c r="AR151" i="7"/>
  <c r="AR164" i="7"/>
  <c r="AR160" i="7"/>
  <c r="AR156" i="7"/>
  <c r="AR152" i="7"/>
  <c r="AR148" i="7"/>
  <c r="AR144" i="7"/>
  <c r="AR143" i="7"/>
  <c r="AR166" i="7"/>
  <c r="AR162" i="7"/>
  <c r="AR158" i="7"/>
  <c r="AR154" i="7"/>
  <c r="AR150" i="7"/>
  <c r="AR146" i="7"/>
  <c r="AR159" i="7"/>
  <c r="AR155" i="7"/>
  <c r="CL231" i="3"/>
  <c r="BV191" i="2"/>
  <c r="BL71" i="26"/>
  <c r="V142" i="26"/>
  <c r="AE142" i="26" s="1"/>
  <c r="AH151" i="26"/>
  <c r="AH147" i="26"/>
  <c r="AH145" i="26"/>
  <c r="S143" i="26"/>
  <c r="AH142" i="26"/>
  <c r="BK27" i="7"/>
  <c r="AZ14" i="2"/>
  <c r="L44" i="2" l="1"/>
  <c r="J20" i="2"/>
  <c r="J38" i="2"/>
  <c r="J56" i="2"/>
  <c r="L32" i="2"/>
  <c r="J50" i="2"/>
  <c r="L26" i="2"/>
  <c r="L44" i="7"/>
  <c r="J20" i="7"/>
  <c r="J38" i="7"/>
  <c r="J50" i="7"/>
  <c r="J56" i="7"/>
  <c r="L32" i="7"/>
  <c r="L26" i="7"/>
  <c r="J48" i="7"/>
  <c r="L42" i="7"/>
  <c r="L85" i="7"/>
  <c r="L85" i="2"/>
  <c r="L42" i="2"/>
  <c r="J48" i="2"/>
  <c r="L43" i="26"/>
  <c r="J49" i="26"/>
  <c r="CF211" i="26"/>
  <c r="CC264" i="7"/>
  <c r="CL232" i="3"/>
  <c r="BV192" i="2"/>
  <c r="AR142" i="26"/>
  <c r="C8" i="26" s="1"/>
  <c r="AH154" i="26"/>
  <c r="AR147" i="26"/>
  <c r="AR145" i="26"/>
  <c r="AR151" i="26"/>
  <c r="AR149" i="26"/>
  <c r="AR143" i="26"/>
  <c r="S144" i="26"/>
  <c r="T143" i="26"/>
  <c r="AS142" i="26"/>
  <c r="AR152" i="26"/>
  <c r="AR150" i="26"/>
  <c r="AR148" i="26"/>
  <c r="AR146" i="26"/>
  <c r="AR144" i="26"/>
  <c r="BI58" i="7"/>
  <c r="BO28" i="3"/>
  <c r="AX45" i="2"/>
  <c r="C163" i="26" l="1"/>
  <c r="AG170" i="26" s="1"/>
  <c r="AW157" i="26"/>
  <c r="J56" i="3"/>
  <c r="L32" i="3"/>
  <c r="J50" i="3"/>
  <c r="L26" i="3"/>
  <c r="L44" i="3"/>
  <c r="J20" i="3"/>
  <c r="J38" i="3"/>
  <c r="L43" i="7"/>
  <c r="J49" i="7"/>
  <c r="BM59" i="3"/>
  <c r="L85" i="3"/>
  <c r="L42" i="3"/>
  <c r="J48" i="3"/>
  <c r="CF212" i="26"/>
  <c r="CC265" i="7"/>
  <c r="CL233" i="3"/>
  <c r="BV193" i="2"/>
  <c r="X142" i="26"/>
  <c r="Z142" i="26" s="1"/>
  <c r="R144" i="26"/>
  <c r="V143" i="26"/>
  <c r="T144" i="26"/>
  <c r="S145" i="26"/>
  <c r="AG167" i="26" l="1"/>
  <c r="AL167" i="26" s="1"/>
  <c r="AM167" i="26" s="1"/>
  <c r="AN167" i="26" s="1"/>
  <c r="O165" i="26"/>
  <c r="P165" i="26" s="1"/>
  <c r="Q165" i="26" s="1"/>
  <c r="AG166" i="26"/>
  <c r="AI166" i="26" s="1"/>
  <c r="AJ166" i="26" s="1"/>
  <c r="AK166" i="26" s="1"/>
  <c r="O163" i="26"/>
  <c r="P163" i="26" s="1"/>
  <c r="O164" i="26"/>
  <c r="P164" i="26" s="1"/>
  <c r="Q164" i="26" s="1"/>
  <c r="O166" i="26"/>
  <c r="P166" i="26" s="1"/>
  <c r="Q166" i="26" s="1"/>
  <c r="O169" i="26"/>
  <c r="P169" i="26" s="1"/>
  <c r="Q169" i="26" s="1"/>
  <c r="O171" i="26"/>
  <c r="P171" i="26" s="1"/>
  <c r="Q171" i="26" s="1"/>
  <c r="AG164" i="26"/>
  <c r="AI164" i="26" s="1"/>
  <c r="AJ164" i="26" s="1"/>
  <c r="AK164" i="26" s="1"/>
  <c r="AG165" i="26"/>
  <c r="AL165" i="26" s="1"/>
  <c r="AM165" i="26" s="1"/>
  <c r="AN165" i="26" s="1"/>
  <c r="O167" i="26"/>
  <c r="P167" i="26" s="1"/>
  <c r="Q167" i="26" s="1"/>
  <c r="AG169" i="26"/>
  <c r="AI169" i="26" s="1"/>
  <c r="AJ169" i="26" s="1"/>
  <c r="AK169" i="26" s="1"/>
  <c r="AG171" i="26"/>
  <c r="AI171" i="26" s="1"/>
  <c r="AJ171" i="26" s="1"/>
  <c r="AK171" i="26" s="1"/>
  <c r="AG163" i="26"/>
  <c r="AI163" i="26" s="1"/>
  <c r="AJ163" i="26" s="1"/>
  <c r="AK163" i="26" s="1"/>
  <c r="J163" i="26"/>
  <c r="K163" i="26" s="1"/>
  <c r="L163" i="26" s="1"/>
  <c r="M163" i="26" s="1"/>
  <c r="N163" i="26" s="1"/>
  <c r="AG168" i="26"/>
  <c r="AL168" i="26" s="1"/>
  <c r="AM168" i="26" s="1"/>
  <c r="AN168" i="26" s="1"/>
  <c r="O168" i="26"/>
  <c r="P168" i="26" s="1"/>
  <c r="Q168" i="26" s="1"/>
  <c r="O170" i="26"/>
  <c r="P170" i="26" s="1"/>
  <c r="Q170" i="26" s="1"/>
  <c r="J49" i="3"/>
  <c r="L43" i="3"/>
  <c r="CF213" i="26"/>
  <c r="AL170" i="26"/>
  <c r="AM170" i="26" s="1"/>
  <c r="AN170" i="26" s="1"/>
  <c r="AI170" i="26"/>
  <c r="AJ170" i="26" s="1"/>
  <c r="AK170" i="26" s="1"/>
  <c r="CC266" i="7"/>
  <c r="CL234" i="3"/>
  <c r="BV194" i="2"/>
  <c r="AE143" i="26"/>
  <c r="AS143" i="26"/>
  <c r="R145" i="26"/>
  <c r="V144" i="26"/>
  <c r="S146" i="26"/>
  <c r="T145" i="26"/>
  <c r="AI167" i="26" l="1"/>
  <c r="AJ167" i="26" s="1"/>
  <c r="AK167" i="26" s="1"/>
  <c r="Q163" i="26"/>
  <c r="S163" i="26" s="1"/>
  <c r="T163" i="26" s="1"/>
  <c r="R164" i="26" s="1"/>
  <c r="S164" i="26" s="1"/>
  <c r="S165" i="26" s="1"/>
  <c r="AL163" i="26"/>
  <c r="AM163" i="26" s="1"/>
  <c r="AN163" i="26" s="1"/>
  <c r="AR163" i="26" s="1"/>
  <c r="AL171" i="26"/>
  <c r="AM171" i="26" s="1"/>
  <c r="AN171" i="26" s="1"/>
  <c r="AR171" i="26" s="1"/>
  <c r="AL164" i="26"/>
  <c r="AM164" i="26" s="1"/>
  <c r="AN164" i="26" s="1"/>
  <c r="AR164" i="26" s="1"/>
  <c r="AL166" i="26"/>
  <c r="AM166" i="26" s="1"/>
  <c r="AN166" i="26" s="1"/>
  <c r="AR166" i="26" s="1"/>
  <c r="AL169" i="26"/>
  <c r="AM169" i="26" s="1"/>
  <c r="AN169" i="26" s="1"/>
  <c r="AR169" i="26" s="1"/>
  <c r="AI165" i="26"/>
  <c r="AJ165" i="26" s="1"/>
  <c r="AK165" i="26" s="1"/>
  <c r="AR165" i="26" s="1"/>
  <c r="AI168" i="26"/>
  <c r="AJ168" i="26" s="1"/>
  <c r="AK168" i="26" s="1"/>
  <c r="AR168" i="26" s="1"/>
  <c r="CF214" i="26"/>
  <c r="CC267" i="7"/>
  <c r="CL235" i="3"/>
  <c r="BV195" i="2"/>
  <c r="AR170" i="26"/>
  <c r="R146" i="26"/>
  <c r="V145" i="26"/>
  <c r="AE144" i="26"/>
  <c r="AS144" i="26"/>
  <c r="AR167" i="26"/>
  <c r="S147" i="26"/>
  <c r="T146" i="26"/>
  <c r="V163" i="26" l="1"/>
  <c r="AS163" i="26" s="1"/>
  <c r="T164" i="26"/>
  <c r="V164" i="26" s="1"/>
  <c r="CF215" i="26"/>
  <c r="CC268" i="7"/>
  <c r="CL236" i="3"/>
  <c r="BV196" i="2"/>
  <c r="R147" i="26"/>
  <c r="V146" i="26"/>
  <c r="AE145" i="26"/>
  <c r="AS145" i="26"/>
  <c r="T147" i="26"/>
  <c r="S148" i="26"/>
  <c r="S166" i="26"/>
  <c r="T165" i="26"/>
  <c r="D2" i="1"/>
  <c r="R165" i="26" l="1"/>
  <c r="H9" i="1"/>
  <c r="H11" i="1"/>
  <c r="CF216" i="26"/>
  <c r="CC269" i="7"/>
  <c r="CL237" i="3"/>
  <c r="BV197" i="2"/>
  <c r="AE146" i="26"/>
  <c r="AS146" i="26"/>
  <c r="R148" i="26"/>
  <c r="V147" i="26"/>
  <c r="T148" i="26"/>
  <c r="S149" i="26"/>
  <c r="V165" i="26"/>
  <c r="R166" i="26"/>
  <c r="S167" i="26"/>
  <c r="T166" i="26"/>
  <c r="AS164" i="26"/>
  <c r="CC270" i="7" l="1"/>
  <c r="CL238" i="3"/>
  <c r="BV198" i="2"/>
  <c r="R149" i="26"/>
  <c r="V148" i="26"/>
  <c r="AE147" i="26"/>
  <c r="AS147" i="26"/>
  <c r="V166" i="26"/>
  <c r="R167" i="26"/>
  <c r="S150" i="26"/>
  <c r="T149" i="26"/>
  <c r="AS165" i="26"/>
  <c r="S168" i="26"/>
  <c r="S169" i="26" s="1"/>
  <c r="T167" i="26"/>
  <c r="CC271" i="7" l="1"/>
  <c r="CL239" i="3"/>
  <c r="BV199" i="2"/>
  <c r="T169" i="26"/>
  <c r="S170" i="26"/>
  <c r="R150" i="26"/>
  <c r="V149" i="26"/>
  <c r="AE148" i="26"/>
  <c r="AS148" i="26"/>
  <c r="V167" i="26"/>
  <c r="R168" i="26"/>
  <c r="S151" i="26"/>
  <c r="T150" i="26"/>
  <c r="T168" i="26"/>
  <c r="R169" i="26" s="1"/>
  <c r="AS166" i="26"/>
  <c r="T170" i="26" l="1"/>
  <c r="S171" i="26"/>
  <c r="T171" i="26" s="1"/>
  <c r="V171" i="26" s="1"/>
  <c r="CC272" i="7"/>
  <c r="CL240" i="3"/>
  <c r="BV200" i="2"/>
  <c r="V169" i="26"/>
  <c r="R170" i="26"/>
  <c r="AE149" i="26"/>
  <c r="AS149" i="26"/>
  <c r="R151" i="26"/>
  <c r="V150" i="26"/>
  <c r="AS167" i="26"/>
  <c r="T151" i="26"/>
  <c r="S152" i="26"/>
  <c r="V168" i="26"/>
  <c r="AF171" i="26" l="1"/>
  <c r="AS171" i="26"/>
  <c r="V170" i="26"/>
  <c r="R171" i="26"/>
  <c r="CL241" i="3"/>
  <c r="BV201" i="2"/>
  <c r="AS169" i="26"/>
  <c r="R152" i="26"/>
  <c r="V151" i="26"/>
  <c r="AE150" i="26"/>
  <c r="AS150" i="26"/>
  <c r="T152" i="26"/>
  <c r="S153" i="26"/>
  <c r="T153" i="26" s="1"/>
  <c r="V153" i="26" s="1"/>
  <c r="AS168" i="26"/>
  <c r="AF169" i="26" l="1"/>
  <c r="AU169" i="26" s="1"/>
  <c r="AW169" i="26" s="1"/>
  <c r="AY169" i="26" s="1"/>
  <c r="AB169" i="26" s="1"/>
  <c r="AF163" i="26"/>
  <c r="AF164" i="26"/>
  <c r="AF165" i="26"/>
  <c r="R153" i="26"/>
  <c r="V152" i="26"/>
  <c r="AF145" i="26" s="1"/>
  <c r="AU145" i="26" s="1"/>
  <c r="AF153" i="26"/>
  <c r="AE153" i="26"/>
  <c r="AS153" i="26"/>
  <c r="AU171" i="26"/>
  <c r="AF170" i="26"/>
  <c r="AS170" i="26"/>
  <c r="CL242" i="3"/>
  <c r="BV202" i="2"/>
  <c r="AE151" i="26"/>
  <c r="AS151" i="26"/>
  <c r="AF150" i="26" l="1"/>
  <c r="AU150" i="26" s="1"/>
  <c r="AF149" i="26"/>
  <c r="AU149" i="26" s="1"/>
  <c r="AF147" i="26"/>
  <c r="AU147" i="26" s="1"/>
  <c r="AF142" i="26"/>
  <c r="AU142" i="26" s="1"/>
  <c r="AF146" i="26"/>
  <c r="AU146" i="26" s="1"/>
  <c r="AF148" i="26"/>
  <c r="AU148" i="26" s="1"/>
  <c r="AF144" i="26"/>
  <c r="AU144" i="26" s="1"/>
  <c r="AU153" i="26"/>
  <c r="AF143" i="26"/>
  <c r="AU143" i="26" s="1"/>
  <c r="AF151" i="26"/>
  <c r="AU151" i="26" s="1"/>
  <c r="AE152" i="26"/>
  <c r="AD145" i="26" s="1"/>
  <c r="AC145" i="26" s="1"/>
  <c r="AF152" i="26"/>
  <c r="AS152" i="26"/>
  <c r="AV171" i="26"/>
  <c r="AX171" i="26" s="1"/>
  <c r="AZ171" i="26" s="1"/>
  <c r="AW171" i="26"/>
  <c r="AY171" i="26" s="1"/>
  <c r="AU170" i="26"/>
  <c r="AV169" i="26"/>
  <c r="AX169" i="26" s="1"/>
  <c r="AZ169" i="26" s="1"/>
  <c r="BV203" i="2"/>
  <c r="BA169" i="26"/>
  <c r="AD143" i="26" l="1"/>
  <c r="AC143" i="26" s="1"/>
  <c r="AD153" i="26"/>
  <c r="AC153" i="26" s="1"/>
  <c r="AD147" i="26"/>
  <c r="AC147" i="26" s="1"/>
  <c r="AD142" i="26"/>
  <c r="AC142" i="26" s="1"/>
  <c r="AD146" i="26"/>
  <c r="AC146" i="26" s="1"/>
  <c r="AD149" i="26"/>
  <c r="AC149" i="26" s="1"/>
  <c r="AD144" i="26"/>
  <c r="AC144" i="26" s="1"/>
  <c r="AD150" i="26"/>
  <c r="AC150" i="26" s="1"/>
  <c r="AD152" i="26"/>
  <c r="AC152" i="26" s="1"/>
  <c r="AD151" i="26"/>
  <c r="AC151" i="26" s="1"/>
  <c r="AD148" i="26"/>
  <c r="AC148" i="26" s="1"/>
  <c r="AU152" i="26"/>
  <c r="AB171" i="26"/>
  <c r="BA171" i="26"/>
  <c r="AW170" i="26"/>
  <c r="AY170" i="26" s="1"/>
  <c r="AV170" i="26"/>
  <c r="AX170" i="26" s="1"/>
  <c r="AZ170" i="26" s="1"/>
  <c r="BV204" i="2"/>
  <c r="AC141" i="26" l="1"/>
  <c r="AA142" i="26" s="1"/>
  <c r="AB170" i="26"/>
  <c r="BA170" i="26"/>
  <c r="BV205" i="2"/>
  <c r="T159" i="26" l="1"/>
  <c r="AU165" i="26" l="1"/>
  <c r="AV165" i="26" s="1"/>
  <c r="AX165" i="26" s="1"/>
  <c r="AZ165" i="26" s="1"/>
  <c r="AF167" i="26"/>
  <c r="AU167" i="26" s="1"/>
  <c r="AW167" i="26" s="1"/>
  <c r="AY167" i="26" s="1"/>
  <c r="AB167" i="26" s="1"/>
  <c r="AU163" i="26"/>
  <c r="AW163" i="26" s="1"/>
  <c r="AO151" i="26"/>
  <c r="AT151" i="26" s="1"/>
  <c r="AO153" i="26"/>
  <c r="AT153" i="26" s="1"/>
  <c r="AO146" i="26"/>
  <c r="AT146" i="26" s="1"/>
  <c r="AO149" i="26"/>
  <c r="AT149" i="26" s="1"/>
  <c r="AO148" i="26"/>
  <c r="AT148" i="26" s="1"/>
  <c r="AO152" i="26"/>
  <c r="AT152" i="26" s="1"/>
  <c r="AO150" i="26"/>
  <c r="AT150" i="26" s="1"/>
  <c r="AO147" i="26"/>
  <c r="AT147" i="26" s="1"/>
  <c r="AO144" i="26"/>
  <c r="AT144" i="26" s="1"/>
  <c r="AO143" i="26"/>
  <c r="AT143" i="26" s="1"/>
  <c r="AO145" i="26"/>
  <c r="AT145" i="26" s="1"/>
  <c r="AO142" i="26"/>
  <c r="AF166" i="26"/>
  <c r="AU166" i="26" s="1"/>
  <c r="AF168" i="26"/>
  <c r="AU168" i="26" s="1"/>
  <c r="AU164" i="26"/>
  <c r="AX157" i="26" l="1"/>
  <c r="AY163" i="26" s="1"/>
  <c r="AO138" i="26"/>
  <c r="C9" i="26" s="1"/>
  <c r="AW165" i="26"/>
  <c r="AY165" i="26" s="1"/>
  <c r="AB165" i="26" s="1"/>
  <c r="AV167" i="26"/>
  <c r="AX167" i="26" s="1"/>
  <c r="AZ167" i="26" s="1"/>
  <c r="AW143" i="26"/>
  <c r="AY143" i="26" s="1"/>
  <c r="BA143" i="26" s="1"/>
  <c r="AV143" i="26"/>
  <c r="AX143" i="26" s="1"/>
  <c r="AZ143" i="26" s="1"/>
  <c r="AW153" i="26"/>
  <c r="AY153" i="26" s="1"/>
  <c r="BA153" i="26" s="1"/>
  <c r="AV153" i="26"/>
  <c r="AX153" i="26" s="1"/>
  <c r="AZ153" i="26" s="1"/>
  <c r="AW164" i="26"/>
  <c r="AY164" i="26" s="1"/>
  <c r="AB164" i="26" s="1"/>
  <c r="AV164" i="26"/>
  <c r="AX164" i="26" s="1"/>
  <c r="AZ164" i="26" s="1"/>
  <c r="AW144" i="26"/>
  <c r="AY144" i="26" s="1"/>
  <c r="BA144" i="26" s="1"/>
  <c r="AV144" i="26"/>
  <c r="AX144" i="26" s="1"/>
  <c r="AZ144" i="26" s="1"/>
  <c r="AW148" i="26"/>
  <c r="AY148" i="26" s="1"/>
  <c r="BA148" i="26" s="1"/>
  <c r="AV148" i="26"/>
  <c r="AX148" i="26" s="1"/>
  <c r="AZ148" i="26" s="1"/>
  <c r="AW151" i="26"/>
  <c r="AY151" i="26" s="1"/>
  <c r="BA151" i="26" s="1"/>
  <c r="AV151" i="26"/>
  <c r="AX151" i="26" s="1"/>
  <c r="AZ151" i="26" s="1"/>
  <c r="AW168" i="26"/>
  <c r="AY168" i="26" s="1"/>
  <c r="AB168" i="26" s="1"/>
  <c r="AV168" i="26"/>
  <c r="AX168" i="26" s="1"/>
  <c r="AZ168" i="26" s="1"/>
  <c r="AT142" i="26"/>
  <c r="AW147" i="26"/>
  <c r="AY147" i="26" s="1"/>
  <c r="BA147" i="26" s="1"/>
  <c r="AV147" i="26"/>
  <c r="AX147" i="26" s="1"/>
  <c r="AZ147" i="26" s="1"/>
  <c r="AW149" i="26"/>
  <c r="AY149" i="26" s="1"/>
  <c r="BA149" i="26" s="1"/>
  <c r="AV149" i="26"/>
  <c r="AX149" i="26" s="1"/>
  <c r="AZ149" i="26" s="1"/>
  <c r="AV163" i="26"/>
  <c r="AX163" i="26" s="1"/>
  <c r="AZ163" i="26" s="1"/>
  <c r="AW145" i="26"/>
  <c r="AY145" i="26" s="1"/>
  <c r="BA145" i="26" s="1"/>
  <c r="AV145" i="26"/>
  <c r="AX145" i="26" s="1"/>
  <c r="AZ145" i="26" s="1"/>
  <c r="AW150" i="26"/>
  <c r="AY150" i="26" s="1"/>
  <c r="BA150" i="26" s="1"/>
  <c r="AV150" i="26"/>
  <c r="AX150" i="26" s="1"/>
  <c r="AZ150" i="26" s="1"/>
  <c r="AW146" i="26"/>
  <c r="AY146" i="26" s="1"/>
  <c r="BA146" i="26" s="1"/>
  <c r="AV146" i="26"/>
  <c r="AX146" i="26" s="1"/>
  <c r="AZ146" i="26" s="1"/>
  <c r="AW166" i="26"/>
  <c r="AY166" i="26" s="1"/>
  <c r="AB166" i="26" s="1"/>
  <c r="AV166" i="26"/>
  <c r="AX166" i="26" s="1"/>
  <c r="AZ166" i="26" s="1"/>
  <c r="AW152" i="26"/>
  <c r="AY152" i="26" s="1"/>
  <c r="BA152" i="26" s="1"/>
  <c r="AV152" i="26"/>
  <c r="AX152" i="26" s="1"/>
  <c r="AZ152" i="26" s="1"/>
  <c r="BA167" i="26"/>
  <c r="AB163" i="26" l="1"/>
  <c r="D3" i="26"/>
  <c r="C3" i="26"/>
  <c r="C5" i="26"/>
  <c r="BA164" i="26"/>
  <c r="BA165" i="26"/>
  <c r="BA168" i="26"/>
  <c r="BA166" i="26"/>
  <c r="D52" i="26"/>
  <c r="C52" i="26"/>
  <c r="AW142" i="26"/>
  <c r="AY142" i="26" s="1"/>
  <c r="BA142" i="26" s="1"/>
  <c r="AV142" i="26"/>
  <c r="AX142" i="26" s="1"/>
  <c r="AZ142" i="26" s="1"/>
  <c r="BA163" i="26" l="1"/>
  <c r="BJ71" i="26" s="1"/>
  <c r="BK71" i="26" s="1"/>
  <c r="L54" i="26"/>
  <c r="J54" i="26"/>
  <c r="D5" i="26"/>
  <c r="CG176" i="26"/>
  <c r="CG177" i="26"/>
  <c r="CG179" i="26"/>
  <c r="CH179" i="26" s="1"/>
  <c r="CG178" i="26"/>
  <c r="CH178" i="26" s="1"/>
  <c r="CG180" i="26"/>
  <c r="CH180" i="26" s="1"/>
  <c r="CG181" i="26"/>
  <c r="CH181" i="26" s="1"/>
  <c r="CG182" i="26"/>
  <c r="CH182" i="26" s="1"/>
  <c r="CG183" i="26"/>
  <c r="CH183" i="26" s="1"/>
  <c r="CG184" i="26"/>
  <c r="CH184" i="26" s="1"/>
  <c r="CG185" i="26"/>
  <c r="CH185" i="26" s="1"/>
  <c r="CG186" i="26"/>
  <c r="CH186" i="26" s="1"/>
  <c r="CG187" i="26"/>
  <c r="CH187" i="26" s="1"/>
  <c r="CG188" i="26"/>
  <c r="CH188" i="26" s="1"/>
  <c r="CG189" i="26"/>
  <c r="CH189" i="26" s="1"/>
  <c r="CG190" i="26"/>
  <c r="CH190" i="26" s="1"/>
  <c r="CG191" i="26"/>
  <c r="CH191" i="26" s="1"/>
  <c r="CG192" i="26"/>
  <c r="CH192" i="26" s="1"/>
  <c r="CG193" i="26"/>
  <c r="CH193" i="26" s="1"/>
  <c r="CG194" i="26"/>
  <c r="CH194" i="26" s="1"/>
  <c r="CG195" i="26"/>
  <c r="CH195" i="26" s="1"/>
  <c r="CG196" i="26"/>
  <c r="CH196" i="26" s="1"/>
  <c r="CG197" i="26"/>
  <c r="CH197" i="26" s="1"/>
  <c r="CG198" i="26"/>
  <c r="CH198" i="26" s="1"/>
  <c r="CG199" i="26"/>
  <c r="CH199" i="26" s="1"/>
  <c r="CG200" i="26"/>
  <c r="CH200" i="26" s="1"/>
  <c r="CG201" i="26"/>
  <c r="CH201" i="26" s="1"/>
  <c r="CG202" i="26"/>
  <c r="CH202" i="26" s="1"/>
  <c r="CG203" i="26"/>
  <c r="CH203" i="26" s="1"/>
  <c r="CG204" i="26"/>
  <c r="CH204" i="26" s="1"/>
  <c r="CG205" i="26"/>
  <c r="CH205" i="26" s="1"/>
  <c r="CG206" i="26"/>
  <c r="CH206" i="26" s="1"/>
  <c r="CG207" i="26"/>
  <c r="CH207" i="26" s="1"/>
  <c r="CG208" i="26"/>
  <c r="CH208" i="26" s="1"/>
  <c r="CG209" i="26"/>
  <c r="CH209" i="26" s="1"/>
  <c r="CG210" i="26"/>
  <c r="CH210" i="26" s="1"/>
  <c r="CG211" i="26"/>
  <c r="CH211" i="26" s="1"/>
  <c r="CG212" i="26"/>
  <c r="CH212" i="26" s="1"/>
  <c r="CG213" i="26"/>
  <c r="CH213" i="26" s="1"/>
  <c r="CG214" i="26"/>
  <c r="CH214" i="26" s="1"/>
  <c r="CG215" i="26"/>
  <c r="CH215" i="26" s="1"/>
  <c r="CG216" i="26"/>
  <c r="CH177" i="26"/>
  <c r="DB45" i="26"/>
  <c r="L14" i="26" s="1"/>
  <c r="BY45" i="26"/>
  <c r="CR48" i="26"/>
  <c r="BY48" i="26"/>
  <c r="J12" i="26" l="1"/>
  <c r="J13" i="26" s="1"/>
  <c r="J14" i="26"/>
  <c r="L12" i="26"/>
  <c r="K12" i="26"/>
  <c r="L55" i="26"/>
  <c r="J55" i="26"/>
  <c r="DD134" i="26"/>
  <c r="CH216" i="26"/>
  <c r="BJ134" i="26"/>
  <c r="CH176" i="26"/>
  <c r="BJ44" i="26"/>
  <c r="BK44" i="26" s="1"/>
  <c r="BJ47" i="26"/>
  <c r="BK47" i="26" s="1"/>
  <c r="BL48" i="26"/>
  <c r="CR42" i="26"/>
  <c r="BN42" i="26"/>
  <c r="J8" i="26" s="1"/>
  <c r="L6" i="26" l="1"/>
  <c r="L7" i="26" s="1"/>
  <c r="L8" i="26"/>
  <c r="BJ48" i="26"/>
  <c r="BK48" i="26" s="1"/>
  <c r="K6" i="26"/>
  <c r="J6" i="26"/>
  <c r="K13" i="26"/>
  <c r="L13" i="26"/>
  <c r="H23" i="26"/>
  <c r="H16" i="26"/>
  <c r="M126" i="26"/>
  <c r="D135" i="26"/>
  <c r="D133" i="26"/>
  <c r="D136" i="26"/>
  <c r="D134" i="26"/>
  <c r="CI176" i="26"/>
  <c r="CI177" i="26" s="1"/>
  <c r="BJ41" i="26"/>
  <c r="BK41" i="26" s="1"/>
  <c r="BL45" i="26" l="1"/>
  <c r="K36" i="26"/>
  <c r="K18" i="26"/>
  <c r="J36" i="26"/>
  <c r="J18" i="26"/>
  <c r="J7" i="26"/>
  <c r="L30" i="26"/>
  <c r="L24" i="26"/>
  <c r="K30" i="26"/>
  <c r="K24" i="26"/>
  <c r="K7" i="26"/>
  <c r="CJ176" i="26"/>
  <c r="BN72" i="26" s="1"/>
  <c r="BN73" i="26" s="1"/>
  <c r="BN75" i="26" s="1"/>
  <c r="CJ177" i="26"/>
  <c r="BO72" i="26" s="1"/>
  <c r="CI178" i="26"/>
  <c r="BJ45" i="26" l="1"/>
  <c r="BK45" i="26" s="1"/>
  <c r="BL42" i="26"/>
  <c r="K19" i="26"/>
  <c r="L25" i="26"/>
  <c r="J19" i="26"/>
  <c r="L31" i="26"/>
  <c r="J37" i="26"/>
  <c r="K25" i="26"/>
  <c r="K31" i="26"/>
  <c r="K37" i="26"/>
  <c r="BO73" i="26"/>
  <c r="BO75" i="26" s="1"/>
  <c r="BP125" i="26"/>
  <c r="BP126" i="26" s="1"/>
  <c r="BP128" i="26" s="1"/>
  <c r="BN125" i="26"/>
  <c r="CJ178" i="26"/>
  <c r="BP72" i="26" s="1"/>
  <c r="CI179" i="26"/>
  <c r="BJ42" i="26" l="1"/>
  <c r="BK42" i="26" s="1"/>
  <c r="K85" i="26"/>
  <c r="J126" i="26"/>
  <c r="M85" i="26"/>
  <c r="I126" i="26"/>
  <c r="CI180" i="26"/>
  <c r="CJ179" i="26"/>
  <c r="BQ72" i="26" s="1"/>
  <c r="BN124" i="26"/>
  <c r="BR124" i="26"/>
  <c r="BR126" i="26" s="1"/>
  <c r="BR128" i="26" s="1"/>
  <c r="BP73" i="26"/>
  <c r="BP75" i="26" s="1"/>
  <c r="CI181" i="26" l="1"/>
  <c r="CJ180" i="26"/>
  <c r="BR72" i="26" s="1"/>
  <c r="BQ73" i="26"/>
  <c r="BQ75" i="26" s="1"/>
  <c r="BT123" i="26"/>
  <c r="BT126" i="26" s="1"/>
  <c r="BT128" i="26" s="1"/>
  <c r="BN123" i="26"/>
  <c r="CJ181" i="26" l="1"/>
  <c r="BS72" i="26" s="1"/>
  <c r="CI182" i="26"/>
  <c r="BV122" i="26"/>
  <c r="BV126" i="26" s="1"/>
  <c r="BV128" i="26" s="1"/>
  <c r="BN122" i="26"/>
  <c r="BR73" i="26"/>
  <c r="BR75" i="26" s="1"/>
  <c r="BS73" i="26" l="1"/>
  <c r="BS75" i="26" s="1"/>
  <c r="BN121" i="26"/>
  <c r="BX121" i="26"/>
  <c r="BX126" i="26" s="1"/>
  <c r="BX128" i="26" s="1"/>
  <c r="CJ182" i="26"/>
  <c r="BT72" i="26" s="1"/>
  <c r="CI183" i="26"/>
  <c r="CI184" i="26" l="1"/>
  <c r="CJ183" i="26"/>
  <c r="BU72" i="26" s="1"/>
  <c r="BT73" i="26"/>
  <c r="BT75" i="26" s="1"/>
  <c r="BN120" i="26"/>
  <c r="BZ120" i="26"/>
  <c r="CI185" i="26" l="1"/>
  <c r="CJ184" i="26"/>
  <c r="BV72" i="26" s="1"/>
  <c r="CB119" i="26"/>
  <c r="CB126" i="26" s="1"/>
  <c r="CB128" i="26" s="1"/>
  <c r="BN119" i="26"/>
  <c r="BU73" i="26"/>
  <c r="BU75" i="26" s="1"/>
  <c r="CJ185" i="26" l="1"/>
  <c r="BW72" i="26" s="1"/>
  <c r="CI186" i="26"/>
  <c r="CD118" i="26"/>
  <c r="CD126" i="26" s="1"/>
  <c r="CD128" i="26" s="1"/>
  <c r="BN118" i="26"/>
  <c r="BV73" i="26"/>
  <c r="BV75" i="26" s="1"/>
  <c r="BN117" i="26" l="1"/>
  <c r="BN126" i="26" s="1"/>
  <c r="CF117" i="26"/>
  <c r="CF126" i="26" s="1"/>
  <c r="CF128" i="26" s="1"/>
  <c r="BW73" i="26"/>
  <c r="BW75" i="26" s="1"/>
  <c r="CJ186" i="26"/>
  <c r="BX72" i="26" s="1"/>
  <c r="CI187" i="26"/>
  <c r="BN128" i="26" l="1"/>
  <c r="BO116" i="26"/>
  <c r="CG116" i="26"/>
  <c r="BX73" i="26"/>
  <c r="BX75" i="26" s="1"/>
  <c r="CI188" i="26"/>
  <c r="CJ187" i="26"/>
  <c r="BY72" i="26" s="1"/>
  <c r="CJ188" i="26" l="1"/>
  <c r="BZ72" i="26" s="1"/>
  <c r="CI189" i="26"/>
  <c r="CG115" i="26"/>
  <c r="BQ115" i="26"/>
  <c r="BY73" i="26"/>
  <c r="BY75" i="26" s="1"/>
  <c r="CA68" i="26" l="1"/>
  <c r="CA70" i="26" s="1"/>
  <c r="CG114" i="26"/>
  <c r="BY68" i="26"/>
  <c r="BZ73" i="26"/>
  <c r="BZ75" i="26" s="1"/>
  <c r="BS114" i="26"/>
  <c r="CJ189" i="26"/>
  <c r="CA72" i="26" s="1"/>
  <c r="CI190" i="26"/>
  <c r="CJ190" i="26" l="1"/>
  <c r="CB72" i="26" s="1"/>
  <c r="CI191" i="26"/>
  <c r="CA73" i="26"/>
  <c r="CA75" i="26" s="1"/>
  <c r="CC67" i="26"/>
  <c r="CC70" i="26" s="1"/>
  <c r="CG113" i="26"/>
  <c r="CG126" i="26" s="1"/>
  <c r="CG128" i="26" s="1"/>
  <c r="BU113" i="26"/>
  <c r="BY67" i="26"/>
  <c r="BY66" i="26" l="1"/>
  <c r="CE66" i="26"/>
  <c r="CE70" i="26" s="1"/>
  <c r="CP112" i="26"/>
  <c r="CB73" i="26"/>
  <c r="CB75" i="26" s="1"/>
  <c r="BO112" i="26"/>
  <c r="BO126" i="26" s="1"/>
  <c r="CJ191" i="26"/>
  <c r="CC72" i="26" s="1"/>
  <c r="CI192" i="26"/>
  <c r="BO128" i="26" l="1"/>
  <c r="CJ192" i="26"/>
  <c r="CD72" i="26" s="1"/>
  <c r="CI193" i="26"/>
  <c r="BQ111" i="26"/>
  <c r="BQ126" i="26" s="1"/>
  <c r="BQ128" i="26" s="1"/>
  <c r="BY65" i="26"/>
  <c r="CG65" i="26"/>
  <c r="CG70" i="26" s="1"/>
  <c r="CC73" i="26"/>
  <c r="CC75" i="26" s="1"/>
  <c r="CP111" i="26"/>
  <c r="CI64" i="26" l="1"/>
  <c r="CI70" i="26" s="1"/>
  <c r="BS110" i="26"/>
  <c r="BS126" i="26" s="1"/>
  <c r="CP110" i="26"/>
  <c r="BY64" i="26"/>
  <c r="CD73" i="26"/>
  <c r="CD75" i="26" s="1"/>
  <c r="CJ193" i="26"/>
  <c r="CE72" i="26" s="1"/>
  <c r="CI194" i="26"/>
  <c r="BS128" i="26" l="1"/>
  <c r="CJ194" i="26"/>
  <c r="CF72" i="26" s="1"/>
  <c r="CI195" i="26"/>
  <c r="CE73" i="26"/>
  <c r="CE75" i="26" s="1"/>
  <c r="CK63" i="26"/>
  <c r="CK70" i="26" s="1"/>
  <c r="BU109" i="26"/>
  <c r="BU126" i="26" s="1"/>
  <c r="BU128" i="26" s="1"/>
  <c r="BY63" i="26"/>
  <c r="CP109" i="26"/>
  <c r="CM62" i="26" l="1"/>
  <c r="CM70" i="26" s="1"/>
  <c r="CP108" i="26"/>
  <c r="BY62" i="26"/>
  <c r="CF73" i="26"/>
  <c r="CF75" i="26" s="1"/>
  <c r="BW108" i="26"/>
  <c r="BW126" i="26" s="1"/>
  <c r="CI196" i="26"/>
  <c r="CJ195" i="26"/>
  <c r="CG72" i="26" s="1"/>
  <c r="BW128" i="26" l="1"/>
  <c r="CP107" i="26"/>
  <c r="BY107" i="26"/>
  <c r="BY126" i="26" s="1"/>
  <c r="BY61" i="26"/>
  <c r="CO61" i="26"/>
  <c r="CO70" i="26" s="1"/>
  <c r="CG73" i="26"/>
  <c r="CG75" i="26" s="1"/>
  <c r="CJ196" i="26"/>
  <c r="CH72" i="26" s="1"/>
  <c r="CI197" i="26"/>
  <c r="BY128" i="26" l="1"/>
  <c r="H42" i="26"/>
  <c r="H43" i="26" s="1"/>
  <c r="CI198" i="26"/>
  <c r="CJ197" i="26"/>
  <c r="CI72" i="26" s="1"/>
  <c r="CQ60" i="26"/>
  <c r="CQ70" i="26" s="1"/>
  <c r="BZ106" i="26"/>
  <c r="CP106" i="26"/>
  <c r="BY60" i="26"/>
  <c r="BY70" i="26" s="1"/>
  <c r="CH73" i="26"/>
  <c r="CH75" i="26" s="1"/>
  <c r="K42" i="26" l="1"/>
  <c r="J42" i="26"/>
  <c r="CJ198" i="26"/>
  <c r="CJ72" i="26" s="1"/>
  <c r="CI199" i="26"/>
  <c r="BZ105" i="26"/>
  <c r="CI73" i="26"/>
  <c r="CI75" i="26" s="1"/>
  <c r="CR59" i="26"/>
  <c r="CQ105" i="26"/>
  <c r="CQ126" i="26" s="1"/>
  <c r="BZ59" i="26"/>
  <c r="BZ70" i="26" s="1"/>
  <c r="J43" i="26" l="1"/>
  <c r="CQ128" i="26"/>
  <c r="K43" i="26"/>
  <c r="CR58" i="26"/>
  <c r="BZ104" i="26"/>
  <c r="CJ73" i="26"/>
  <c r="CJ75" i="26" s="1"/>
  <c r="CS104" i="26"/>
  <c r="CS126" i="26" s="1"/>
  <c r="CS128" i="26" s="1"/>
  <c r="CB58" i="26"/>
  <c r="CB70" i="26" s="1"/>
  <c r="CI200" i="26"/>
  <c r="CJ199" i="26"/>
  <c r="CK72" i="26" s="1"/>
  <c r="K126" i="26" l="1"/>
  <c r="BZ103" i="26"/>
  <c r="CD57" i="26"/>
  <c r="CD70" i="26" s="1"/>
  <c r="CU103" i="26"/>
  <c r="CR57" i="26"/>
  <c r="CK73" i="26"/>
  <c r="CK75" i="26" s="1"/>
  <c r="CJ200" i="26"/>
  <c r="CL72" i="26" s="1"/>
  <c r="CI201" i="26"/>
  <c r="CI202" i="26" l="1"/>
  <c r="CJ201" i="26"/>
  <c r="CM72" i="26" s="1"/>
  <c r="BZ102" i="26"/>
  <c r="CR56" i="26"/>
  <c r="CW102" i="26"/>
  <c r="CF56" i="26"/>
  <c r="CF70" i="26" s="1"/>
  <c r="CL73" i="26"/>
  <c r="CL75" i="26" s="1"/>
  <c r="CJ202" i="26" l="1"/>
  <c r="CN72" i="26" s="1"/>
  <c r="CI203" i="26"/>
  <c r="BZ101" i="26"/>
  <c r="CY101" i="26"/>
  <c r="CM73" i="26"/>
  <c r="CM75" i="26" s="1"/>
  <c r="CR55" i="26"/>
  <c r="CH55" i="26"/>
  <c r="CH70" i="26" s="1"/>
  <c r="DA100" i="26" l="1"/>
  <c r="CJ54" i="26"/>
  <c r="CJ70" i="26" s="1"/>
  <c r="BZ100" i="26"/>
  <c r="BZ126" i="26" s="1"/>
  <c r="CR54" i="26"/>
  <c r="CN73" i="26"/>
  <c r="CN75" i="26" s="1"/>
  <c r="CI204" i="26"/>
  <c r="CJ203" i="26"/>
  <c r="CO72" i="26" s="1"/>
  <c r="BZ128" i="26" l="1"/>
  <c r="J131" i="26"/>
  <c r="J132" i="26" s="1"/>
  <c r="CI99" i="26"/>
  <c r="CU99" i="26"/>
  <c r="CU126" i="26" s="1"/>
  <c r="CU128" i="26" s="1"/>
  <c r="CR53" i="26"/>
  <c r="CO73" i="26"/>
  <c r="CO75" i="26" s="1"/>
  <c r="CL53" i="26"/>
  <c r="CL70" i="26" s="1"/>
  <c r="CJ204" i="26"/>
  <c r="CP72" i="26" s="1"/>
  <c r="CI205" i="26"/>
  <c r="CJ205" i="26" l="1"/>
  <c r="CQ72" i="26" s="1"/>
  <c r="CI206" i="26"/>
  <c r="CW98" i="26"/>
  <c r="CW126" i="26" s="1"/>
  <c r="CW128" i="26" s="1"/>
  <c r="CN52" i="26"/>
  <c r="CN70" i="26" s="1"/>
  <c r="CR52" i="26"/>
  <c r="CP73" i="26"/>
  <c r="CP75" i="26" s="1"/>
  <c r="CI98" i="26"/>
  <c r="CI97" i="26" l="1"/>
  <c r="CP51" i="26"/>
  <c r="CP70" i="26" s="1"/>
  <c r="CY97" i="26"/>
  <c r="CY126" i="26" s="1"/>
  <c r="CY128" i="26" s="1"/>
  <c r="CQ73" i="26"/>
  <c r="CQ75" i="26" s="1"/>
  <c r="CR51" i="26"/>
  <c r="CR70" i="26" s="1"/>
  <c r="CJ206" i="26"/>
  <c r="CR72" i="26" s="1"/>
  <c r="CI207" i="26"/>
  <c r="CI208" i="26" l="1"/>
  <c r="CJ207" i="26"/>
  <c r="CS72" i="26" s="1"/>
  <c r="CR73" i="26"/>
  <c r="CR75" i="26" s="1"/>
  <c r="DA96" i="26"/>
  <c r="DA126" i="26" s="1"/>
  <c r="DA128" i="26" s="1"/>
  <c r="CI96" i="26"/>
  <c r="CI126" i="26" s="1"/>
  <c r="CI128" i="26" l="1"/>
  <c r="CI209" i="26"/>
  <c r="CJ208" i="26"/>
  <c r="CT72" i="26" s="1"/>
  <c r="CJ95" i="26"/>
  <c r="CJ126" i="26" s="1"/>
  <c r="CJ128" i="26" s="1"/>
  <c r="CS73" i="26"/>
  <c r="CS75" i="26" s="1"/>
  <c r="DB95" i="26"/>
  <c r="CI210" i="26" l="1"/>
  <c r="CJ209" i="26"/>
  <c r="CU72" i="26" s="1"/>
  <c r="CL94" i="26"/>
  <c r="CL126" i="26" s="1"/>
  <c r="DB94" i="26"/>
  <c r="CT73" i="26"/>
  <c r="CT75" i="26" s="1"/>
  <c r="CL128" i="26" l="1"/>
  <c r="CI211" i="26"/>
  <c r="CJ210" i="26"/>
  <c r="CV72" i="26" s="1"/>
  <c r="CN93" i="26"/>
  <c r="CN126" i="26" s="1"/>
  <c r="CN128" i="26" s="1"/>
  <c r="DB93" i="26"/>
  <c r="CU73" i="26"/>
  <c r="CU75" i="26" s="1"/>
  <c r="CI212" i="26" l="1"/>
  <c r="CJ211" i="26"/>
  <c r="CW72" i="26" s="1"/>
  <c r="DB92" i="26"/>
  <c r="CP92" i="26"/>
  <c r="CP126" i="26" s="1"/>
  <c r="CV73" i="26"/>
  <c r="CV75" i="26" s="1"/>
  <c r="CP128" i="26" l="1"/>
  <c r="CI213" i="26"/>
  <c r="CJ212" i="26"/>
  <c r="CX72" i="26" s="1"/>
  <c r="DB91" i="26"/>
  <c r="CR91" i="26"/>
  <c r="CR126" i="26" s="1"/>
  <c r="CW73" i="26"/>
  <c r="CW75" i="26" s="1"/>
  <c r="CR128" i="26" l="1"/>
  <c r="M131" i="26"/>
  <c r="M132" i="26" s="1"/>
  <c r="K131" i="26"/>
  <c r="K132" i="26" s="1"/>
  <c r="CI214" i="26"/>
  <c r="CJ213" i="26"/>
  <c r="CY72" i="26" s="1"/>
  <c r="CT90" i="26"/>
  <c r="CT126" i="26" s="1"/>
  <c r="CT128" i="26" s="1"/>
  <c r="DB90" i="26"/>
  <c r="CX73" i="26"/>
  <c r="CX75" i="26" s="1"/>
  <c r="CJ214" i="26" l="1"/>
  <c r="CZ72" i="26" s="1"/>
  <c r="CI215" i="26"/>
  <c r="CV89" i="26"/>
  <c r="CV126" i="26" s="1"/>
  <c r="CV128" i="26" s="1"/>
  <c r="DB89" i="26"/>
  <c r="CY73" i="26"/>
  <c r="CY75" i="26" s="1"/>
  <c r="DB88" i="26" l="1"/>
  <c r="CZ73" i="26"/>
  <c r="CZ75" i="26" s="1"/>
  <c r="CX88" i="26"/>
  <c r="CX126" i="26" s="1"/>
  <c r="CX128" i="26" s="1"/>
  <c r="CI216" i="26"/>
  <c r="CJ216" i="26" s="1"/>
  <c r="DB72" i="26" s="1"/>
  <c r="DB73" i="26" s="1"/>
  <c r="DB75" i="26" s="1"/>
  <c r="CJ215" i="26"/>
  <c r="DA72" i="26" s="1"/>
  <c r="DB87" i="26" l="1"/>
  <c r="DB126" i="26" s="1"/>
  <c r="DA73" i="26"/>
  <c r="DA75" i="26" s="1"/>
  <c r="BL76" i="26" s="1"/>
  <c r="CZ87" i="26"/>
  <c r="CZ126" i="26" s="1"/>
  <c r="BJ76" i="26" l="1"/>
  <c r="BK76" i="26" s="1"/>
  <c r="CZ128" i="26"/>
  <c r="H47" i="26"/>
  <c r="H48" i="26" s="1"/>
  <c r="DB128" i="26"/>
  <c r="I131" i="26"/>
  <c r="I132" i="26" s="1"/>
  <c r="D4" i="1"/>
  <c r="L131" i="26" l="1"/>
  <c r="L48" i="26"/>
  <c r="K48" i="26"/>
  <c r="DH38" i="1"/>
  <c r="K49" i="26" l="1"/>
  <c r="L49" i="26"/>
  <c r="DH39" i="1"/>
  <c r="L126" i="26" l="1"/>
  <c r="L132" i="26" s="1"/>
  <c r="BL129" i="26" s="1"/>
  <c r="DH40" i="1"/>
  <c r="BJ129" i="26" l="1"/>
  <c r="BK129" i="26" s="1"/>
  <c r="DH41" i="1"/>
  <c r="DH42" i="1" l="1"/>
  <c r="DH43" i="1" l="1"/>
  <c r="DH44" i="1" l="1"/>
  <c r="DH45" i="1" l="1"/>
  <c r="DH46" i="1" l="1"/>
  <c r="DH47" i="1" l="1"/>
  <c r="DH48" i="1" l="1"/>
  <c r="DH49" i="1" l="1"/>
  <c r="DH50" i="1" l="1"/>
  <c r="DH51" i="1" l="1"/>
  <c r="DH52" i="1" l="1"/>
  <c r="DH53" i="1" l="1"/>
  <c r="DH54" i="1" l="1"/>
  <c r="DH55" i="1" l="1"/>
  <c r="DH56" i="1" l="1"/>
  <c r="DH57" i="1" l="1"/>
  <c r="DH58" i="1" l="1"/>
  <c r="DH59" i="1" l="1"/>
  <c r="DH60" i="1" l="1"/>
  <c r="DH61" i="1" l="1"/>
  <c r="DH62" i="1" l="1"/>
  <c r="DH63" i="1" l="1"/>
  <c r="DH64" i="1" l="1"/>
  <c r="DH65" i="1" l="1"/>
  <c r="DH66" i="1" l="1"/>
  <c r="DH67" i="1" s="1"/>
  <c r="DH68" i="1" s="1"/>
  <c r="DH69" i="1" s="1"/>
  <c r="DH70" i="1" s="1"/>
  <c r="DH71" i="1" s="1"/>
  <c r="DH72" i="1" s="1"/>
  <c r="DH73" i="1" s="1"/>
  <c r="DH74" i="1" s="1"/>
  <c r="DH75" i="1" l="1"/>
  <c r="J161" i="3"/>
  <c r="K161" i="3" s="1"/>
  <c r="L161" i="3" s="1"/>
  <c r="M161" i="3" s="1"/>
  <c r="N161" i="3" s="1"/>
  <c r="J160" i="3"/>
  <c r="K160" i="3" s="1"/>
  <c r="L160" i="3" s="1"/>
  <c r="M160" i="3" s="1"/>
  <c r="N160" i="3" s="1"/>
  <c r="J159" i="3"/>
  <c r="K159" i="3" s="1"/>
  <c r="L159" i="3" s="1"/>
  <c r="M159" i="3" s="1"/>
  <c r="N159" i="3" s="1"/>
  <c r="J158" i="3"/>
  <c r="K158" i="3" s="1"/>
  <c r="L158" i="3" s="1"/>
  <c r="M158" i="3" s="1"/>
  <c r="N158" i="3" s="1"/>
  <c r="J157" i="3"/>
  <c r="K157" i="3" s="1"/>
  <c r="L157" i="3" s="1"/>
  <c r="M157" i="3" s="1"/>
  <c r="N157" i="3" s="1"/>
  <c r="J156" i="3"/>
  <c r="K156" i="3" s="1"/>
  <c r="L156" i="3" s="1"/>
  <c r="M156" i="3" s="1"/>
  <c r="N156" i="3" s="1"/>
  <c r="J155" i="3"/>
  <c r="K155" i="3" s="1"/>
  <c r="L155" i="3" s="1"/>
  <c r="M155" i="3" s="1"/>
  <c r="N155" i="3" s="1"/>
  <c r="J154" i="3"/>
  <c r="K154" i="3" s="1"/>
  <c r="L154" i="3" s="1"/>
  <c r="M154" i="3" s="1"/>
  <c r="N154" i="3" s="1"/>
  <c r="J153" i="3"/>
  <c r="K153" i="3" s="1"/>
  <c r="L153" i="3" s="1"/>
  <c r="M153" i="3" s="1"/>
  <c r="N153" i="3" s="1"/>
  <c r="J152" i="3"/>
  <c r="K152" i="3" s="1"/>
  <c r="L152" i="3" s="1"/>
  <c r="M152" i="3" s="1"/>
  <c r="N152" i="3" s="1"/>
  <c r="J151" i="3"/>
  <c r="K151" i="3" s="1"/>
  <c r="L151" i="3" s="1"/>
  <c r="M151" i="3" s="1"/>
  <c r="N151" i="3" s="1"/>
  <c r="J191" i="7"/>
  <c r="K191" i="7" s="1"/>
  <c r="L191" i="7" s="1"/>
  <c r="M191" i="7" s="1"/>
  <c r="N191" i="7" s="1"/>
  <c r="J190" i="7"/>
  <c r="K190" i="7" s="1"/>
  <c r="L190" i="7" s="1"/>
  <c r="M190" i="7" s="1"/>
  <c r="N190" i="7" s="1"/>
  <c r="J189" i="7"/>
  <c r="K189" i="7" s="1"/>
  <c r="L189" i="7" s="1"/>
  <c r="M189" i="7" s="1"/>
  <c r="N189" i="7" s="1"/>
  <c r="J188" i="7"/>
  <c r="K188" i="7" s="1"/>
  <c r="L188" i="7" s="1"/>
  <c r="M188" i="7" s="1"/>
  <c r="N188" i="7" s="1"/>
  <c r="J187" i="7"/>
  <c r="K187" i="7" s="1"/>
  <c r="L187" i="7" s="1"/>
  <c r="M187" i="7" s="1"/>
  <c r="N187" i="7" s="1"/>
  <c r="J186" i="7"/>
  <c r="K186" i="7" s="1"/>
  <c r="L186" i="7" s="1"/>
  <c r="M186" i="7" s="1"/>
  <c r="N186" i="7" s="1"/>
  <c r="J185" i="7"/>
  <c r="K185" i="7" s="1"/>
  <c r="L185" i="7" s="1"/>
  <c r="M185" i="7" s="1"/>
  <c r="N185" i="7" s="1"/>
  <c r="J184" i="7"/>
  <c r="K184" i="7" s="1"/>
  <c r="L184" i="7" s="1"/>
  <c r="M184" i="7" s="1"/>
  <c r="N184" i="7" s="1"/>
  <c r="J183" i="7"/>
  <c r="K183" i="7" s="1"/>
  <c r="L183" i="7" s="1"/>
  <c r="M183" i="7" s="1"/>
  <c r="N183" i="7" s="1"/>
  <c r="J182" i="7"/>
  <c r="K182" i="7" s="1"/>
  <c r="L182" i="7" s="1"/>
  <c r="M182" i="7" s="1"/>
  <c r="N182" i="7" s="1"/>
  <c r="J181" i="7"/>
  <c r="K181" i="7" s="1"/>
  <c r="L181" i="7" s="1"/>
  <c r="M181" i="7" s="1"/>
  <c r="N181" i="7" s="1"/>
  <c r="I153" i="2"/>
  <c r="J153" i="2" s="1"/>
  <c r="K153" i="2" s="1"/>
  <c r="L153" i="2" s="1"/>
  <c r="M153" i="2" s="1"/>
  <c r="I152" i="2"/>
  <c r="J152" i="2" s="1"/>
  <c r="K152" i="2" s="1"/>
  <c r="L152" i="2" s="1"/>
  <c r="M152" i="2" s="1"/>
  <c r="I151" i="2"/>
  <c r="J151" i="2" s="1"/>
  <c r="K151" i="2" s="1"/>
  <c r="L151" i="2" s="1"/>
  <c r="M151" i="2" s="1"/>
  <c r="I150" i="2"/>
  <c r="J150" i="2" s="1"/>
  <c r="K150" i="2" s="1"/>
  <c r="L150" i="2" s="1"/>
  <c r="M150" i="2" s="1"/>
  <c r="I149" i="2"/>
  <c r="J149" i="2" s="1"/>
  <c r="K149" i="2" s="1"/>
  <c r="L149" i="2" s="1"/>
  <c r="M149" i="2" s="1"/>
  <c r="I148" i="2"/>
  <c r="J148" i="2" s="1"/>
  <c r="K148" i="2" s="1"/>
  <c r="L148" i="2" s="1"/>
  <c r="M148" i="2" s="1"/>
  <c r="I147" i="2"/>
  <c r="J147" i="2" s="1"/>
  <c r="K147" i="2" s="1"/>
  <c r="L147" i="2" s="1"/>
  <c r="M147" i="2" s="1"/>
  <c r="I146" i="2"/>
  <c r="J146" i="2" s="1"/>
  <c r="K146" i="2" s="1"/>
  <c r="L146" i="2" s="1"/>
  <c r="M146" i="2" s="1"/>
  <c r="I145" i="2"/>
  <c r="J145" i="2" s="1"/>
  <c r="K145" i="2" s="1"/>
  <c r="L145" i="2" s="1"/>
  <c r="M145" i="2" s="1"/>
  <c r="I144" i="2"/>
  <c r="J144" i="2" s="1"/>
  <c r="K144" i="2" s="1"/>
  <c r="L144" i="2" s="1"/>
  <c r="M144" i="2" s="1"/>
  <c r="I143" i="2"/>
  <c r="J143" i="2" s="1"/>
  <c r="K143" i="2" s="1"/>
  <c r="L143" i="2" s="1"/>
  <c r="M143" i="2" s="1"/>
  <c r="C143" i="7"/>
  <c r="J162" i="7"/>
  <c r="K162" i="7" s="1"/>
  <c r="L162" i="7" s="1"/>
  <c r="M162" i="7" s="1"/>
  <c r="N162" i="7" s="1"/>
  <c r="J161" i="7"/>
  <c r="K161" i="7" s="1"/>
  <c r="L161" i="7" s="1"/>
  <c r="M161" i="7" s="1"/>
  <c r="N161" i="7" s="1"/>
  <c r="J160" i="7"/>
  <c r="K160" i="7" s="1"/>
  <c r="L160" i="7" s="1"/>
  <c r="M160" i="7" s="1"/>
  <c r="N160" i="7" s="1"/>
  <c r="J159" i="7"/>
  <c r="K159" i="7" s="1"/>
  <c r="L159" i="7" s="1"/>
  <c r="M159" i="7" s="1"/>
  <c r="N159" i="7" s="1"/>
  <c r="J158" i="7"/>
  <c r="K158" i="7" s="1"/>
  <c r="L158" i="7" s="1"/>
  <c r="M158" i="7" s="1"/>
  <c r="N158" i="7" s="1"/>
  <c r="J157" i="7"/>
  <c r="K157" i="7" s="1"/>
  <c r="L157" i="7" s="1"/>
  <c r="M157" i="7" s="1"/>
  <c r="N157" i="7" s="1"/>
  <c r="J156" i="7"/>
  <c r="K156" i="7" s="1"/>
  <c r="L156" i="7" s="1"/>
  <c r="M156" i="7" s="1"/>
  <c r="N156" i="7" s="1"/>
  <c r="J155" i="7"/>
  <c r="K155" i="7" s="1"/>
  <c r="L155" i="7" s="1"/>
  <c r="M155" i="7" s="1"/>
  <c r="N155" i="7" s="1"/>
  <c r="J154" i="7"/>
  <c r="K154" i="7" s="1"/>
  <c r="L154" i="7" s="1"/>
  <c r="M154" i="7" s="1"/>
  <c r="N154" i="7" s="1"/>
  <c r="J153" i="7"/>
  <c r="K153" i="7" s="1"/>
  <c r="L153" i="7" s="1"/>
  <c r="M153" i="7" s="1"/>
  <c r="N153" i="7" s="1"/>
  <c r="J152" i="7"/>
  <c r="K152" i="7" s="1"/>
  <c r="L152" i="7" s="1"/>
  <c r="M152" i="7" s="1"/>
  <c r="N152" i="7" s="1"/>
  <c r="J151" i="7"/>
  <c r="K151" i="7" s="1"/>
  <c r="L151" i="7" s="1"/>
  <c r="M151" i="7" s="1"/>
  <c r="N151" i="7" s="1"/>
  <c r="J150" i="7"/>
  <c r="K150" i="7" s="1"/>
  <c r="L150" i="7" s="1"/>
  <c r="M150" i="7" s="1"/>
  <c r="N150" i="7" s="1"/>
  <c r="J149" i="7"/>
  <c r="K149" i="7" s="1"/>
  <c r="L149" i="7" s="1"/>
  <c r="M149" i="7" s="1"/>
  <c r="N149" i="7" s="1"/>
  <c r="J148" i="7"/>
  <c r="K148" i="7" s="1"/>
  <c r="L148" i="7" s="1"/>
  <c r="M148" i="7" s="1"/>
  <c r="N148" i="7" s="1"/>
  <c r="J147" i="7"/>
  <c r="K147" i="7" s="1"/>
  <c r="L147" i="7" s="1"/>
  <c r="M147" i="7" s="1"/>
  <c r="N147" i="7" s="1"/>
  <c r="J146" i="7"/>
  <c r="K146" i="7" s="1"/>
  <c r="L146" i="7" s="1"/>
  <c r="M146" i="7" s="1"/>
  <c r="N146" i="7" s="1"/>
  <c r="J145" i="7"/>
  <c r="K145" i="7" s="1"/>
  <c r="L145" i="7" s="1"/>
  <c r="M145" i="7" s="1"/>
  <c r="N145" i="7" s="1"/>
  <c r="J144" i="7"/>
  <c r="K144" i="7" s="1"/>
  <c r="L144" i="7" s="1"/>
  <c r="M144" i="7" s="1"/>
  <c r="N144" i="7" s="1"/>
  <c r="G143" i="7"/>
  <c r="J223" i="7"/>
  <c r="K223" i="7" s="1"/>
  <c r="L223" i="7" s="1"/>
  <c r="M223" i="7" s="1"/>
  <c r="N223" i="7" s="1"/>
  <c r="J222" i="7"/>
  <c r="K222" i="7" s="1"/>
  <c r="L222" i="7" s="1"/>
  <c r="M222" i="7" s="1"/>
  <c r="N222" i="7" s="1"/>
  <c r="J221" i="7"/>
  <c r="K221" i="7" s="1"/>
  <c r="L221" i="7" s="1"/>
  <c r="M221" i="7" s="1"/>
  <c r="N221" i="7" s="1"/>
  <c r="J220" i="7"/>
  <c r="K220" i="7" s="1"/>
  <c r="L220" i="7" s="1"/>
  <c r="M220" i="7" s="1"/>
  <c r="N220" i="7" s="1"/>
  <c r="J219" i="7"/>
  <c r="K219" i="7" s="1"/>
  <c r="L219" i="7" s="1"/>
  <c r="M219" i="7" s="1"/>
  <c r="N219" i="7" s="1"/>
  <c r="J218" i="7"/>
  <c r="K218" i="7" s="1"/>
  <c r="L218" i="7" s="1"/>
  <c r="M218" i="7" s="1"/>
  <c r="N218" i="7" s="1"/>
  <c r="J217" i="7"/>
  <c r="K217" i="7" s="1"/>
  <c r="L217" i="7" s="1"/>
  <c r="M217" i="7" s="1"/>
  <c r="N217" i="7" s="1"/>
  <c r="J216" i="7"/>
  <c r="K216" i="7" s="1"/>
  <c r="L216" i="7" s="1"/>
  <c r="M216" i="7" s="1"/>
  <c r="N216" i="7" s="1"/>
  <c r="J215" i="7"/>
  <c r="K215" i="7" s="1"/>
  <c r="L215" i="7" s="1"/>
  <c r="M215" i="7" s="1"/>
  <c r="N215" i="7" s="1"/>
  <c r="J214" i="7"/>
  <c r="K214" i="7" s="1"/>
  <c r="L214" i="7" s="1"/>
  <c r="M214" i="7" s="1"/>
  <c r="N214" i="7" s="1"/>
  <c r="J213" i="7"/>
  <c r="K213" i="7" s="1"/>
  <c r="L213" i="7" s="1"/>
  <c r="M213" i="7" s="1"/>
  <c r="N213" i="7" s="1"/>
  <c r="J212" i="7"/>
  <c r="K212" i="7" s="1"/>
  <c r="L212" i="7" s="1"/>
  <c r="M212" i="7" s="1"/>
  <c r="N212" i="7" s="1"/>
  <c r="J211" i="7"/>
  <c r="K211" i="7" s="1"/>
  <c r="L211" i="7" s="1"/>
  <c r="M211" i="7" s="1"/>
  <c r="N211" i="7" s="1"/>
  <c r="J210" i="7"/>
  <c r="K210" i="7" s="1"/>
  <c r="L210" i="7" s="1"/>
  <c r="M210" i="7" s="1"/>
  <c r="N210" i="7" s="1"/>
  <c r="J209" i="7"/>
  <c r="K209" i="7" s="1"/>
  <c r="L209" i="7" s="1"/>
  <c r="M209" i="7" s="1"/>
  <c r="N209" i="7" s="1"/>
  <c r="J208" i="7"/>
  <c r="K208" i="7" s="1"/>
  <c r="L208" i="7" s="1"/>
  <c r="M208" i="7" s="1"/>
  <c r="N208" i="7" s="1"/>
  <c r="J207" i="7"/>
  <c r="K207" i="7" s="1"/>
  <c r="L207" i="7" s="1"/>
  <c r="M207" i="7" s="1"/>
  <c r="N207" i="7" s="1"/>
  <c r="J206" i="7"/>
  <c r="K206" i="7" s="1"/>
  <c r="L206" i="7" s="1"/>
  <c r="M206" i="7" s="1"/>
  <c r="N206" i="7" s="1"/>
  <c r="J205" i="7"/>
  <c r="K205" i="7" s="1"/>
  <c r="L205" i="7" s="1"/>
  <c r="M205" i="7" s="1"/>
  <c r="N205" i="7" s="1"/>
  <c r="G204" i="7"/>
  <c r="F204" i="7" s="1"/>
  <c r="C142" i="2"/>
  <c r="C150" i="3"/>
  <c r="J150" i="3" s="1"/>
  <c r="P150" i="3" s="1"/>
  <c r="Q150" i="3" s="1"/>
  <c r="S150" i="3" s="1"/>
  <c r="G175" i="3"/>
  <c r="J176" i="3"/>
  <c r="K176" i="3" s="1"/>
  <c r="L176" i="3" s="1"/>
  <c r="M176" i="3" s="1"/>
  <c r="N176" i="3" s="1"/>
  <c r="J177" i="3"/>
  <c r="K177" i="3" s="1"/>
  <c r="L177" i="3" s="1"/>
  <c r="M177" i="3" s="1"/>
  <c r="N177" i="3" s="1"/>
  <c r="J178" i="3"/>
  <c r="K178" i="3" s="1"/>
  <c r="L178" i="3" s="1"/>
  <c r="M178" i="3" s="1"/>
  <c r="N178" i="3" s="1"/>
  <c r="J179" i="3"/>
  <c r="K179" i="3" s="1"/>
  <c r="L179" i="3" s="1"/>
  <c r="M179" i="3" s="1"/>
  <c r="N179" i="3" s="1"/>
  <c r="J180" i="3"/>
  <c r="K180" i="3" s="1"/>
  <c r="L180" i="3" s="1"/>
  <c r="M180" i="3" s="1"/>
  <c r="N180" i="3" s="1"/>
  <c r="J181" i="3"/>
  <c r="K181" i="3" s="1"/>
  <c r="L181" i="3" s="1"/>
  <c r="M181" i="3" s="1"/>
  <c r="N181" i="3" s="1"/>
  <c r="J182" i="3"/>
  <c r="K182" i="3" s="1"/>
  <c r="L182" i="3" s="1"/>
  <c r="M182" i="3" s="1"/>
  <c r="N182" i="3" s="1"/>
  <c r="J183" i="3"/>
  <c r="K183" i="3" s="1"/>
  <c r="L183" i="3" s="1"/>
  <c r="M183" i="3" s="1"/>
  <c r="N183" i="3" s="1"/>
  <c r="J184" i="3"/>
  <c r="K184" i="3" s="1"/>
  <c r="L184" i="3" s="1"/>
  <c r="M184" i="3" s="1"/>
  <c r="N184" i="3" s="1"/>
  <c r="J185" i="3"/>
  <c r="K185" i="3" s="1"/>
  <c r="L185" i="3" s="1"/>
  <c r="M185" i="3" s="1"/>
  <c r="N185" i="3" s="1"/>
  <c r="J186" i="3"/>
  <c r="K186" i="3" s="1"/>
  <c r="L186" i="3" s="1"/>
  <c r="M186" i="3" s="1"/>
  <c r="N186" i="3" s="1"/>
  <c r="J187" i="3"/>
  <c r="K187" i="3" s="1"/>
  <c r="L187" i="3" s="1"/>
  <c r="M187" i="3" s="1"/>
  <c r="N187" i="3" s="1"/>
  <c r="J188" i="3"/>
  <c r="K188" i="3" s="1"/>
  <c r="L188" i="3" s="1"/>
  <c r="M188" i="3" s="1"/>
  <c r="N188" i="3" s="1"/>
  <c r="J189" i="3"/>
  <c r="K189" i="3" s="1"/>
  <c r="L189" i="3" s="1"/>
  <c r="M189" i="3" s="1"/>
  <c r="N189" i="3" s="1"/>
  <c r="J190" i="3"/>
  <c r="K190" i="3" s="1"/>
  <c r="L190" i="3" s="1"/>
  <c r="M190" i="3" s="1"/>
  <c r="N190" i="3" s="1"/>
  <c r="J191" i="3"/>
  <c r="K191" i="3" s="1"/>
  <c r="L191" i="3" s="1"/>
  <c r="M191" i="3" s="1"/>
  <c r="N191" i="3" s="1"/>
  <c r="J192" i="3"/>
  <c r="K192" i="3" s="1"/>
  <c r="L192" i="3" s="1"/>
  <c r="M192" i="3" s="1"/>
  <c r="N192" i="3" s="1"/>
  <c r="J193" i="3"/>
  <c r="K193" i="3" s="1"/>
  <c r="L193" i="3" s="1"/>
  <c r="M193" i="3" s="1"/>
  <c r="N193" i="3" s="1"/>
  <c r="J194" i="3"/>
  <c r="K194" i="3" s="1"/>
  <c r="L194" i="3" s="1"/>
  <c r="M194" i="3" s="1"/>
  <c r="N194" i="3" s="1"/>
  <c r="BF49" i="1"/>
  <c r="B14" i="1"/>
  <c r="C14" i="1" s="1"/>
  <c r="C150" i="1"/>
  <c r="G150" i="1"/>
  <c r="J151" i="1"/>
  <c r="K151" i="1" s="1"/>
  <c r="L151" i="1" s="1"/>
  <c r="M151" i="1" s="1"/>
  <c r="N151" i="1" s="1"/>
  <c r="J152" i="1"/>
  <c r="K152" i="1" s="1"/>
  <c r="L152" i="1" s="1"/>
  <c r="M152" i="1" s="1"/>
  <c r="N152" i="1" s="1"/>
  <c r="J153" i="1"/>
  <c r="K153" i="1" s="1"/>
  <c r="L153" i="1" s="1"/>
  <c r="M153" i="1" s="1"/>
  <c r="N153" i="1" s="1"/>
  <c r="J154" i="1"/>
  <c r="K154" i="1" s="1"/>
  <c r="L154" i="1" s="1"/>
  <c r="M154" i="1" s="1"/>
  <c r="N154" i="1" s="1"/>
  <c r="J155" i="1"/>
  <c r="K155" i="1" s="1"/>
  <c r="L155" i="1" s="1"/>
  <c r="M155" i="1" s="1"/>
  <c r="N155" i="1" s="1"/>
  <c r="J156" i="1"/>
  <c r="K156" i="1" s="1"/>
  <c r="L156" i="1" s="1"/>
  <c r="M156" i="1" s="1"/>
  <c r="N156" i="1" s="1"/>
  <c r="J157" i="1"/>
  <c r="K157" i="1" s="1"/>
  <c r="L157" i="1" s="1"/>
  <c r="M157" i="1" s="1"/>
  <c r="N157" i="1" s="1"/>
  <c r="J158" i="1"/>
  <c r="K158" i="1" s="1"/>
  <c r="L158" i="1" s="1"/>
  <c r="M158" i="1" s="1"/>
  <c r="N158" i="1" s="1"/>
  <c r="J159" i="1"/>
  <c r="K159" i="1" s="1"/>
  <c r="L159" i="1" s="1"/>
  <c r="M159" i="1" s="1"/>
  <c r="N159" i="1" s="1"/>
  <c r="J160" i="1"/>
  <c r="K160" i="1" s="1"/>
  <c r="L160" i="1" s="1"/>
  <c r="M160" i="1" s="1"/>
  <c r="N160" i="1" s="1"/>
  <c r="J161" i="1"/>
  <c r="K161" i="1" s="1"/>
  <c r="L161" i="1" s="1"/>
  <c r="M161" i="1" s="1"/>
  <c r="N161" i="1" s="1"/>
  <c r="J162" i="1"/>
  <c r="K162" i="1" s="1"/>
  <c r="L162" i="1" s="1"/>
  <c r="M162" i="1" s="1"/>
  <c r="N162" i="1" s="1"/>
  <c r="J163" i="1"/>
  <c r="K163" i="1" s="1"/>
  <c r="L163" i="1" s="1"/>
  <c r="M163" i="1" s="1"/>
  <c r="N163" i="1" s="1"/>
  <c r="J164" i="1"/>
  <c r="K164" i="1" s="1"/>
  <c r="L164" i="1" s="1"/>
  <c r="M164" i="1" s="1"/>
  <c r="N164" i="1" s="1"/>
  <c r="J165" i="1"/>
  <c r="K165" i="1" s="1"/>
  <c r="L165" i="1" s="1"/>
  <c r="M165" i="1" s="1"/>
  <c r="N165" i="1" s="1"/>
  <c r="J166" i="1"/>
  <c r="K166" i="1" s="1"/>
  <c r="L166" i="1" s="1"/>
  <c r="M166" i="1" s="1"/>
  <c r="N166" i="1" s="1"/>
  <c r="J167" i="1"/>
  <c r="K167" i="1" s="1"/>
  <c r="L167" i="1" s="1"/>
  <c r="M167" i="1" s="1"/>
  <c r="N167" i="1" s="1"/>
  <c r="J168" i="1"/>
  <c r="K168" i="1" s="1"/>
  <c r="L168" i="1" s="1"/>
  <c r="M168" i="1" s="1"/>
  <c r="N168" i="1" s="1"/>
  <c r="J169" i="1"/>
  <c r="K169" i="1" s="1"/>
  <c r="L169" i="1" s="1"/>
  <c r="M169" i="1" s="1"/>
  <c r="N169" i="1" s="1"/>
  <c r="I142" i="2" l="1"/>
  <c r="Y148" i="2"/>
  <c r="J20" i="1"/>
  <c r="J56" i="1"/>
  <c r="L44" i="1"/>
  <c r="J38" i="1"/>
  <c r="L32" i="1"/>
  <c r="J50" i="1"/>
  <c r="L26" i="1"/>
  <c r="L85" i="1"/>
  <c r="L42" i="1"/>
  <c r="J48" i="1"/>
  <c r="Y170" i="1"/>
  <c r="Y173" i="1"/>
  <c r="Y172" i="1"/>
  <c r="Y171" i="1"/>
  <c r="O170" i="1"/>
  <c r="P170" i="1" s="1"/>
  <c r="Q170" i="1" s="1"/>
  <c r="O173" i="1"/>
  <c r="P173" i="1" s="1"/>
  <c r="Q173" i="1" s="1"/>
  <c r="O172" i="1"/>
  <c r="P172" i="1" s="1"/>
  <c r="Q172" i="1" s="1"/>
  <c r="O171" i="1"/>
  <c r="P171" i="1" s="1"/>
  <c r="Q171" i="1" s="1"/>
  <c r="O164" i="7"/>
  <c r="P164" i="7" s="1"/>
  <c r="Q164" i="7" s="1"/>
  <c r="O163" i="7"/>
  <c r="P163" i="7" s="1"/>
  <c r="Q163" i="7" s="1"/>
  <c r="O165" i="7"/>
  <c r="P165" i="7" s="1"/>
  <c r="Q165" i="7" s="1"/>
  <c r="O166" i="7"/>
  <c r="P166" i="7" s="1"/>
  <c r="Q166" i="7" s="1"/>
  <c r="AH164" i="7"/>
  <c r="AH163" i="7"/>
  <c r="AH166" i="7"/>
  <c r="AH161" i="7"/>
  <c r="AI161" i="7" s="1"/>
  <c r="AH165" i="7"/>
  <c r="O150" i="7"/>
  <c r="P150" i="7" s="1"/>
  <c r="Q150" i="7" s="1"/>
  <c r="DH76" i="1"/>
  <c r="Y155" i="1"/>
  <c r="AC155" i="1" s="1"/>
  <c r="AD155" i="1" s="1"/>
  <c r="AE155" i="1" s="1"/>
  <c r="BD80" i="1"/>
  <c r="Y159" i="1"/>
  <c r="O162" i="1"/>
  <c r="P162" i="1" s="1"/>
  <c r="Q162" i="1" s="1"/>
  <c r="Y161" i="1"/>
  <c r="O157" i="1"/>
  <c r="P157" i="1" s="1"/>
  <c r="Q157" i="1" s="1"/>
  <c r="O166" i="1"/>
  <c r="P166" i="1" s="1"/>
  <c r="Q166" i="1" s="1"/>
  <c r="O164" i="1"/>
  <c r="P164" i="1" s="1"/>
  <c r="Q164" i="1" s="1"/>
  <c r="O167" i="1"/>
  <c r="P167" i="1" s="1"/>
  <c r="Q167" i="1" s="1"/>
  <c r="O155" i="7"/>
  <c r="P155" i="7" s="1"/>
  <c r="Q155" i="7" s="1"/>
  <c r="AH149" i="7"/>
  <c r="AH153" i="7"/>
  <c r="O157" i="7"/>
  <c r="P157" i="7" s="1"/>
  <c r="Q157" i="7" s="1"/>
  <c r="AH158" i="7"/>
  <c r="AH145" i="7"/>
  <c r="O148" i="7"/>
  <c r="P148" i="7" s="1"/>
  <c r="Q148" i="7" s="1"/>
  <c r="AH162" i="7"/>
  <c r="O144" i="7"/>
  <c r="P144" i="7" s="1"/>
  <c r="Q144" i="7" s="1"/>
  <c r="N153" i="2"/>
  <c r="O153" i="2" s="1"/>
  <c r="P153" i="2" s="1"/>
  <c r="O142" i="2"/>
  <c r="P142" i="2" s="1"/>
  <c r="R142" i="2" s="1"/>
  <c r="AH150" i="7"/>
  <c r="O156" i="7"/>
  <c r="P156" i="7" s="1"/>
  <c r="Q156" i="7" s="1"/>
  <c r="AH151" i="7"/>
  <c r="O147" i="7"/>
  <c r="P147" i="7" s="1"/>
  <c r="Q147" i="7" s="1"/>
  <c r="O146" i="7"/>
  <c r="P146" i="7" s="1"/>
  <c r="Q146" i="7" s="1"/>
  <c r="AH144" i="7"/>
  <c r="AH146" i="7"/>
  <c r="O161" i="7"/>
  <c r="P161" i="7" s="1"/>
  <c r="Q161" i="7" s="1"/>
  <c r="O149" i="7"/>
  <c r="P149" i="7" s="1"/>
  <c r="Q149" i="7" s="1"/>
  <c r="AH157" i="7"/>
  <c r="AH147" i="7"/>
  <c r="O143" i="7"/>
  <c r="P143" i="7" s="1"/>
  <c r="AH159" i="7"/>
  <c r="O162" i="7"/>
  <c r="P162" i="7" s="1"/>
  <c r="Q162" i="7" s="1"/>
  <c r="AH143" i="7"/>
  <c r="O158" i="7"/>
  <c r="P158" i="7" s="1"/>
  <c r="Q158" i="7" s="1"/>
  <c r="AH154" i="7"/>
  <c r="O145" i="7"/>
  <c r="P145" i="7" s="1"/>
  <c r="Q145" i="7" s="1"/>
  <c r="O152" i="7"/>
  <c r="P152" i="7" s="1"/>
  <c r="Q152" i="7" s="1"/>
  <c r="J143" i="7"/>
  <c r="K143" i="7" s="1"/>
  <c r="L143" i="7" s="1"/>
  <c r="M143" i="7" s="1"/>
  <c r="N143" i="7" s="1"/>
  <c r="AH156" i="7"/>
  <c r="AH155" i="7"/>
  <c r="O159" i="7"/>
  <c r="P159" i="7" s="1"/>
  <c r="Q159" i="7" s="1"/>
  <c r="AH152" i="7"/>
  <c r="O153" i="7"/>
  <c r="P153" i="7" s="1"/>
  <c r="Q153" i="7" s="1"/>
  <c r="AH148" i="7"/>
  <c r="O151" i="7"/>
  <c r="P151" i="7" s="1"/>
  <c r="Q151" i="7" s="1"/>
  <c r="O154" i="7"/>
  <c r="P154" i="7" s="1"/>
  <c r="Q154" i="7" s="1"/>
  <c r="O160" i="7"/>
  <c r="P160" i="7" s="1"/>
  <c r="Q160" i="7" s="1"/>
  <c r="AH160" i="7"/>
  <c r="O168" i="1"/>
  <c r="P168" i="1" s="1"/>
  <c r="Q168" i="1" s="1"/>
  <c r="Y163" i="1"/>
  <c r="Y152" i="1"/>
  <c r="Y153" i="1"/>
  <c r="Y166" i="1"/>
  <c r="O153" i="1"/>
  <c r="P153" i="1" s="1"/>
  <c r="Q153" i="1" s="1"/>
  <c r="Y168" i="1"/>
  <c r="O159" i="1"/>
  <c r="P159" i="1" s="1"/>
  <c r="Q159" i="1" s="1"/>
  <c r="O150" i="1"/>
  <c r="P150" i="1" s="1"/>
  <c r="Y165" i="1"/>
  <c r="O161" i="1"/>
  <c r="P161" i="1" s="1"/>
  <c r="Q161" i="1" s="1"/>
  <c r="O158" i="1"/>
  <c r="P158" i="1" s="1"/>
  <c r="Q158" i="1" s="1"/>
  <c r="Y158" i="1"/>
  <c r="J150" i="1"/>
  <c r="K150" i="1" s="1"/>
  <c r="L150" i="1" s="1"/>
  <c r="M150" i="1" s="1"/>
  <c r="N150" i="1" s="1"/>
  <c r="O156" i="1"/>
  <c r="P156" i="1" s="1"/>
  <c r="Q156" i="1" s="1"/>
  <c r="Y167" i="1"/>
  <c r="O152" i="1"/>
  <c r="P152" i="1" s="1"/>
  <c r="Q152" i="1" s="1"/>
  <c r="Y151" i="1"/>
  <c r="Y164" i="1"/>
  <c r="O165" i="1"/>
  <c r="P165" i="1" s="1"/>
  <c r="Q165" i="1" s="1"/>
  <c r="Y160" i="1"/>
  <c r="Y150" i="1"/>
  <c r="O169" i="1"/>
  <c r="P169" i="1" s="1"/>
  <c r="Q169" i="1" s="1"/>
  <c r="Y154" i="1"/>
  <c r="O163" i="1"/>
  <c r="P163" i="1" s="1"/>
  <c r="Q163" i="1" s="1"/>
  <c r="O155" i="1"/>
  <c r="P155" i="1" s="1"/>
  <c r="Q155" i="1" s="1"/>
  <c r="Y162" i="1"/>
  <c r="O160" i="1"/>
  <c r="P160" i="1" s="1"/>
  <c r="Q160" i="1" s="1"/>
  <c r="Y157" i="1"/>
  <c r="O151" i="1"/>
  <c r="P151" i="1" s="1"/>
  <c r="Q151" i="1" s="1"/>
  <c r="Y169" i="1"/>
  <c r="Y156" i="1"/>
  <c r="O154" i="1"/>
  <c r="P154" i="1" s="1"/>
  <c r="Q154" i="1" s="1"/>
  <c r="AG151" i="3"/>
  <c r="O152" i="3"/>
  <c r="P152" i="3" s="1"/>
  <c r="Q152" i="3" s="1"/>
  <c r="Y142" i="2"/>
  <c r="N148" i="2"/>
  <c r="O148" i="2" s="1"/>
  <c r="P148" i="2" s="1"/>
  <c r="AG156" i="3"/>
  <c r="AG150" i="3"/>
  <c r="AG160" i="3"/>
  <c r="AH160" i="3" s="1"/>
  <c r="AG153" i="3"/>
  <c r="AG158" i="3"/>
  <c r="AG161" i="3"/>
  <c r="AH161" i="3" s="1"/>
  <c r="O160" i="3"/>
  <c r="P160" i="3" s="1"/>
  <c r="Q160" i="3" s="1"/>
  <c r="O157" i="3"/>
  <c r="P157" i="3" s="1"/>
  <c r="Q157" i="3" s="1"/>
  <c r="O158" i="3"/>
  <c r="P158" i="3" s="1"/>
  <c r="Q158" i="3" s="1"/>
  <c r="AG155" i="3"/>
  <c r="O156" i="3"/>
  <c r="P156" i="3" s="1"/>
  <c r="Q156" i="3" s="1"/>
  <c r="AG157" i="3"/>
  <c r="AG154" i="3"/>
  <c r="O159" i="3"/>
  <c r="P159" i="3" s="1"/>
  <c r="Q159" i="3" s="1"/>
  <c r="AG152" i="3"/>
  <c r="O155" i="3"/>
  <c r="P155" i="3" s="1"/>
  <c r="Q155" i="3" s="1"/>
  <c r="O161" i="3"/>
  <c r="P161" i="3" s="1"/>
  <c r="Q161" i="3" s="1"/>
  <c r="AG159" i="3"/>
  <c r="O153" i="3"/>
  <c r="P153" i="3" s="1"/>
  <c r="Q153" i="3" s="1"/>
  <c r="O151" i="3"/>
  <c r="P151" i="3" s="1"/>
  <c r="Q151" i="3" s="1"/>
  <c r="O154" i="3"/>
  <c r="P154" i="3" s="1"/>
  <c r="Q154" i="3" s="1"/>
  <c r="Y146" i="2"/>
  <c r="Y151" i="2"/>
  <c r="Y147" i="2"/>
  <c r="N144" i="2"/>
  <c r="O144" i="2" s="1"/>
  <c r="P144" i="2" s="1"/>
  <c r="N145" i="2"/>
  <c r="O145" i="2" s="1"/>
  <c r="P145" i="2" s="1"/>
  <c r="Y145" i="2"/>
  <c r="Y153" i="2"/>
  <c r="Y144" i="2"/>
  <c r="Y152" i="2"/>
  <c r="Y149" i="2"/>
  <c r="N149" i="2"/>
  <c r="O149" i="2" s="1"/>
  <c r="P149" i="2" s="1"/>
  <c r="Y150" i="2"/>
  <c r="N143" i="2"/>
  <c r="O143" i="2" s="1"/>
  <c r="P143" i="2" s="1"/>
  <c r="N147" i="2"/>
  <c r="O147" i="2" s="1"/>
  <c r="P147" i="2" s="1"/>
  <c r="N150" i="2"/>
  <c r="O150" i="2" s="1"/>
  <c r="P150" i="2" s="1"/>
  <c r="N151" i="2"/>
  <c r="O151" i="2" s="1"/>
  <c r="P151" i="2" s="1"/>
  <c r="Y143" i="2"/>
  <c r="N152" i="2"/>
  <c r="O152" i="2" s="1"/>
  <c r="P152" i="2" s="1"/>
  <c r="N146" i="2"/>
  <c r="O146" i="2" s="1"/>
  <c r="P146" i="2" s="1"/>
  <c r="J49" i="1" l="1"/>
  <c r="L43" i="1"/>
  <c r="AM160" i="7"/>
  <c r="AN160" i="7" s="1"/>
  <c r="AO160" i="7" s="1"/>
  <c r="AJ160" i="7"/>
  <c r="AK160" i="7" s="1"/>
  <c r="AL160" i="7" s="1"/>
  <c r="AM156" i="7"/>
  <c r="AN156" i="7" s="1"/>
  <c r="AO156" i="7" s="1"/>
  <c r="AJ156" i="7"/>
  <c r="AK156" i="7" s="1"/>
  <c r="AL156" i="7" s="1"/>
  <c r="AM154" i="7"/>
  <c r="AN154" i="7" s="1"/>
  <c r="AO154" i="7" s="1"/>
  <c r="AJ154" i="7"/>
  <c r="AK154" i="7" s="1"/>
  <c r="AL154" i="7" s="1"/>
  <c r="AM159" i="7"/>
  <c r="AN159" i="7" s="1"/>
  <c r="AO159" i="7" s="1"/>
  <c r="AJ159" i="7"/>
  <c r="AK159" i="7" s="1"/>
  <c r="AL159" i="7" s="1"/>
  <c r="AM150" i="7"/>
  <c r="AN150" i="7" s="1"/>
  <c r="AO150" i="7" s="1"/>
  <c r="AJ150" i="7"/>
  <c r="AK150" i="7" s="1"/>
  <c r="AL150" i="7" s="1"/>
  <c r="AI162" i="7"/>
  <c r="AM162" i="7"/>
  <c r="AN162" i="7" s="1"/>
  <c r="AO162" i="7" s="1"/>
  <c r="AJ162" i="7"/>
  <c r="AK162" i="7" s="1"/>
  <c r="AL162" i="7" s="1"/>
  <c r="AJ158" i="7"/>
  <c r="AK158" i="7" s="1"/>
  <c r="AL158" i="7" s="1"/>
  <c r="AM158" i="7"/>
  <c r="AN158" i="7" s="1"/>
  <c r="AO158" i="7" s="1"/>
  <c r="AM161" i="7"/>
  <c r="AN161" i="7" s="1"/>
  <c r="AO161" i="7" s="1"/>
  <c r="AJ161" i="7"/>
  <c r="AK161" i="7" s="1"/>
  <c r="AL161" i="7" s="1"/>
  <c r="AM152" i="7"/>
  <c r="AN152" i="7" s="1"/>
  <c r="AO152" i="7" s="1"/>
  <c r="AJ152" i="7"/>
  <c r="AK152" i="7" s="1"/>
  <c r="AL152" i="7" s="1"/>
  <c r="AM166" i="7"/>
  <c r="AN166" i="7" s="1"/>
  <c r="AO166" i="7" s="1"/>
  <c r="AJ166" i="7"/>
  <c r="AK166" i="7" s="1"/>
  <c r="AL166" i="7" s="1"/>
  <c r="AM143" i="7"/>
  <c r="AN143" i="7" s="1"/>
  <c r="AO143" i="7" s="1"/>
  <c r="AJ143" i="7"/>
  <c r="AK143" i="7" s="1"/>
  <c r="AL143" i="7" s="1"/>
  <c r="AM147" i="7"/>
  <c r="AN147" i="7" s="1"/>
  <c r="AO147" i="7" s="1"/>
  <c r="AJ147" i="7"/>
  <c r="AK147" i="7" s="1"/>
  <c r="AL147" i="7" s="1"/>
  <c r="AJ146" i="7"/>
  <c r="AK146" i="7" s="1"/>
  <c r="AL146" i="7" s="1"/>
  <c r="AM146" i="7"/>
  <c r="AN146" i="7" s="1"/>
  <c r="AO146" i="7" s="1"/>
  <c r="AM151" i="7"/>
  <c r="AN151" i="7" s="1"/>
  <c r="AO151" i="7" s="1"/>
  <c r="AJ151" i="7"/>
  <c r="AK151" i="7" s="1"/>
  <c r="AL151" i="7" s="1"/>
  <c r="AM153" i="7"/>
  <c r="AN153" i="7" s="1"/>
  <c r="AO153" i="7" s="1"/>
  <c r="AJ153" i="7"/>
  <c r="AK153" i="7" s="1"/>
  <c r="AL153" i="7" s="1"/>
  <c r="AM163" i="7"/>
  <c r="AN163" i="7" s="1"/>
  <c r="AJ163" i="7"/>
  <c r="AK163" i="7" s="1"/>
  <c r="AL163" i="7" s="1"/>
  <c r="AM148" i="7"/>
  <c r="AN148" i="7" s="1"/>
  <c r="AO148" i="7" s="1"/>
  <c r="AJ148" i="7"/>
  <c r="AK148" i="7" s="1"/>
  <c r="AL148" i="7" s="1"/>
  <c r="AM155" i="7"/>
  <c r="AN155" i="7" s="1"/>
  <c r="AO155" i="7" s="1"/>
  <c r="AJ155" i="7"/>
  <c r="AK155" i="7" s="1"/>
  <c r="AL155" i="7" s="1"/>
  <c r="AM157" i="7"/>
  <c r="AN157" i="7" s="1"/>
  <c r="AO157" i="7" s="1"/>
  <c r="AJ157" i="7"/>
  <c r="AK157" i="7" s="1"/>
  <c r="AL157" i="7" s="1"/>
  <c r="AM144" i="7"/>
  <c r="AN144" i="7" s="1"/>
  <c r="AO144" i="7" s="1"/>
  <c r="AJ144" i="7"/>
  <c r="AK144" i="7" s="1"/>
  <c r="AL144" i="7" s="1"/>
  <c r="AM145" i="7"/>
  <c r="AN145" i="7" s="1"/>
  <c r="AO145" i="7" s="1"/>
  <c r="AJ145" i="7"/>
  <c r="AK145" i="7" s="1"/>
  <c r="AL145" i="7" s="1"/>
  <c r="AM149" i="7"/>
  <c r="AN149" i="7" s="1"/>
  <c r="AO149" i="7" s="1"/>
  <c r="AJ149" i="7"/>
  <c r="AK149" i="7" s="1"/>
  <c r="AL149" i="7" s="1"/>
  <c r="AM165" i="7"/>
  <c r="AN165" i="7" s="1"/>
  <c r="AO165" i="7" s="1"/>
  <c r="AJ165" i="7"/>
  <c r="AK165" i="7" s="1"/>
  <c r="AL165" i="7" s="1"/>
  <c r="AM164" i="7"/>
  <c r="AN164" i="7" s="1"/>
  <c r="AO164" i="7" s="1"/>
  <c r="AJ164" i="7"/>
  <c r="AK164" i="7" s="1"/>
  <c r="AL164" i="7" s="1"/>
  <c r="AI164" i="7"/>
  <c r="AI163" i="7"/>
  <c r="AI165" i="7"/>
  <c r="AI166" i="7"/>
  <c r="AH159" i="3"/>
  <c r="AL159" i="3"/>
  <c r="AM159" i="3" s="1"/>
  <c r="AN159" i="3" s="1"/>
  <c r="AI159" i="3"/>
  <c r="AJ159" i="3" s="1"/>
  <c r="AK159" i="3" s="1"/>
  <c r="AL155" i="3"/>
  <c r="AM155" i="3" s="1"/>
  <c r="AN155" i="3" s="1"/>
  <c r="AI155" i="3"/>
  <c r="AJ155" i="3" s="1"/>
  <c r="AK155" i="3" s="1"/>
  <c r="AI154" i="3"/>
  <c r="AJ154" i="3" s="1"/>
  <c r="AK154" i="3" s="1"/>
  <c r="AL154" i="3"/>
  <c r="AM154" i="3" s="1"/>
  <c r="AN154" i="3" s="1"/>
  <c r="AL160" i="3"/>
  <c r="AM160" i="3" s="1"/>
  <c r="AN160" i="3" s="1"/>
  <c r="AI160" i="3"/>
  <c r="AJ160" i="3" s="1"/>
  <c r="AK160" i="3" s="1"/>
  <c r="AH157" i="3"/>
  <c r="AL157" i="3"/>
  <c r="AM157" i="3" s="1"/>
  <c r="AN157" i="3" s="1"/>
  <c r="AI157" i="3"/>
  <c r="AJ157" i="3" s="1"/>
  <c r="AK157" i="3" s="1"/>
  <c r="AL161" i="3"/>
  <c r="AM161" i="3" s="1"/>
  <c r="AI161" i="3"/>
  <c r="AJ161" i="3" s="1"/>
  <c r="AH150" i="3"/>
  <c r="AI150" i="3"/>
  <c r="AJ150" i="3" s="1"/>
  <c r="AK150" i="3" s="1"/>
  <c r="AL150" i="3"/>
  <c r="AM150" i="3" s="1"/>
  <c r="AN150" i="3" s="1"/>
  <c r="AH153" i="3"/>
  <c r="AI153" i="3"/>
  <c r="AJ153" i="3" s="1"/>
  <c r="AK153" i="3" s="1"/>
  <c r="AL153" i="3"/>
  <c r="AM153" i="3" s="1"/>
  <c r="AN153" i="3" s="1"/>
  <c r="AL152" i="3"/>
  <c r="AM152" i="3" s="1"/>
  <c r="AN152" i="3" s="1"/>
  <c r="AI152" i="3"/>
  <c r="AJ152" i="3" s="1"/>
  <c r="AK152" i="3" s="1"/>
  <c r="AL158" i="3"/>
  <c r="AM158" i="3" s="1"/>
  <c r="AN158" i="3" s="1"/>
  <c r="AI158" i="3"/>
  <c r="AJ158" i="3" s="1"/>
  <c r="AK158" i="3" s="1"/>
  <c r="AL156" i="3"/>
  <c r="AM156" i="3" s="1"/>
  <c r="AN156" i="3" s="1"/>
  <c r="AI156" i="3"/>
  <c r="AJ156" i="3" s="1"/>
  <c r="AK156" i="3" s="1"/>
  <c r="AL151" i="3"/>
  <c r="AM151" i="3" s="1"/>
  <c r="AI151" i="3"/>
  <c r="AJ151" i="3" s="1"/>
  <c r="AK151" i="3" s="1"/>
  <c r="AC142" i="2"/>
  <c r="AD142" i="2" s="1"/>
  <c r="Z142" i="2"/>
  <c r="AA142" i="2" s="1"/>
  <c r="AB142" i="2" s="1"/>
  <c r="AC153" i="2"/>
  <c r="AD153" i="2" s="1"/>
  <c r="AE153" i="2" s="1"/>
  <c r="Z153" i="2"/>
  <c r="AA153" i="2" s="1"/>
  <c r="AB153" i="2" s="1"/>
  <c r="AC148" i="2"/>
  <c r="AD148" i="2" s="1"/>
  <c r="AE148" i="2" s="1"/>
  <c r="Z148" i="2"/>
  <c r="AA148" i="2" s="1"/>
  <c r="AB148" i="2" s="1"/>
  <c r="AC146" i="2"/>
  <c r="AD146" i="2" s="1"/>
  <c r="AE146" i="2" s="1"/>
  <c r="Z146" i="2"/>
  <c r="AA146" i="2" s="1"/>
  <c r="AC152" i="2"/>
  <c r="AD152" i="2" s="1"/>
  <c r="AE152" i="2" s="1"/>
  <c r="Z152" i="2"/>
  <c r="AA152" i="2" s="1"/>
  <c r="AB152" i="2" s="1"/>
  <c r="AC150" i="2"/>
  <c r="AD150" i="2" s="1"/>
  <c r="AE150" i="2" s="1"/>
  <c r="Z150" i="2"/>
  <c r="AA150" i="2" s="1"/>
  <c r="AB150" i="2" s="1"/>
  <c r="AC144" i="2"/>
  <c r="AD144" i="2" s="1"/>
  <c r="AE144" i="2" s="1"/>
  <c r="Z144" i="2"/>
  <c r="AA144" i="2" s="1"/>
  <c r="AB144" i="2" s="1"/>
  <c r="AC147" i="2"/>
  <c r="AD147" i="2" s="1"/>
  <c r="AE147" i="2" s="1"/>
  <c r="Z147" i="2"/>
  <c r="AA147" i="2" s="1"/>
  <c r="AB147" i="2" s="1"/>
  <c r="AC143" i="2"/>
  <c r="AD143" i="2" s="1"/>
  <c r="AE143" i="2" s="1"/>
  <c r="Z143" i="2"/>
  <c r="AA143" i="2" s="1"/>
  <c r="AB143" i="2" s="1"/>
  <c r="AC149" i="2"/>
  <c r="AD149" i="2" s="1"/>
  <c r="AE149" i="2" s="1"/>
  <c r="Z149" i="2"/>
  <c r="AA149" i="2" s="1"/>
  <c r="AB149" i="2" s="1"/>
  <c r="AC145" i="2"/>
  <c r="AD145" i="2" s="1"/>
  <c r="AE145" i="2" s="1"/>
  <c r="Z145" i="2"/>
  <c r="AA145" i="2" s="1"/>
  <c r="AB145" i="2" s="1"/>
  <c r="AC151" i="2"/>
  <c r="AD151" i="2" s="1"/>
  <c r="AE151" i="2" s="1"/>
  <c r="Z151" i="2"/>
  <c r="AA151" i="2" s="1"/>
  <c r="AB151" i="2" s="1"/>
  <c r="DH77" i="1"/>
  <c r="Z170" i="1"/>
  <c r="AA170" i="1" s="1"/>
  <c r="AB170" i="1" s="1"/>
  <c r="AC170" i="1"/>
  <c r="AD170" i="1" s="1"/>
  <c r="AE170" i="1" s="1"/>
  <c r="Z155" i="1"/>
  <c r="AA155" i="1" s="1"/>
  <c r="AB155" i="1" s="1"/>
  <c r="AG155" i="1" s="1"/>
  <c r="Z171" i="1"/>
  <c r="AA171" i="1" s="1"/>
  <c r="AB171" i="1" s="1"/>
  <c r="AC171" i="1"/>
  <c r="AD171" i="1" s="1"/>
  <c r="AE171" i="1" s="1"/>
  <c r="AC173" i="1"/>
  <c r="AD173" i="1" s="1"/>
  <c r="AE173" i="1" s="1"/>
  <c r="Z173" i="1"/>
  <c r="AA173" i="1" s="1"/>
  <c r="AB173" i="1" s="1"/>
  <c r="Z172" i="1"/>
  <c r="AA172" i="1" s="1"/>
  <c r="AB172" i="1" s="1"/>
  <c r="AC172" i="1"/>
  <c r="AD172" i="1" s="1"/>
  <c r="AE172" i="1" s="1"/>
  <c r="Z150" i="1"/>
  <c r="AA150" i="1" s="1"/>
  <c r="AB150" i="1" s="1"/>
  <c r="AC150" i="1"/>
  <c r="AD150" i="1" s="1"/>
  <c r="AE150" i="1" s="1"/>
  <c r="AC151" i="1"/>
  <c r="AD151" i="1" s="1"/>
  <c r="AE151" i="1" s="1"/>
  <c r="Z151" i="1"/>
  <c r="AA151" i="1" s="1"/>
  <c r="AB151" i="1" s="1"/>
  <c r="Z165" i="1"/>
  <c r="AA165" i="1" s="1"/>
  <c r="AB165" i="1" s="1"/>
  <c r="AC165" i="1"/>
  <c r="AD165" i="1" s="1"/>
  <c r="AE165" i="1" s="1"/>
  <c r="AC163" i="1"/>
  <c r="AD163" i="1" s="1"/>
  <c r="AE163" i="1" s="1"/>
  <c r="Z163" i="1"/>
  <c r="AA163" i="1" s="1"/>
  <c r="AB163" i="1" s="1"/>
  <c r="AC159" i="1"/>
  <c r="AD159" i="1" s="1"/>
  <c r="AE159" i="1" s="1"/>
  <c r="Z159" i="1"/>
  <c r="AA159" i="1" s="1"/>
  <c r="AB159" i="1" s="1"/>
  <c r="Z169" i="1"/>
  <c r="AA169" i="1" s="1"/>
  <c r="AB169" i="1" s="1"/>
  <c r="AC169" i="1"/>
  <c r="AD169" i="1" s="1"/>
  <c r="AE169" i="1" s="1"/>
  <c r="Z164" i="1"/>
  <c r="AA164" i="1" s="1"/>
  <c r="AB164" i="1" s="1"/>
  <c r="AC164" i="1"/>
  <c r="AD164" i="1" s="1"/>
  <c r="AE164" i="1" s="1"/>
  <c r="Z168" i="1"/>
  <c r="AA168" i="1" s="1"/>
  <c r="AB168" i="1" s="1"/>
  <c r="AC168" i="1"/>
  <c r="AD168" i="1" s="1"/>
  <c r="AE168" i="1" s="1"/>
  <c r="Z157" i="1"/>
  <c r="AA157" i="1" s="1"/>
  <c r="AB157" i="1" s="1"/>
  <c r="AC157" i="1"/>
  <c r="AD157" i="1" s="1"/>
  <c r="AE157" i="1" s="1"/>
  <c r="Z160" i="1"/>
  <c r="AA160" i="1" s="1"/>
  <c r="AB160" i="1" s="1"/>
  <c r="AC160" i="1"/>
  <c r="AD160" i="1" s="1"/>
  <c r="AE160" i="1" s="1"/>
  <c r="AC158" i="1"/>
  <c r="AD158" i="1" s="1"/>
  <c r="AE158" i="1" s="1"/>
  <c r="Z158" i="1"/>
  <c r="AA158" i="1" s="1"/>
  <c r="AB158" i="1" s="1"/>
  <c r="AC166" i="1"/>
  <c r="AD166" i="1" s="1"/>
  <c r="AE166" i="1" s="1"/>
  <c r="Z166" i="1"/>
  <c r="AA166" i="1" s="1"/>
  <c r="AB166" i="1" s="1"/>
  <c r="AC162" i="1"/>
  <c r="AD162" i="1" s="1"/>
  <c r="AE162" i="1" s="1"/>
  <c r="Z162" i="1"/>
  <c r="AA162" i="1" s="1"/>
  <c r="AB162" i="1" s="1"/>
  <c r="Z152" i="1"/>
  <c r="AA152" i="1" s="1"/>
  <c r="AB152" i="1" s="1"/>
  <c r="AC152" i="1"/>
  <c r="AD152" i="1" s="1"/>
  <c r="AE152" i="1" s="1"/>
  <c r="Z156" i="1"/>
  <c r="AA156" i="1" s="1"/>
  <c r="AB156" i="1" s="1"/>
  <c r="AC156" i="1"/>
  <c r="AD156" i="1" s="1"/>
  <c r="AE156" i="1" s="1"/>
  <c r="Z154" i="1"/>
  <c r="AA154" i="1" s="1"/>
  <c r="AB154" i="1" s="1"/>
  <c r="AC154" i="1"/>
  <c r="AD154" i="1" s="1"/>
  <c r="AE154" i="1" s="1"/>
  <c r="AC167" i="1"/>
  <c r="AD167" i="1" s="1"/>
  <c r="AE167" i="1" s="1"/>
  <c r="Z167" i="1"/>
  <c r="AA167" i="1" s="1"/>
  <c r="AB167" i="1" s="1"/>
  <c r="Z153" i="1"/>
  <c r="AA153" i="1" s="1"/>
  <c r="AB153" i="1" s="1"/>
  <c r="AC153" i="1"/>
  <c r="AD153" i="1" s="1"/>
  <c r="AE153" i="1" s="1"/>
  <c r="Z161" i="1"/>
  <c r="AA161" i="1" s="1"/>
  <c r="AB161" i="1" s="1"/>
  <c r="AC161" i="1"/>
  <c r="AD161" i="1" s="1"/>
  <c r="AE161" i="1" s="1"/>
  <c r="AH158" i="3"/>
  <c r="AI148" i="7"/>
  <c r="AI145" i="7"/>
  <c r="AI143" i="7"/>
  <c r="AI156" i="7"/>
  <c r="AI149" i="7"/>
  <c r="AH151" i="3"/>
  <c r="AI153" i="7"/>
  <c r="AI158" i="7"/>
  <c r="AI155" i="7"/>
  <c r="Q143" i="7"/>
  <c r="S143" i="7" s="1"/>
  <c r="T143" i="7" s="1"/>
  <c r="AI144" i="7"/>
  <c r="AI157" i="7"/>
  <c r="AI146" i="7"/>
  <c r="AI151" i="7"/>
  <c r="AI152" i="7"/>
  <c r="AI160" i="7"/>
  <c r="AI150" i="7"/>
  <c r="AI154" i="7"/>
  <c r="AI159" i="7"/>
  <c r="AI147" i="7"/>
  <c r="Q150" i="1"/>
  <c r="AH156" i="3"/>
  <c r="AH154" i="3"/>
  <c r="AH155" i="3"/>
  <c r="AH152" i="3"/>
  <c r="T150" i="3"/>
  <c r="S142" i="2"/>
  <c r="AI168" i="7" l="1"/>
  <c r="AM170" i="7" s="1"/>
  <c r="AN170" i="7" s="1"/>
  <c r="AO170" i="7" s="1"/>
  <c r="AO163" i="7"/>
  <c r="AS163" i="7" s="1"/>
  <c r="AS166" i="7"/>
  <c r="AS165" i="7"/>
  <c r="AS164" i="7"/>
  <c r="AN161" i="3"/>
  <c r="AK161" i="3"/>
  <c r="AN151" i="3"/>
  <c r="AR151" i="3" s="1"/>
  <c r="AE142" i="2"/>
  <c r="AG142" i="2" s="1"/>
  <c r="C8" i="2" s="1"/>
  <c r="AB146" i="2"/>
  <c r="AG146" i="2" s="1"/>
  <c r="AG172" i="1"/>
  <c r="AG171" i="1"/>
  <c r="AG173" i="1"/>
  <c r="AG170" i="1"/>
  <c r="S150" i="1"/>
  <c r="T150" i="1" s="1"/>
  <c r="AR158" i="3"/>
  <c r="AS153" i="7"/>
  <c r="AS158" i="7"/>
  <c r="AS161" i="7"/>
  <c r="AS155" i="7"/>
  <c r="AS162" i="7"/>
  <c r="AS146" i="7"/>
  <c r="AG166" i="1"/>
  <c r="AG151" i="1"/>
  <c r="AG161" i="1"/>
  <c r="AG159" i="1"/>
  <c r="AS149" i="7"/>
  <c r="AS148" i="7"/>
  <c r="AS145" i="7"/>
  <c r="AS152" i="7"/>
  <c r="AG163" i="1"/>
  <c r="AG160" i="1"/>
  <c r="AG165" i="1"/>
  <c r="AG158" i="1"/>
  <c r="AG154" i="1"/>
  <c r="AG152" i="1"/>
  <c r="AS159" i="7"/>
  <c r="AS154" i="7"/>
  <c r="AS156" i="7"/>
  <c r="AS151" i="7"/>
  <c r="V143" i="7"/>
  <c r="R144" i="7"/>
  <c r="S144" i="7" s="1"/>
  <c r="AS157" i="7"/>
  <c r="AS144" i="7"/>
  <c r="AS147" i="7"/>
  <c r="AS160" i="7"/>
  <c r="AS150" i="7"/>
  <c r="AS143" i="7"/>
  <c r="C8" i="7" s="1"/>
  <c r="AG169" i="1"/>
  <c r="AG168" i="1"/>
  <c r="AG167" i="1"/>
  <c r="AG157" i="1"/>
  <c r="AG150" i="1"/>
  <c r="AG162" i="1"/>
  <c r="AG153" i="1"/>
  <c r="AG156" i="1"/>
  <c r="AG164" i="1"/>
  <c r="AR150" i="3"/>
  <c r="C8" i="3" s="1"/>
  <c r="AR153" i="3"/>
  <c r="AR156" i="3"/>
  <c r="AG149" i="2"/>
  <c r="AG150" i="2"/>
  <c r="AG151" i="2"/>
  <c r="AG152" i="2"/>
  <c r="AH162" i="3"/>
  <c r="AR154" i="3"/>
  <c r="AR160" i="3"/>
  <c r="AR159" i="3"/>
  <c r="AR157" i="3"/>
  <c r="V150" i="3"/>
  <c r="AE150" i="3" s="1"/>
  <c r="R151" i="3"/>
  <c r="S151" i="3" s="1"/>
  <c r="AR152" i="3"/>
  <c r="AR155" i="3"/>
  <c r="AG145" i="2"/>
  <c r="AG147" i="2"/>
  <c r="V142" i="2"/>
  <c r="Q143" i="2"/>
  <c r="R143" i="2" s="1"/>
  <c r="AG144" i="2"/>
  <c r="AG153" i="2"/>
  <c r="AG143" i="2"/>
  <c r="AG148" i="2"/>
  <c r="AR161" i="3" l="1"/>
  <c r="V150" i="1"/>
  <c r="R151" i="1"/>
  <c r="S151" i="1" s="1"/>
  <c r="S152" i="1" s="1"/>
  <c r="C180" i="7"/>
  <c r="J180" i="7" s="1"/>
  <c r="P180" i="7" s="1"/>
  <c r="Q180" i="7" s="1"/>
  <c r="S180" i="7" s="1"/>
  <c r="AM173" i="7"/>
  <c r="AN173" i="7" s="1"/>
  <c r="AO173" i="7" s="1"/>
  <c r="AL165" i="3"/>
  <c r="AM165" i="3" s="1"/>
  <c r="AN165" i="3" s="1"/>
  <c r="AL168" i="3"/>
  <c r="AM168" i="3" s="1"/>
  <c r="AN168" i="3" s="1"/>
  <c r="C175" i="3"/>
  <c r="X150" i="3"/>
  <c r="Z150" i="3" s="1"/>
  <c r="T144" i="7"/>
  <c r="S145" i="7"/>
  <c r="X143" i="7"/>
  <c r="Z143" i="7" s="1"/>
  <c r="AE143" i="7"/>
  <c r="AT143" i="7"/>
  <c r="AS150" i="3"/>
  <c r="T151" i="3"/>
  <c r="S152" i="3"/>
  <c r="AH142" i="2"/>
  <c r="S143" i="2"/>
  <c r="R144" i="2"/>
  <c r="O185" i="7" l="1"/>
  <c r="P185" i="7" s="1"/>
  <c r="Q185" i="7" s="1"/>
  <c r="AG183" i="3"/>
  <c r="AG198" i="3"/>
  <c r="O198" i="3"/>
  <c r="P198" i="3" s="1"/>
  <c r="Q198" i="3" s="1"/>
  <c r="AG197" i="3"/>
  <c r="O197" i="3"/>
  <c r="P197" i="3" s="1"/>
  <c r="Q197" i="3" s="1"/>
  <c r="AG196" i="3"/>
  <c r="O196" i="3"/>
  <c r="P196" i="3" s="1"/>
  <c r="Q196" i="3" s="1"/>
  <c r="AG195" i="3"/>
  <c r="O195" i="3"/>
  <c r="P195" i="3" s="1"/>
  <c r="Q195" i="3" s="1"/>
  <c r="AH150" i="1"/>
  <c r="T151" i="1"/>
  <c r="R152" i="1" s="1"/>
  <c r="AH181" i="7"/>
  <c r="AH186" i="7"/>
  <c r="O187" i="7"/>
  <c r="P187" i="7" s="1"/>
  <c r="Q187" i="7" s="1"/>
  <c r="O184" i="7"/>
  <c r="P184" i="7" s="1"/>
  <c r="Q184" i="7" s="1"/>
  <c r="AH187" i="7"/>
  <c r="AH188" i="7"/>
  <c r="AH180" i="7"/>
  <c r="O191" i="7"/>
  <c r="P191" i="7" s="1"/>
  <c r="Q191" i="7" s="1"/>
  <c r="AH183" i="7"/>
  <c r="O188" i="7"/>
  <c r="P188" i="7" s="1"/>
  <c r="Q188" i="7" s="1"/>
  <c r="AH191" i="7"/>
  <c r="AI191" i="7" s="1"/>
  <c r="AP173" i="7"/>
  <c r="AH189" i="7"/>
  <c r="AH184" i="7"/>
  <c r="O190" i="7"/>
  <c r="P190" i="7" s="1"/>
  <c r="Q190" i="7" s="1"/>
  <c r="AH182" i="7"/>
  <c r="O181" i="7"/>
  <c r="P181" i="7" s="1"/>
  <c r="Q181" i="7" s="1"/>
  <c r="O183" i="7"/>
  <c r="P183" i="7" s="1"/>
  <c r="Q183" i="7" s="1"/>
  <c r="O182" i="7"/>
  <c r="P182" i="7" s="1"/>
  <c r="Q182" i="7" s="1"/>
  <c r="O186" i="7"/>
  <c r="P186" i="7" s="1"/>
  <c r="Q186" i="7" s="1"/>
  <c r="AH190" i="7"/>
  <c r="AI190" i="7" s="1"/>
  <c r="AH185" i="7"/>
  <c r="O189" i="7"/>
  <c r="P189" i="7" s="1"/>
  <c r="Q189" i="7" s="1"/>
  <c r="AO168" i="3"/>
  <c r="AG185" i="3"/>
  <c r="AG176" i="3"/>
  <c r="AG175" i="3"/>
  <c r="O186" i="3"/>
  <c r="P186" i="3" s="1"/>
  <c r="Q186" i="3" s="1"/>
  <c r="AG181" i="3"/>
  <c r="O177" i="3"/>
  <c r="P177" i="3" s="1"/>
  <c r="Q177" i="3" s="1"/>
  <c r="AG193" i="3"/>
  <c r="O183" i="3"/>
  <c r="P183" i="3" s="1"/>
  <c r="Q183" i="3" s="1"/>
  <c r="O185" i="3"/>
  <c r="P185" i="3" s="1"/>
  <c r="Q185" i="3" s="1"/>
  <c r="O178" i="3"/>
  <c r="P178" i="3" s="1"/>
  <c r="Q178" i="3" s="1"/>
  <c r="O189" i="3"/>
  <c r="P189" i="3" s="1"/>
  <c r="Q189" i="3" s="1"/>
  <c r="O182" i="3"/>
  <c r="P182" i="3" s="1"/>
  <c r="Q182" i="3" s="1"/>
  <c r="O193" i="3"/>
  <c r="P193" i="3" s="1"/>
  <c r="Q193" i="3" s="1"/>
  <c r="AG189" i="3"/>
  <c r="AG194" i="3"/>
  <c r="AG179" i="3"/>
  <c r="O187" i="3"/>
  <c r="P187" i="3" s="1"/>
  <c r="Q187" i="3" s="1"/>
  <c r="O194" i="3"/>
  <c r="P194" i="3" s="1"/>
  <c r="Q194" i="3" s="1"/>
  <c r="AG187" i="3"/>
  <c r="AG177" i="3"/>
  <c r="O176" i="3"/>
  <c r="P176" i="3" s="1"/>
  <c r="Q176" i="3" s="1"/>
  <c r="AG178" i="3"/>
  <c r="O180" i="3"/>
  <c r="P180" i="3" s="1"/>
  <c r="Q180" i="3" s="1"/>
  <c r="O191" i="3"/>
  <c r="P191" i="3" s="1"/>
  <c r="Q191" i="3" s="1"/>
  <c r="O188" i="3"/>
  <c r="P188" i="3" s="1"/>
  <c r="Q188" i="3" s="1"/>
  <c r="AG180" i="3"/>
  <c r="AG192" i="3"/>
  <c r="O192" i="3"/>
  <c r="P192" i="3" s="1"/>
  <c r="Q192" i="3" s="1"/>
  <c r="O175" i="3"/>
  <c r="P175" i="3" s="1"/>
  <c r="AG188" i="3"/>
  <c r="O179" i="3"/>
  <c r="P179" i="3" s="1"/>
  <c r="Q179" i="3" s="1"/>
  <c r="J175" i="3"/>
  <c r="K175" i="3" s="1"/>
  <c r="L175" i="3" s="1"/>
  <c r="M175" i="3" s="1"/>
  <c r="N175" i="3" s="1"/>
  <c r="O190" i="3"/>
  <c r="P190" i="3" s="1"/>
  <c r="Q190" i="3" s="1"/>
  <c r="AG191" i="3"/>
  <c r="AG182" i="3"/>
  <c r="AG190" i="3"/>
  <c r="AG184" i="3"/>
  <c r="O181" i="3"/>
  <c r="P181" i="3" s="1"/>
  <c r="Q181" i="3" s="1"/>
  <c r="AG186" i="3"/>
  <c r="O184" i="3"/>
  <c r="P184" i="3" s="1"/>
  <c r="Q184" i="3" s="1"/>
  <c r="S146" i="7"/>
  <c r="T145" i="7"/>
  <c r="R145" i="7"/>
  <c r="V144" i="7"/>
  <c r="T180" i="7"/>
  <c r="T152" i="1"/>
  <c r="S153" i="1"/>
  <c r="V151" i="3"/>
  <c r="AE151" i="3" s="1"/>
  <c r="R152" i="3"/>
  <c r="S153" i="3"/>
  <c r="T152" i="3"/>
  <c r="Q144" i="2"/>
  <c r="V143" i="2"/>
  <c r="R145" i="2"/>
  <c r="S144" i="2"/>
  <c r="AM190" i="7" l="1"/>
  <c r="AN190" i="7" s="1"/>
  <c r="AJ190" i="7"/>
  <c r="AK190" i="7" s="1"/>
  <c r="AI189" i="7"/>
  <c r="AM189" i="7"/>
  <c r="AN189" i="7" s="1"/>
  <c r="AO189" i="7" s="1"/>
  <c r="AJ189" i="7"/>
  <c r="AK189" i="7" s="1"/>
  <c r="AL189" i="7" s="1"/>
  <c r="AM183" i="7"/>
  <c r="AN183" i="7" s="1"/>
  <c r="AO183" i="7" s="1"/>
  <c r="AJ183" i="7"/>
  <c r="AK183" i="7" s="1"/>
  <c r="AI187" i="7"/>
  <c r="AM187" i="7"/>
  <c r="AN187" i="7" s="1"/>
  <c r="AO187" i="7" s="1"/>
  <c r="AJ187" i="7"/>
  <c r="AK187" i="7" s="1"/>
  <c r="AL187" i="7" s="1"/>
  <c r="AI181" i="7"/>
  <c r="AM181" i="7"/>
  <c r="AN181" i="7" s="1"/>
  <c r="AO181" i="7" s="1"/>
  <c r="AJ181" i="7"/>
  <c r="AK181" i="7" s="1"/>
  <c r="AL181" i="7" s="1"/>
  <c r="AI188" i="7"/>
  <c r="AM188" i="7"/>
  <c r="AN188" i="7" s="1"/>
  <c r="AO188" i="7" s="1"/>
  <c r="AJ188" i="7"/>
  <c r="AK188" i="7" s="1"/>
  <c r="AL188" i="7" s="1"/>
  <c r="AM182" i="7"/>
  <c r="AN182" i="7" s="1"/>
  <c r="AO182" i="7" s="1"/>
  <c r="AJ182" i="7"/>
  <c r="AK182" i="7" s="1"/>
  <c r="AM185" i="7"/>
  <c r="AN185" i="7" s="1"/>
  <c r="AO185" i="7" s="1"/>
  <c r="AJ185" i="7"/>
  <c r="AK185" i="7" s="1"/>
  <c r="AJ184" i="7"/>
  <c r="AK184" i="7" s="1"/>
  <c r="AM184" i="7"/>
  <c r="AN184" i="7" s="1"/>
  <c r="AO184" i="7" s="1"/>
  <c r="AM191" i="7"/>
  <c r="AN191" i="7" s="1"/>
  <c r="AJ191" i="7"/>
  <c r="AK191" i="7" s="1"/>
  <c r="AI180" i="7"/>
  <c r="AM180" i="7"/>
  <c r="AN180" i="7" s="1"/>
  <c r="AO180" i="7" s="1"/>
  <c r="AJ180" i="7"/>
  <c r="AK180" i="7" s="1"/>
  <c r="AL180" i="7" s="1"/>
  <c r="AI186" i="7"/>
  <c r="AM186" i="7"/>
  <c r="AN186" i="7" s="1"/>
  <c r="AO186" i="7" s="1"/>
  <c r="AJ186" i="7"/>
  <c r="AK186" i="7" s="1"/>
  <c r="AL186" i="7" s="1"/>
  <c r="AL195" i="3"/>
  <c r="AM195" i="3" s="1"/>
  <c r="AN195" i="3" s="1"/>
  <c r="AI195" i="3"/>
  <c r="AJ195" i="3" s="1"/>
  <c r="AK195" i="3" s="1"/>
  <c r="AL191" i="3"/>
  <c r="AM191" i="3" s="1"/>
  <c r="AN191" i="3" s="1"/>
  <c r="AI191" i="3"/>
  <c r="AJ191" i="3" s="1"/>
  <c r="AK191" i="3" s="1"/>
  <c r="AL188" i="3"/>
  <c r="AM188" i="3" s="1"/>
  <c r="AN188" i="3" s="1"/>
  <c r="AI188" i="3"/>
  <c r="AJ188" i="3" s="1"/>
  <c r="AK188" i="3" s="1"/>
  <c r="AL180" i="3"/>
  <c r="AM180" i="3" s="1"/>
  <c r="AN180" i="3" s="1"/>
  <c r="AI180" i="3"/>
  <c r="AJ180" i="3" s="1"/>
  <c r="AK180" i="3" s="1"/>
  <c r="AL178" i="3"/>
  <c r="AM178" i="3" s="1"/>
  <c r="AN178" i="3" s="1"/>
  <c r="AI178" i="3"/>
  <c r="AJ178" i="3" s="1"/>
  <c r="AK178" i="3" s="1"/>
  <c r="AL189" i="3"/>
  <c r="AM189" i="3" s="1"/>
  <c r="AN189" i="3" s="1"/>
  <c r="AI189" i="3"/>
  <c r="AJ189" i="3" s="1"/>
  <c r="AK189" i="3" s="1"/>
  <c r="AL176" i="3"/>
  <c r="AM176" i="3" s="1"/>
  <c r="AN176" i="3" s="1"/>
  <c r="AI176" i="3"/>
  <c r="AJ176" i="3" s="1"/>
  <c r="AK176" i="3" s="1"/>
  <c r="AL182" i="3"/>
  <c r="AM182" i="3" s="1"/>
  <c r="AN182" i="3" s="1"/>
  <c r="AI182" i="3"/>
  <c r="AJ182" i="3" s="1"/>
  <c r="AK182" i="3" s="1"/>
  <c r="AL192" i="3"/>
  <c r="AM192" i="3" s="1"/>
  <c r="AN192" i="3" s="1"/>
  <c r="AI192" i="3"/>
  <c r="AJ192" i="3" s="1"/>
  <c r="AK192" i="3" s="1"/>
  <c r="AL187" i="3"/>
  <c r="AM187" i="3" s="1"/>
  <c r="AN187" i="3" s="1"/>
  <c r="AI187" i="3"/>
  <c r="AJ187" i="3" s="1"/>
  <c r="AK187" i="3" s="1"/>
  <c r="AL194" i="3"/>
  <c r="AM194" i="3" s="1"/>
  <c r="AN194" i="3" s="1"/>
  <c r="AI194" i="3"/>
  <c r="AJ194" i="3" s="1"/>
  <c r="AK194" i="3" s="1"/>
  <c r="AL175" i="3"/>
  <c r="AM175" i="3" s="1"/>
  <c r="AN175" i="3" s="1"/>
  <c r="AI175" i="3"/>
  <c r="AJ175" i="3" s="1"/>
  <c r="AK175" i="3" s="1"/>
  <c r="AL197" i="3"/>
  <c r="AM197" i="3" s="1"/>
  <c r="AN197" i="3" s="1"/>
  <c r="AI197" i="3"/>
  <c r="AJ197" i="3" s="1"/>
  <c r="AK197" i="3" s="1"/>
  <c r="AL184" i="3"/>
  <c r="AM184" i="3" s="1"/>
  <c r="AN184" i="3" s="1"/>
  <c r="AI184" i="3"/>
  <c r="AJ184" i="3" s="1"/>
  <c r="AK184" i="3" s="1"/>
  <c r="AL181" i="3"/>
  <c r="AM181" i="3" s="1"/>
  <c r="AN181" i="3" s="1"/>
  <c r="AI181" i="3"/>
  <c r="AJ181" i="3" s="1"/>
  <c r="AK181" i="3" s="1"/>
  <c r="AL185" i="3"/>
  <c r="AM185" i="3" s="1"/>
  <c r="AN185" i="3" s="1"/>
  <c r="AI185" i="3"/>
  <c r="AJ185" i="3" s="1"/>
  <c r="AK185" i="3" s="1"/>
  <c r="AL196" i="3"/>
  <c r="AM196" i="3" s="1"/>
  <c r="AN196" i="3" s="1"/>
  <c r="AI196" i="3"/>
  <c r="AJ196" i="3" s="1"/>
  <c r="AK196" i="3" s="1"/>
  <c r="AL198" i="3"/>
  <c r="AM198" i="3" s="1"/>
  <c r="AN198" i="3" s="1"/>
  <c r="AI198" i="3"/>
  <c r="AJ198" i="3" s="1"/>
  <c r="AK198" i="3" s="1"/>
  <c r="AL186" i="3"/>
  <c r="AM186" i="3" s="1"/>
  <c r="AN186" i="3" s="1"/>
  <c r="AI186" i="3"/>
  <c r="AJ186" i="3" s="1"/>
  <c r="AK186" i="3" s="1"/>
  <c r="AL193" i="3"/>
  <c r="AM193" i="3" s="1"/>
  <c r="AN193" i="3" s="1"/>
  <c r="AI193" i="3"/>
  <c r="AJ193" i="3" s="1"/>
  <c r="AK193" i="3" s="1"/>
  <c r="AL190" i="3"/>
  <c r="AM190" i="3" s="1"/>
  <c r="AN190" i="3" s="1"/>
  <c r="AI190" i="3"/>
  <c r="AJ190" i="3" s="1"/>
  <c r="AK190" i="3" s="1"/>
  <c r="AL177" i="3"/>
  <c r="AM177" i="3" s="1"/>
  <c r="AN177" i="3" s="1"/>
  <c r="AI177" i="3"/>
  <c r="AJ177" i="3" s="1"/>
  <c r="AK177" i="3" s="1"/>
  <c r="AL179" i="3"/>
  <c r="AM179" i="3" s="1"/>
  <c r="AN179" i="3" s="1"/>
  <c r="AI179" i="3"/>
  <c r="AJ179" i="3" s="1"/>
  <c r="AK179" i="3" s="1"/>
  <c r="AL183" i="3"/>
  <c r="AM183" i="3" s="1"/>
  <c r="AN183" i="3" s="1"/>
  <c r="AI183" i="3"/>
  <c r="AJ183" i="3" s="1"/>
  <c r="AK183" i="3" s="1"/>
  <c r="V151" i="1"/>
  <c r="AI183" i="7"/>
  <c r="AI184" i="7"/>
  <c r="AI185" i="7"/>
  <c r="AI182" i="7"/>
  <c r="Q175" i="3"/>
  <c r="S175" i="3" s="1"/>
  <c r="T175" i="3" s="1"/>
  <c r="R176" i="3" s="1"/>
  <c r="S176" i="3" s="1"/>
  <c r="T176" i="3" s="1"/>
  <c r="AE144" i="7"/>
  <c r="AT144" i="7"/>
  <c r="R146" i="7"/>
  <c r="V145" i="7"/>
  <c r="S147" i="7"/>
  <c r="T146" i="7"/>
  <c r="R181" i="7"/>
  <c r="S181" i="7" s="1"/>
  <c r="V180" i="7"/>
  <c r="V152" i="1"/>
  <c r="R153" i="1"/>
  <c r="T153" i="1"/>
  <c r="S154" i="1"/>
  <c r="S154" i="3"/>
  <c r="T153" i="3"/>
  <c r="AS151" i="3"/>
  <c r="V152" i="3"/>
  <c r="AE152" i="3" s="1"/>
  <c r="R153" i="3"/>
  <c r="AH143" i="2"/>
  <c r="S145" i="2"/>
  <c r="R146" i="2"/>
  <c r="Q145" i="2"/>
  <c r="V144" i="2"/>
  <c r="AL183" i="7" l="1"/>
  <c r="AS183" i="7" s="1"/>
  <c r="AL191" i="7"/>
  <c r="AO191" i="7"/>
  <c r="AL182" i="7"/>
  <c r="AS182" i="7" s="1"/>
  <c r="AL184" i="7"/>
  <c r="AS184" i="7" s="1"/>
  <c r="AO190" i="7"/>
  <c r="AL185" i="7"/>
  <c r="AS185" i="7" s="1"/>
  <c r="AL190" i="7"/>
  <c r="AR198" i="3"/>
  <c r="AR196" i="3"/>
  <c r="AR197" i="3"/>
  <c r="AR195" i="3"/>
  <c r="AR183" i="3"/>
  <c r="AH151" i="1"/>
  <c r="AH152" i="1"/>
  <c r="AS181" i="7"/>
  <c r="AS186" i="7"/>
  <c r="AS187" i="7"/>
  <c r="AS180" i="7"/>
  <c r="AS188" i="7"/>
  <c r="AI192" i="7"/>
  <c r="AI194" i="7" s="1"/>
  <c r="AS189" i="7"/>
  <c r="AR185" i="3"/>
  <c r="AR175" i="3"/>
  <c r="AR178" i="3"/>
  <c r="AR184" i="3"/>
  <c r="AR193" i="3"/>
  <c r="AR190" i="3"/>
  <c r="AR189" i="3"/>
  <c r="AR182" i="3"/>
  <c r="AR188" i="3"/>
  <c r="AR191" i="3"/>
  <c r="AR176" i="3"/>
  <c r="AR192" i="3"/>
  <c r="AR179" i="3"/>
  <c r="AR194" i="3"/>
  <c r="AR180" i="3"/>
  <c r="AR187" i="3"/>
  <c r="AR181" i="3"/>
  <c r="AR177" i="3"/>
  <c r="AR186" i="3"/>
  <c r="S177" i="3"/>
  <c r="S178" i="3" s="1"/>
  <c r="V175" i="3"/>
  <c r="R147" i="7"/>
  <c r="V146" i="7"/>
  <c r="AT180" i="7"/>
  <c r="AE180" i="7"/>
  <c r="AE145" i="7"/>
  <c r="AT145" i="7"/>
  <c r="S148" i="7"/>
  <c r="T147" i="7"/>
  <c r="T181" i="7"/>
  <c r="S182" i="7"/>
  <c r="S155" i="1"/>
  <c r="T154" i="1"/>
  <c r="R154" i="1"/>
  <c r="V153" i="1"/>
  <c r="R177" i="3"/>
  <c r="V176" i="3"/>
  <c r="AS152" i="3"/>
  <c r="S155" i="3"/>
  <c r="T154" i="3"/>
  <c r="V153" i="3"/>
  <c r="AE153" i="3" s="1"/>
  <c r="R154" i="3"/>
  <c r="AH144" i="2"/>
  <c r="Q146" i="2"/>
  <c r="V145" i="2"/>
  <c r="S146" i="2"/>
  <c r="R147" i="2"/>
  <c r="AS191" i="7" l="1"/>
  <c r="AS190" i="7"/>
  <c r="AS176" i="3"/>
  <c r="AH153" i="1"/>
  <c r="X180" i="7"/>
  <c r="Z180" i="7" s="1"/>
  <c r="C204" i="7"/>
  <c r="AM198" i="7"/>
  <c r="AN198" i="7" s="1"/>
  <c r="AO198" i="7" s="1"/>
  <c r="AM195" i="7"/>
  <c r="AN195" i="7" s="1"/>
  <c r="AO195" i="7" s="1"/>
  <c r="AS175" i="3"/>
  <c r="T177" i="3"/>
  <c r="V177" i="3" s="1"/>
  <c r="R148" i="7"/>
  <c r="V147" i="7"/>
  <c r="AE146" i="7"/>
  <c r="AT146" i="7"/>
  <c r="S149" i="7"/>
  <c r="T148" i="7"/>
  <c r="T182" i="7"/>
  <c r="S183" i="7"/>
  <c r="R182" i="7"/>
  <c r="V181" i="7"/>
  <c r="R155" i="1"/>
  <c r="V154" i="1"/>
  <c r="AH154" i="1" s="1"/>
  <c r="T155" i="1"/>
  <c r="S156" i="1"/>
  <c r="S179" i="3"/>
  <c r="T178" i="3"/>
  <c r="AS153" i="3"/>
  <c r="R155" i="3"/>
  <c r="V154" i="3"/>
  <c r="AE154" i="3" s="1"/>
  <c r="S156" i="3"/>
  <c r="T155" i="3"/>
  <c r="V146" i="2"/>
  <c r="Q147" i="2"/>
  <c r="S147" i="2"/>
  <c r="R148" i="2"/>
  <c r="AH145" i="2"/>
  <c r="O205" i="7" l="1"/>
  <c r="P205" i="7" s="1"/>
  <c r="Q205" i="7" s="1"/>
  <c r="O225" i="7"/>
  <c r="P225" i="7" s="1"/>
  <c r="Q225" i="7" s="1"/>
  <c r="O227" i="7"/>
  <c r="P227" i="7" s="1"/>
  <c r="Q227" i="7" s="1"/>
  <c r="AH226" i="7"/>
  <c r="O226" i="7"/>
  <c r="P226" i="7" s="1"/>
  <c r="Q226" i="7" s="1"/>
  <c r="AH227" i="7"/>
  <c r="AH225" i="7"/>
  <c r="AH224" i="7"/>
  <c r="AS177" i="3"/>
  <c r="AH208" i="7"/>
  <c r="O214" i="7"/>
  <c r="P214" i="7" s="1"/>
  <c r="Q214" i="7" s="1"/>
  <c r="O216" i="7"/>
  <c r="P216" i="7" s="1"/>
  <c r="Q216" i="7" s="1"/>
  <c r="AH209" i="7"/>
  <c r="AH219" i="7"/>
  <c r="O204" i="7"/>
  <c r="P204" i="7" s="1"/>
  <c r="AH221" i="7"/>
  <c r="O207" i="7"/>
  <c r="P207" i="7" s="1"/>
  <c r="Q207" i="7" s="1"/>
  <c r="O218" i="7"/>
  <c r="P218" i="7" s="1"/>
  <c r="Q218" i="7" s="1"/>
  <c r="O210" i="7"/>
  <c r="P210" i="7" s="1"/>
  <c r="Q210" i="7" s="1"/>
  <c r="AH213" i="7"/>
  <c r="O212" i="7"/>
  <c r="P212" i="7" s="1"/>
  <c r="Q212" i="7" s="1"/>
  <c r="O217" i="7"/>
  <c r="P217" i="7" s="1"/>
  <c r="Q217" i="7" s="1"/>
  <c r="AH215" i="7"/>
  <c r="AH220" i="7"/>
  <c r="AH212" i="7"/>
  <c r="AH218" i="7"/>
  <c r="O219" i="7"/>
  <c r="P219" i="7" s="1"/>
  <c r="Q219" i="7" s="1"/>
  <c r="AH207" i="7"/>
  <c r="O208" i="7"/>
  <c r="P208" i="7" s="1"/>
  <c r="Q208" i="7" s="1"/>
  <c r="AH211" i="7"/>
  <c r="AH204" i="7"/>
  <c r="O213" i="7"/>
  <c r="P213" i="7" s="1"/>
  <c r="Q213" i="7" s="1"/>
  <c r="AH216" i="7"/>
  <c r="AH205" i="7"/>
  <c r="J204" i="7"/>
  <c r="K204" i="7" s="1"/>
  <c r="L204" i="7" s="1"/>
  <c r="M204" i="7" s="1"/>
  <c r="N204" i="7" s="1"/>
  <c r="O220" i="7"/>
  <c r="P220" i="7" s="1"/>
  <c r="Q220" i="7" s="1"/>
  <c r="AH214" i="7"/>
  <c r="O211" i="7"/>
  <c r="P211" i="7" s="1"/>
  <c r="Q211" i="7" s="1"/>
  <c r="AH223" i="7"/>
  <c r="O209" i="7"/>
  <c r="P209" i="7" s="1"/>
  <c r="Q209" i="7" s="1"/>
  <c r="AH217" i="7"/>
  <c r="O206" i="7"/>
  <c r="P206" i="7" s="1"/>
  <c r="Q206" i="7" s="1"/>
  <c r="AH210" i="7"/>
  <c r="AH222" i="7"/>
  <c r="AH206" i="7"/>
  <c r="O215" i="7"/>
  <c r="P215" i="7" s="1"/>
  <c r="Q215" i="7" s="1"/>
  <c r="O221" i="7"/>
  <c r="P221" i="7" s="1"/>
  <c r="Q221" i="7" s="1"/>
  <c r="O222" i="7"/>
  <c r="P222" i="7" s="1"/>
  <c r="Q222" i="7" s="1"/>
  <c r="O223" i="7"/>
  <c r="P223" i="7" s="1"/>
  <c r="Q223" i="7" s="1"/>
  <c r="AP198" i="7"/>
  <c r="R178" i="3"/>
  <c r="R149" i="7"/>
  <c r="V148" i="7"/>
  <c r="AE147" i="7"/>
  <c r="AT147" i="7"/>
  <c r="AT181" i="7"/>
  <c r="AE181" i="7"/>
  <c r="T149" i="7"/>
  <c r="S150" i="7"/>
  <c r="T183" i="7"/>
  <c r="S184" i="7"/>
  <c r="V182" i="7"/>
  <c r="R183" i="7"/>
  <c r="T156" i="1"/>
  <c r="S157" i="1"/>
  <c r="V155" i="1"/>
  <c r="R156" i="1"/>
  <c r="S180" i="3"/>
  <c r="T179" i="3"/>
  <c r="R179" i="3"/>
  <c r="V178" i="3"/>
  <c r="AS154" i="3"/>
  <c r="T156" i="3"/>
  <c r="S157" i="3"/>
  <c r="V155" i="3"/>
  <c r="AE155" i="3" s="1"/>
  <c r="R156" i="3"/>
  <c r="S148" i="2"/>
  <c r="R149" i="2"/>
  <c r="AH146" i="2"/>
  <c r="V147" i="2"/>
  <c r="Q148" i="2"/>
  <c r="Q204" i="7" l="1"/>
  <c r="S204" i="7" s="1"/>
  <c r="T204" i="7" s="1"/>
  <c r="R205" i="7" s="1"/>
  <c r="S205" i="7" s="1"/>
  <c r="T205" i="7" s="1"/>
  <c r="AM210" i="7"/>
  <c r="AN210" i="7" s="1"/>
  <c r="AO210" i="7" s="1"/>
  <c r="AJ210" i="7"/>
  <c r="AK210" i="7" s="1"/>
  <c r="AL210" i="7" s="1"/>
  <c r="AM205" i="7"/>
  <c r="AN205" i="7" s="1"/>
  <c r="AO205" i="7" s="1"/>
  <c r="AJ205" i="7"/>
  <c r="AK205" i="7" s="1"/>
  <c r="AM218" i="7"/>
  <c r="AN218" i="7" s="1"/>
  <c r="AO218" i="7" s="1"/>
  <c r="AJ218" i="7"/>
  <c r="AK218" i="7" s="1"/>
  <c r="AM219" i="7"/>
  <c r="AN219" i="7" s="1"/>
  <c r="AO219" i="7" s="1"/>
  <c r="AJ219" i="7"/>
  <c r="AK219" i="7" s="1"/>
  <c r="AL219" i="7" s="1"/>
  <c r="AM208" i="7"/>
  <c r="AN208" i="7" s="1"/>
  <c r="AO208" i="7" s="1"/>
  <c r="AJ208" i="7"/>
  <c r="AK208" i="7" s="1"/>
  <c r="AL208" i="7" s="1"/>
  <c r="AM226" i="7"/>
  <c r="AN226" i="7" s="1"/>
  <c r="AO226" i="7" s="1"/>
  <c r="AJ226" i="7"/>
  <c r="AK226" i="7" s="1"/>
  <c r="AL226" i="7" s="1"/>
  <c r="AM206" i="7"/>
  <c r="AN206" i="7" s="1"/>
  <c r="AJ206" i="7"/>
  <c r="AK206" i="7" s="1"/>
  <c r="AL206" i="7" s="1"/>
  <c r="AM217" i="7"/>
  <c r="AN217" i="7" s="1"/>
  <c r="AO217" i="7" s="1"/>
  <c r="AJ217" i="7"/>
  <c r="AK217" i="7" s="1"/>
  <c r="AM214" i="7"/>
  <c r="AN214" i="7" s="1"/>
  <c r="AO214" i="7" s="1"/>
  <c r="AJ214" i="7"/>
  <c r="AK214" i="7" s="1"/>
  <c r="AM216" i="7"/>
  <c r="AN216" i="7" s="1"/>
  <c r="AO216" i="7" s="1"/>
  <c r="AJ216" i="7"/>
  <c r="AK216" i="7" s="1"/>
  <c r="AL216" i="7" s="1"/>
  <c r="AJ212" i="7"/>
  <c r="AK212" i="7" s="1"/>
  <c r="AL212" i="7" s="1"/>
  <c r="AM212" i="7"/>
  <c r="AN212" i="7" s="1"/>
  <c r="AO212" i="7" s="1"/>
  <c r="AM209" i="7"/>
  <c r="AN209" i="7" s="1"/>
  <c r="AO209" i="7" s="1"/>
  <c r="AJ209" i="7"/>
  <c r="AK209" i="7" s="1"/>
  <c r="AL209" i="7" s="1"/>
  <c r="AM225" i="7"/>
  <c r="AN225" i="7" s="1"/>
  <c r="AO225" i="7" s="1"/>
  <c r="AJ225" i="7"/>
  <c r="AK225" i="7" s="1"/>
  <c r="AL225" i="7" s="1"/>
  <c r="AM223" i="7"/>
  <c r="AN223" i="7" s="1"/>
  <c r="AO223" i="7" s="1"/>
  <c r="AJ223" i="7"/>
  <c r="AK223" i="7" s="1"/>
  <c r="AL223" i="7" s="1"/>
  <c r="AM211" i="7"/>
  <c r="AN211" i="7" s="1"/>
  <c r="AO211" i="7" s="1"/>
  <c r="AJ211" i="7"/>
  <c r="AK211" i="7" s="1"/>
  <c r="AL211" i="7" s="1"/>
  <c r="AJ224" i="7"/>
  <c r="AK224" i="7" s="1"/>
  <c r="AL224" i="7" s="1"/>
  <c r="AM224" i="7"/>
  <c r="AN224" i="7" s="1"/>
  <c r="AO224" i="7" s="1"/>
  <c r="AM222" i="7"/>
  <c r="AN222" i="7" s="1"/>
  <c r="AJ222" i="7"/>
  <c r="AK222" i="7" s="1"/>
  <c r="AL222" i="7" s="1"/>
  <c r="AM207" i="7"/>
  <c r="AN207" i="7" s="1"/>
  <c r="AO207" i="7" s="1"/>
  <c r="AJ207" i="7"/>
  <c r="AK207" i="7" s="1"/>
  <c r="AL207" i="7" s="1"/>
  <c r="AM220" i="7"/>
  <c r="AN220" i="7" s="1"/>
  <c r="AO220" i="7" s="1"/>
  <c r="AJ220" i="7"/>
  <c r="AK220" i="7" s="1"/>
  <c r="AM213" i="7"/>
  <c r="AN213" i="7" s="1"/>
  <c r="AO213" i="7" s="1"/>
  <c r="AJ213" i="7"/>
  <c r="AK213" i="7" s="1"/>
  <c r="AM221" i="7"/>
  <c r="AN221" i="7" s="1"/>
  <c r="AO221" i="7" s="1"/>
  <c r="AJ221" i="7"/>
  <c r="AK221" i="7" s="1"/>
  <c r="AL221" i="7" s="1"/>
  <c r="AM227" i="7"/>
  <c r="AN227" i="7" s="1"/>
  <c r="AO227" i="7" s="1"/>
  <c r="AJ227" i="7"/>
  <c r="AK227" i="7" s="1"/>
  <c r="AL227" i="7" s="1"/>
  <c r="AM204" i="7"/>
  <c r="AN204" i="7" s="1"/>
  <c r="AO204" i="7" s="1"/>
  <c r="AJ204" i="7"/>
  <c r="AK204" i="7" s="1"/>
  <c r="AM215" i="7"/>
  <c r="AN215" i="7" s="1"/>
  <c r="AO215" i="7" s="1"/>
  <c r="AJ215" i="7"/>
  <c r="AK215" i="7" s="1"/>
  <c r="AL215" i="7" s="1"/>
  <c r="AS178" i="3"/>
  <c r="AH155" i="1"/>
  <c r="R150" i="7"/>
  <c r="V149" i="7"/>
  <c r="AE148" i="7"/>
  <c r="AT148" i="7"/>
  <c r="AT182" i="7"/>
  <c r="AE182" i="7"/>
  <c r="T150" i="7"/>
  <c r="S151" i="7"/>
  <c r="T184" i="7"/>
  <c r="S185" i="7"/>
  <c r="V183" i="7"/>
  <c r="R184" i="7"/>
  <c r="T157" i="1"/>
  <c r="S158" i="1"/>
  <c r="V156" i="1"/>
  <c r="R157" i="1"/>
  <c r="T180" i="3"/>
  <c r="S181" i="3"/>
  <c r="V179" i="3"/>
  <c r="AS179" i="3" s="1"/>
  <c r="R180" i="3"/>
  <c r="AS155" i="3"/>
  <c r="V156" i="3"/>
  <c r="R157" i="3"/>
  <c r="S158" i="3"/>
  <c r="T157" i="3"/>
  <c r="AH147" i="2"/>
  <c r="S149" i="2"/>
  <c r="R150" i="2"/>
  <c r="Q149" i="2"/>
  <c r="V148" i="2"/>
  <c r="S206" i="7" l="1"/>
  <c r="S207" i="7" s="1"/>
  <c r="V204" i="7"/>
  <c r="AT204" i="7" s="1"/>
  <c r="AS208" i="7"/>
  <c r="AS209" i="7"/>
  <c r="AS207" i="7"/>
  <c r="AO206" i="7"/>
  <c r="AS206" i="7" s="1"/>
  <c r="AL217" i="7"/>
  <c r="AS217" i="7" s="1"/>
  <c r="AO222" i="7"/>
  <c r="AS222" i="7" s="1"/>
  <c r="AL220" i="7"/>
  <c r="AS220" i="7" s="1"/>
  <c r="AL204" i="7"/>
  <c r="AS204" i="7" s="1"/>
  <c r="AL213" i="7"/>
  <c r="AS213" i="7" s="1"/>
  <c r="AL205" i="7"/>
  <c r="AS205" i="7" s="1"/>
  <c r="AL218" i="7"/>
  <c r="AS218" i="7" s="1"/>
  <c r="AL214" i="7"/>
  <c r="AS214" i="7" s="1"/>
  <c r="AS227" i="7"/>
  <c r="AS225" i="7"/>
  <c r="AS224" i="7"/>
  <c r="AS226" i="7"/>
  <c r="AH156" i="1"/>
  <c r="AS210" i="7"/>
  <c r="AS215" i="7"/>
  <c r="AS212" i="7"/>
  <c r="AS216" i="7"/>
  <c r="AS221" i="7"/>
  <c r="AS223" i="7"/>
  <c r="AS211" i="7"/>
  <c r="R158" i="3"/>
  <c r="V157" i="3"/>
  <c r="AS219" i="7"/>
  <c r="AE149" i="7"/>
  <c r="AT149" i="7"/>
  <c r="R151" i="7"/>
  <c r="V150" i="7"/>
  <c r="AE156" i="3"/>
  <c r="AT183" i="7"/>
  <c r="AE183" i="7"/>
  <c r="S152" i="7"/>
  <c r="T151" i="7"/>
  <c r="R206" i="7"/>
  <c r="V205" i="7"/>
  <c r="AT205" i="7" s="1"/>
  <c r="T185" i="7"/>
  <c r="S186" i="7"/>
  <c r="R185" i="7"/>
  <c r="V184" i="7"/>
  <c r="AE184" i="7" s="1"/>
  <c r="S159" i="1"/>
  <c r="T158" i="1"/>
  <c r="R158" i="1"/>
  <c r="V157" i="1"/>
  <c r="AH157" i="1" s="1"/>
  <c r="R181" i="3"/>
  <c r="V180" i="3"/>
  <c r="S182" i="3"/>
  <c r="T181" i="3"/>
  <c r="AS156" i="3"/>
  <c r="S159" i="3"/>
  <c r="T158" i="3"/>
  <c r="S150" i="2"/>
  <c r="R151" i="2"/>
  <c r="AH148" i="2"/>
  <c r="Q150" i="2"/>
  <c r="V149" i="2"/>
  <c r="T206" i="7" l="1"/>
  <c r="V206" i="7" s="1"/>
  <c r="AS180" i="3"/>
  <c r="AE157" i="3"/>
  <c r="AS157" i="3"/>
  <c r="R159" i="3"/>
  <c r="V158" i="3"/>
  <c r="R152" i="7"/>
  <c r="V151" i="7"/>
  <c r="AE150" i="7"/>
  <c r="AT150" i="7"/>
  <c r="T152" i="7"/>
  <c r="S153" i="7"/>
  <c r="T207" i="7"/>
  <c r="S208" i="7"/>
  <c r="AT184" i="7"/>
  <c r="V185" i="7"/>
  <c r="R186" i="7"/>
  <c r="S187" i="7"/>
  <c r="T186" i="7"/>
  <c r="V158" i="1"/>
  <c r="AH158" i="1" s="1"/>
  <c r="R159" i="1"/>
  <c r="T159" i="1"/>
  <c r="S160" i="1"/>
  <c r="T182" i="3"/>
  <c r="S183" i="3"/>
  <c r="V181" i="3"/>
  <c r="AS181" i="3" s="1"/>
  <c r="R182" i="3"/>
  <c r="T159" i="3"/>
  <c r="S160" i="3"/>
  <c r="R152" i="2"/>
  <c r="S151" i="2"/>
  <c r="AH149" i="2"/>
  <c r="Q151" i="2"/>
  <c r="V150" i="2"/>
  <c r="R207" i="7" l="1"/>
  <c r="AT206" i="7"/>
  <c r="R160" i="3"/>
  <c r="V159" i="3"/>
  <c r="AE158" i="3"/>
  <c r="AS158" i="3"/>
  <c r="R187" i="7"/>
  <c r="V186" i="7"/>
  <c r="R153" i="7"/>
  <c r="V152" i="7"/>
  <c r="AE151" i="7"/>
  <c r="AT151" i="7"/>
  <c r="AE185" i="7"/>
  <c r="T153" i="7"/>
  <c r="S154" i="7"/>
  <c r="S209" i="7"/>
  <c r="T208" i="7"/>
  <c r="V207" i="7"/>
  <c r="R208" i="7"/>
  <c r="AT185" i="7"/>
  <c r="S188" i="7"/>
  <c r="T187" i="7"/>
  <c r="T160" i="1"/>
  <c r="S161" i="1"/>
  <c r="R160" i="1"/>
  <c r="V159" i="1"/>
  <c r="AH159" i="1" s="1"/>
  <c r="R183" i="3"/>
  <c r="V182" i="3"/>
  <c r="AS182" i="3" s="1"/>
  <c r="S184" i="3"/>
  <c r="T183" i="3"/>
  <c r="T160" i="3"/>
  <c r="S161" i="3"/>
  <c r="T161" i="3" s="1"/>
  <c r="V161" i="3" s="1"/>
  <c r="V151" i="2"/>
  <c r="Q152" i="2"/>
  <c r="AH150" i="2"/>
  <c r="R153" i="2"/>
  <c r="S153" i="2" s="1"/>
  <c r="V153" i="2" s="1"/>
  <c r="S152" i="2"/>
  <c r="R161" i="3" l="1"/>
  <c r="V160" i="3"/>
  <c r="AF156" i="3" s="1"/>
  <c r="AU156" i="3" s="1"/>
  <c r="AE161" i="3"/>
  <c r="AF161" i="3"/>
  <c r="AS161" i="3"/>
  <c r="AE159" i="3"/>
  <c r="AS159" i="3"/>
  <c r="R188" i="7"/>
  <c r="V187" i="7"/>
  <c r="AE186" i="7"/>
  <c r="AT186" i="7"/>
  <c r="AE152" i="7"/>
  <c r="AT152" i="7"/>
  <c r="R154" i="7"/>
  <c r="V153" i="7"/>
  <c r="X153" i="2"/>
  <c r="AH153" i="2"/>
  <c r="Q153" i="2"/>
  <c r="V152" i="2"/>
  <c r="X150" i="2" s="1"/>
  <c r="AI150" i="2" s="1"/>
  <c r="AJ150" i="2" s="1"/>
  <c r="AL150" i="2" s="1"/>
  <c r="AN150" i="2" s="1"/>
  <c r="T154" i="7"/>
  <c r="S155" i="7"/>
  <c r="T209" i="7"/>
  <c r="S210" i="7"/>
  <c r="V208" i="7"/>
  <c r="R209" i="7"/>
  <c r="AT207" i="7"/>
  <c r="S189" i="7"/>
  <c r="T188" i="7"/>
  <c r="V160" i="1"/>
  <c r="AH160" i="1" s="1"/>
  <c r="R161" i="1"/>
  <c r="T161" i="1"/>
  <c r="S162" i="1"/>
  <c r="S185" i="3"/>
  <c r="T184" i="3"/>
  <c r="V183" i="3"/>
  <c r="AS183" i="3" s="1"/>
  <c r="R184" i="3"/>
  <c r="AH151" i="2"/>
  <c r="AF157" i="3" l="1"/>
  <c r="AU157" i="3" s="1"/>
  <c r="AF150" i="3"/>
  <c r="AU150" i="3" s="1"/>
  <c r="AF151" i="3"/>
  <c r="AU151" i="3" s="1"/>
  <c r="AF153" i="3"/>
  <c r="AU153" i="3" s="1"/>
  <c r="AF158" i="3"/>
  <c r="AU158" i="3" s="1"/>
  <c r="AF155" i="3"/>
  <c r="AU155" i="3" s="1"/>
  <c r="AF152" i="3"/>
  <c r="AU152" i="3" s="1"/>
  <c r="AF154" i="3"/>
  <c r="AU154" i="3" s="1"/>
  <c r="AU161" i="3"/>
  <c r="AE160" i="3"/>
  <c r="AD161" i="3" s="1"/>
  <c r="AC161" i="3" s="1"/>
  <c r="AF160" i="3"/>
  <c r="AS160" i="3"/>
  <c r="AF159" i="3"/>
  <c r="AU159" i="3" s="1"/>
  <c r="R189" i="7"/>
  <c r="V188" i="7"/>
  <c r="AE187" i="7"/>
  <c r="AT187" i="7"/>
  <c r="R210" i="7"/>
  <c r="V209" i="7"/>
  <c r="AE153" i="7"/>
  <c r="AT153" i="7"/>
  <c r="R155" i="7"/>
  <c r="V154" i="7"/>
  <c r="X144" i="2"/>
  <c r="AI144" i="2" s="1"/>
  <c r="AJ144" i="2" s="1"/>
  <c r="AL144" i="2" s="1"/>
  <c r="AN144" i="2" s="1"/>
  <c r="X145" i="2"/>
  <c r="AI145" i="2" s="1"/>
  <c r="AK145" i="2" s="1"/>
  <c r="AM145" i="2" s="1"/>
  <c r="U145" i="2" s="1"/>
  <c r="X151" i="2"/>
  <c r="AI151" i="2" s="1"/>
  <c r="X147" i="2"/>
  <c r="AI147" i="2" s="1"/>
  <c r="AK147" i="2" s="1"/>
  <c r="AM147" i="2" s="1"/>
  <c r="U147" i="2" s="1"/>
  <c r="X149" i="2"/>
  <c r="AI149" i="2" s="1"/>
  <c r="AJ149" i="2" s="1"/>
  <c r="AL149" i="2" s="1"/>
  <c r="AN149" i="2" s="1"/>
  <c r="X143" i="2"/>
  <c r="AI143" i="2" s="1"/>
  <c r="AK143" i="2" s="1"/>
  <c r="AM143" i="2" s="1"/>
  <c r="U143" i="2" s="1"/>
  <c r="X146" i="2"/>
  <c r="AI146" i="2" s="1"/>
  <c r="AJ146" i="2" s="1"/>
  <c r="AL146" i="2" s="1"/>
  <c r="AN146" i="2" s="1"/>
  <c r="X142" i="2"/>
  <c r="T136" i="2" s="1"/>
  <c r="AI153" i="2"/>
  <c r="X152" i="2"/>
  <c r="AH152" i="2"/>
  <c r="X148" i="2"/>
  <c r="AI148" i="2" s="1"/>
  <c r="S156" i="7"/>
  <c r="T155" i="7"/>
  <c r="S211" i="7"/>
  <c r="T210" i="7"/>
  <c r="AT208" i="7"/>
  <c r="T189" i="7"/>
  <c r="S190" i="7"/>
  <c r="S163" i="1"/>
  <c r="T162" i="1"/>
  <c r="V161" i="1"/>
  <c r="AH161" i="1" s="1"/>
  <c r="R162" i="1"/>
  <c r="AK150" i="2"/>
  <c r="AM150" i="2" s="1"/>
  <c r="U150" i="2" s="1"/>
  <c r="R185" i="3"/>
  <c r="V184" i="3"/>
  <c r="AS184" i="3" s="1"/>
  <c r="T185" i="3"/>
  <c r="S186" i="3"/>
  <c r="AD152" i="3" l="1"/>
  <c r="AC152" i="3" s="1"/>
  <c r="AD153" i="3"/>
  <c r="AC153" i="3" s="1"/>
  <c r="AD155" i="3"/>
  <c r="AC155" i="3" s="1"/>
  <c r="AD159" i="3"/>
  <c r="AC159" i="3" s="1"/>
  <c r="AD156" i="3"/>
  <c r="AC156" i="3" s="1"/>
  <c r="AD154" i="3"/>
  <c r="AC154" i="3" s="1"/>
  <c r="AD150" i="3"/>
  <c r="AC150" i="3" s="1"/>
  <c r="AD160" i="3"/>
  <c r="AC160" i="3" s="1"/>
  <c r="AD151" i="3"/>
  <c r="AC151" i="3" s="1"/>
  <c r="AD158" i="3"/>
  <c r="AC158" i="3" s="1"/>
  <c r="AU160" i="3"/>
  <c r="AD157" i="3"/>
  <c r="AC157" i="3" s="1"/>
  <c r="AI142" i="2"/>
  <c r="AK142" i="2" s="1"/>
  <c r="AM142" i="2" s="1"/>
  <c r="U142" i="2" s="1"/>
  <c r="C9" i="2"/>
  <c r="C5" i="2" s="1"/>
  <c r="AO143" i="2"/>
  <c r="AO145" i="2"/>
  <c r="AO150" i="2"/>
  <c r="AO147" i="2"/>
  <c r="AK146" i="2"/>
  <c r="AM146" i="2" s="1"/>
  <c r="U146" i="2" s="1"/>
  <c r="AJ143" i="2"/>
  <c r="AL143" i="2" s="1"/>
  <c r="AN143" i="2" s="1"/>
  <c r="AK144" i="2"/>
  <c r="AM144" i="2" s="1"/>
  <c r="U144" i="2" s="1"/>
  <c r="AJ145" i="2"/>
  <c r="AL145" i="2" s="1"/>
  <c r="AN145" i="2" s="1"/>
  <c r="AI152" i="2"/>
  <c r="AK152" i="2" s="1"/>
  <c r="AM152" i="2" s="1"/>
  <c r="U152" i="2" s="1"/>
  <c r="AE188" i="7"/>
  <c r="AT188" i="7"/>
  <c r="R190" i="7"/>
  <c r="V189" i="7"/>
  <c r="AE154" i="7"/>
  <c r="AT154" i="7"/>
  <c r="R156" i="7"/>
  <c r="V155" i="7"/>
  <c r="AT209" i="7"/>
  <c r="R211" i="7"/>
  <c r="V210" i="7"/>
  <c r="AJ147" i="2"/>
  <c r="AL147" i="2" s="1"/>
  <c r="AN147" i="2" s="1"/>
  <c r="AK149" i="2"/>
  <c r="AM149" i="2" s="1"/>
  <c r="U149" i="2" s="1"/>
  <c r="AJ148" i="2"/>
  <c r="AL148" i="2" s="1"/>
  <c r="AN148" i="2" s="1"/>
  <c r="AK148" i="2"/>
  <c r="AM148" i="2" s="1"/>
  <c r="U148" i="2" s="1"/>
  <c r="AJ153" i="2"/>
  <c r="AL153" i="2" s="1"/>
  <c r="AN153" i="2" s="1"/>
  <c r="AK153" i="2"/>
  <c r="AM153" i="2" s="1"/>
  <c r="U153" i="2" s="1"/>
  <c r="S157" i="7"/>
  <c r="T156" i="7"/>
  <c r="S212" i="7"/>
  <c r="T211" i="7"/>
  <c r="T190" i="7"/>
  <c r="S191" i="7"/>
  <c r="T191" i="7" s="1"/>
  <c r="V191" i="7" s="1"/>
  <c r="S164" i="1"/>
  <c r="T163" i="1"/>
  <c r="V162" i="1"/>
  <c r="AH162" i="1" s="1"/>
  <c r="R163" i="1"/>
  <c r="S187" i="3"/>
  <c r="T186" i="3"/>
  <c r="R186" i="3"/>
  <c r="V185" i="3"/>
  <c r="AS185" i="3" s="1"/>
  <c r="AK151" i="2"/>
  <c r="AM151" i="2" s="1"/>
  <c r="U151" i="2" s="1"/>
  <c r="AJ151" i="2"/>
  <c r="AL151" i="2" s="1"/>
  <c r="AN151" i="2" s="1"/>
  <c r="R191" i="7" l="1"/>
  <c r="V190" i="7"/>
  <c r="AF189" i="7" s="1"/>
  <c r="AE191" i="7"/>
  <c r="AF191" i="7"/>
  <c r="AT191" i="7"/>
  <c r="AC149" i="3"/>
  <c r="AA150" i="3" s="1"/>
  <c r="D3" i="2"/>
  <c r="C3" i="2"/>
  <c r="AJ142" i="2"/>
  <c r="AL142" i="2" s="1"/>
  <c r="AN142" i="2" s="1"/>
  <c r="AO152" i="2"/>
  <c r="AO153" i="2"/>
  <c r="AO149" i="2"/>
  <c r="AO146" i="2"/>
  <c r="AO151" i="2"/>
  <c r="AO148" i="2"/>
  <c r="AO142" i="2"/>
  <c r="AO144" i="2"/>
  <c r="R157" i="7"/>
  <c r="V156" i="7"/>
  <c r="D13" i="2"/>
  <c r="C13" i="2"/>
  <c r="AJ152" i="2"/>
  <c r="AL152" i="2" s="1"/>
  <c r="AN152" i="2" s="1"/>
  <c r="AE189" i="7"/>
  <c r="AT189" i="7"/>
  <c r="AE155" i="7"/>
  <c r="AT155" i="7"/>
  <c r="AT210" i="7"/>
  <c r="R212" i="7"/>
  <c r="V211" i="7"/>
  <c r="S158" i="7"/>
  <c r="T157" i="7"/>
  <c r="S213" i="7"/>
  <c r="T212" i="7"/>
  <c r="S165" i="1"/>
  <c r="T164" i="1"/>
  <c r="R164" i="1"/>
  <c r="V163" i="1"/>
  <c r="AH163" i="1" s="1"/>
  <c r="S188" i="3"/>
  <c r="T187" i="3"/>
  <c r="R187" i="3"/>
  <c r="V186" i="3"/>
  <c r="AS186" i="3" s="1"/>
  <c r="AF184" i="7" l="1"/>
  <c r="AF185" i="7"/>
  <c r="AF187" i="7"/>
  <c r="AF180" i="7"/>
  <c r="AF186" i="7"/>
  <c r="AF182" i="7"/>
  <c r="AF181" i="7"/>
  <c r="AF188" i="7"/>
  <c r="AF183" i="7"/>
  <c r="AE190" i="7"/>
  <c r="AD190" i="7" s="1"/>
  <c r="AC190" i="7" s="1"/>
  <c r="AF190" i="7"/>
  <c r="AT190" i="7"/>
  <c r="J54" i="2"/>
  <c r="L54" i="2"/>
  <c r="D5" i="2"/>
  <c r="BW165" i="2"/>
  <c r="BW166" i="2"/>
  <c r="BX166" i="2" s="1"/>
  <c r="BW167" i="2"/>
  <c r="BX167" i="2" s="1"/>
  <c r="BW168" i="2"/>
  <c r="BX168" i="2" s="1"/>
  <c r="BW169" i="2"/>
  <c r="BX169" i="2" s="1"/>
  <c r="BW170" i="2"/>
  <c r="BX170" i="2" s="1"/>
  <c r="BW171" i="2"/>
  <c r="BX171" i="2" s="1"/>
  <c r="BW172" i="2"/>
  <c r="BX172" i="2" s="1"/>
  <c r="BW173" i="2"/>
  <c r="BX173" i="2" s="1"/>
  <c r="BW174" i="2"/>
  <c r="BX174" i="2" s="1"/>
  <c r="BW175" i="2"/>
  <c r="BX175" i="2" s="1"/>
  <c r="BW176" i="2"/>
  <c r="BX176" i="2" s="1"/>
  <c r="BW177" i="2"/>
  <c r="BX177" i="2" s="1"/>
  <c r="BW178" i="2"/>
  <c r="BX178" i="2" s="1"/>
  <c r="BW179" i="2"/>
  <c r="BX179" i="2" s="1"/>
  <c r="BW180" i="2"/>
  <c r="BX180" i="2" s="1"/>
  <c r="BW181" i="2"/>
  <c r="BX181" i="2" s="1"/>
  <c r="BW182" i="2"/>
  <c r="BX182" i="2" s="1"/>
  <c r="BW183" i="2"/>
  <c r="BX183" i="2" s="1"/>
  <c r="BW184" i="2"/>
  <c r="BX184" i="2" s="1"/>
  <c r="BW185" i="2"/>
  <c r="BX185" i="2" s="1"/>
  <c r="BW186" i="2"/>
  <c r="BX186" i="2" s="1"/>
  <c r="BW187" i="2"/>
  <c r="BX187" i="2" s="1"/>
  <c r="BW188" i="2"/>
  <c r="BX188" i="2" s="1"/>
  <c r="BW189" i="2"/>
  <c r="BX189" i="2" s="1"/>
  <c r="BW190" i="2"/>
  <c r="BX190" i="2" s="1"/>
  <c r="BW191" i="2"/>
  <c r="BX191" i="2" s="1"/>
  <c r="BW192" i="2"/>
  <c r="BX192" i="2" s="1"/>
  <c r="BW193" i="2"/>
  <c r="BX193" i="2" s="1"/>
  <c r="BW194" i="2"/>
  <c r="BX194" i="2" s="1"/>
  <c r="BW195" i="2"/>
  <c r="BX195" i="2" s="1"/>
  <c r="BW196" i="2"/>
  <c r="BX196" i="2" s="1"/>
  <c r="BW197" i="2"/>
  <c r="BX197" i="2" s="1"/>
  <c r="BW198" i="2"/>
  <c r="BX198" i="2" s="1"/>
  <c r="BW199" i="2"/>
  <c r="BX199" i="2" s="1"/>
  <c r="BW200" i="2"/>
  <c r="BX200" i="2" s="1"/>
  <c r="BW201" i="2"/>
  <c r="BX201" i="2" s="1"/>
  <c r="BW202" i="2"/>
  <c r="BX202" i="2" s="1"/>
  <c r="BW203" i="2"/>
  <c r="BX203" i="2" s="1"/>
  <c r="BW204" i="2"/>
  <c r="BX204" i="2" s="1"/>
  <c r="BW205" i="2"/>
  <c r="AV45" i="2"/>
  <c r="AW45" i="2" s="1"/>
  <c r="AE156" i="7"/>
  <c r="AT156" i="7"/>
  <c r="R158" i="7"/>
  <c r="V157" i="7"/>
  <c r="CD22" i="2"/>
  <c r="BK19" i="2"/>
  <c r="CN19" i="2"/>
  <c r="L14" i="2" s="1"/>
  <c r="BK22" i="2"/>
  <c r="R213" i="7"/>
  <c r="V212" i="7"/>
  <c r="AT211" i="7"/>
  <c r="T158" i="7"/>
  <c r="S159" i="7"/>
  <c r="S214" i="7"/>
  <c r="T213" i="7"/>
  <c r="T165" i="1"/>
  <c r="S166" i="1"/>
  <c r="V164" i="1"/>
  <c r="AH164" i="1" s="1"/>
  <c r="R165" i="1"/>
  <c r="S189" i="3"/>
  <c r="T188" i="3"/>
  <c r="V187" i="3"/>
  <c r="AS187" i="3" s="1"/>
  <c r="R188" i="3"/>
  <c r="AD180" i="7" l="1"/>
  <c r="AC180" i="7" s="1"/>
  <c r="AD188" i="7"/>
  <c r="AC188" i="7" s="1"/>
  <c r="AD187" i="7"/>
  <c r="AC187" i="7" s="1"/>
  <c r="AD181" i="7"/>
  <c r="AC181" i="7" s="1"/>
  <c r="AD182" i="7"/>
  <c r="AC182" i="7" s="1"/>
  <c r="AD186" i="7"/>
  <c r="AC186" i="7" s="1"/>
  <c r="AD184" i="7"/>
  <c r="AC184" i="7" s="1"/>
  <c r="AD189" i="7"/>
  <c r="AC189" i="7" s="1"/>
  <c r="AD185" i="7"/>
  <c r="AC185" i="7" s="1"/>
  <c r="AD191" i="7"/>
  <c r="AC191" i="7" s="1"/>
  <c r="AD183" i="7"/>
  <c r="AC183" i="7" s="1"/>
  <c r="J12" i="2"/>
  <c r="J14" i="2"/>
  <c r="L12" i="2"/>
  <c r="K12" i="2"/>
  <c r="J13" i="2"/>
  <c r="CP108" i="2"/>
  <c r="D136" i="2" s="1"/>
  <c r="BX205" i="2"/>
  <c r="AU108" i="2"/>
  <c r="BX165" i="2"/>
  <c r="R159" i="7"/>
  <c r="V158" i="7"/>
  <c r="AV18" i="2"/>
  <c r="AW18" i="2" s="1"/>
  <c r="AV21" i="2"/>
  <c r="AW21" i="2" s="1"/>
  <c r="AX22" i="2"/>
  <c r="AV22" i="2" s="1"/>
  <c r="AW22" i="2" s="1"/>
  <c r="AE157" i="7"/>
  <c r="AT157" i="7"/>
  <c r="CD16" i="2"/>
  <c r="AZ16" i="2"/>
  <c r="J8" i="2" s="1"/>
  <c r="R214" i="7"/>
  <c r="V213" i="7"/>
  <c r="AT212" i="7"/>
  <c r="T159" i="7"/>
  <c r="S160" i="7"/>
  <c r="T214" i="7"/>
  <c r="S215" i="7"/>
  <c r="V165" i="1"/>
  <c r="AH165" i="1" s="1"/>
  <c r="R166" i="1"/>
  <c r="S167" i="1"/>
  <c r="T166" i="1"/>
  <c r="T189" i="3"/>
  <c r="S190" i="3"/>
  <c r="R189" i="3"/>
  <c r="V188" i="3"/>
  <c r="AS188" i="3" s="1"/>
  <c r="AC179" i="7" l="1"/>
  <c r="AA180" i="7" s="1"/>
  <c r="L6" i="2"/>
  <c r="L7" i="2" s="1"/>
  <c r="L8" i="2"/>
  <c r="D135" i="2"/>
  <c r="H23" i="2"/>
  <c r="H16" i="2"/>
  <c r="J6" i="2"/>
  <c r="K6" i="2"/>
  <c r="K13" i="2"/>
  <c r="L13" i="2"/>
  <c r="BY165" i="2"/>
  <c r="BZ165" i="2" s="1"/>
  <c r="AZ46" i="2" s="1"/>
  <c r="AZ47" i="2" s="1"/>
  <c r="AZ49" i="2" s="1"/>
  <c r="R160" i="7"/>
  <c r="V159" i="7"/>
  <c r="AE158" i="7"/>
  <c r="AT158" i="7"/>
  <c r="AV15" i="2"/>
  <c r="AW15" i="2" s="1"/>
  <c r="D133" i="2"/>
  <c r="D134" i="2"/>
  <c r="R215" i="7"/>
  <c r="V214" i="7"/>
  <c r="AT213" i="7"/>
  <c r="S161" i="7"/>
  <c r="T160" i="7"/>
  <c r="T215" i="7"/>
  <c r="S216" i="7"/>
  <c r="V166" i="1"/>
  <c r="AH166" i="1" s="1"/>
  <c r="R167" i="1"/>
  <c r="T167" i="1"/>
  <c r="S168" i="1"/>
  <c r="R190" i="3"/>
  <c r="V189" i="3"/>
  <c r="AS189" i="3" s="1"/>
  <c r="T190" i="3"/>
  <c r="S191" i="3"/>
  <c r="AX19" i="2" l="1"/>
  <c r="AV19" i="2" s="1"/>
  <c r="AW19" i="2" s="1"/>
  <c r="J36" i="2"/>
  <c r="J18" i="2"/>
  <c r="K18" i="2"/>
  <c r="K36" i="2"/>
  <c r="K7" i="2"/>
  <c r="L30" i="2"/>
  <c r="L24" i="2"/>
  <c r="K30" i="2"/>
  <c r="K24" i="2"/>
  <c r="J7" i="2"/>
  <c r="BY166" i="2"/>
  <c r="BZ166" i="2" s="1"/>
  <c r="BA46" i="2" s="1"/>
  <c r="R161" i="7"/>
  <c r="V160" i="7"/>
  <c r="AE159" i="7"/>
  <c r="AT159" i="7"/>
  <c r="AT214" i="7"/>
  <c r="R216" i="7"/>
  <c r="V215" i="7"/>
  <c r="S162" i="7"/>
  <c r="S163" i="7" s="1"/>
  <c r="T161" i="7"/>
  <c r="T216" i="7"/>
  <c r="S217" i="7"/>
  <c r="S169" i="1"/>
  <c r="S170" i="1" s="1"/>
  <c r="T168" i="1"/>
  <c r="V167" i="1"/>
  <c r="AH167" i="1" s="1"/>
  <c r="R168" i="1"/>
  <c r="R191" i="3"/>
  <c r="V190" i="3"/>
  <c r="AS190" i="3" s="1"/>
  <c r="S192" i="3"/>
  <c r="T191" i="3"/>
  <c r="AX16" i="2" l="1"/>
  <c r="AV16" i="2" s="1"/>
  <c r="AW16" i="2" s="1"/>
  <c r="BY167" i="2"/>
  <c r="BZ167" i="2" s="1"/>
  <c r="BB46" i="2" s="1"/>
  <c r="T163" i="7"/>
  <c r="S164" i="7"/>
  <c r="BB99" i="2"/>
  <c r="BB100" i="2" s="1"/>
  <c r="BB102" i="2" s="1"/>
  <c r="BA47" i="2"/>
  <c r="BA49" i="2" s="1"/>
  <c r="AZ99" i="2"/>
  <c r="T170" i="1"/>
  <c r="S171" i="1"/>
  <c r="R162" i="7"/>
  <c r="V161" i="7"/>
  <c r="AE160" i="7"/>
  <c r="AT160" i="7"/>
  <c r="R217" i="7"/>
  <c r="V216" i="7"/>
  <c r="AT215" i="7"/>
  <c r="T162" i="7"/>
  <c r="S218" i="7"/>
  <c r="T217" i="7"/>
  <c r="T169" i="1"/>
  <c r="R170" i="1" s="1"/>
  <c r="V168" i="1"/>
  <c r="R169" i="1"/>
  <c r="S193" i="3"/>
  <c r="T192" i="3"/>
  <c r="R192" i="3"/>
  <c r="V191" i="3"/>
  <c r="AS191" i="3" s="1"/>
  <c r="BY168" i="2" l="1"/>
  <c r="BY169" i="2" s="1"/>
  <c r="T164" i="7"/>
  <c r="S165" i="7"/>
  <c r="V162" i="7"/>
  <c r="R163" i="7"/>
  <c r="V163" i="7"/>
  <c r="R164" i="7"/>
  <c r="BB47" i="2"/>
  <c r="BB49" i="2" s="1"/>
  <c r="BD98" i="2"/>
  <c r="BD100" i="2" s="1"/>
  <c r="BD102" i="2" s="1"/>
  <c r="AZ98" i="2"/>
  <c r="R171" i="1"/>
  <c r="V170" i="1"/>
  <c r="AH170" i="1" s="1"/>
  <c r="T171" i="1"/>
  <c r="S172" i="1"/>
  <c r="AE161" i="7"/>
  <c r="AT161" i="7"/>
  <c r="AT216" i="7"/>
  <c r="R218" i="7"/>
  <c r="V217" i="7"/>
  <c r="T218" i="7"/>
  <c r="S219" i="7"/>
  <c r="AH168" i="1"/>
  <c r="V169" i="1"/>
  <c r="S194" i="3"/>
  <c r="S195" i="3" s="1"/>
  <c r="T193" i="3"/>
  <c r="V192" i="3"/>
  <c r="AS192" i="3" s="1"/>
  <c r="R193" i="3"/>
  <c r="BZ168" i="2" l="1"/>
  <c r="BC46" i="2" s="1"/>
  <c r="BC47" i="2" s="1"/>
  <c r="BC49" i="2" s="1"/>
  <c r="AE163" i="7"/>
  <c r="AE162" i="7"/>
  <c r="T139" i="7"/>
  <c r="AT162" i="7"/>
  <c r="S166" i="7"/>
  <c r="T166" i="7" s="1"/>
  <c r="V166" i="7" s="1"/>
  <c r="T165" i="7"/>
  <c r="AT163" i="7"/>
  <c r="R165" i="7"/>
  <c r="V164" i="7"/>
  <c r="S196" i="3"/>
  <c r="T195" i="3"/>
  <c r="BZ169" i="2"/>
  <c r="BD46" i="2" s="1"/>
  <c r="BY170" i="2"/>
  <c r="T172" i="1"/>
  <c r="S173" i="1"/>
  <c r="T173" i="1" s="1"/>
  <c r="V173" i="1" s="1"/>
  <c r="X173" i="1" s="1"/>
  <c r="R172" i="1"/>
  <c r="V171" i="1"/>
  <c r="R219" i="7"/>
  <c r="V218" i="7"/>
  <c r="AT217" i="7"/>
  <c r="S220" i="7"/>
  <c r="T219" i="7"/>
  <c r="AH169" i="1"/>
  <c r="T194" i="3"/>
  <c r="V193" i="3"/>
  <c r="R194" i="3"/>
  <c r="R196" i="3" l="1"/>
  <c r="V195" i="3"/>
  <c r="BF97" i="2"/>
  <c r="BF100" i="2" s="1"/>
  <c r="BF102" i="2" s="1"/>
  <c r="AZ97" i="2"/>
  <c r="AE164" i="7"/>
  <c r="AE166" i="7"/>
  <c r="AT164" i="7"/>
  <c r="AT166" i="7"/>
  <c r="AF166" i="7"/>
  <c r="R166" i="7"/>
  <c r="V165" i="7"/>
  <c r="AF145" i="7" s="1"/>
  <c r="V194" i="3"/>
  <c r="R195" i="3"/>
  <c r="S197" i="3"/>
  <c r="T196" i="3"/>
  <c r="BY171" i="2"/>
  <c r="BZ170" i="2"/>
  <c r="BE46" i="2" s="1"/>
  <c r="AZ96" i="2"/>
  <c r="BH96" i="2"/>
  <c r="BH100" i="2" s="1"/>
  <c r="BH102" i="2" s="1"/>
  <c r="BD47" i="2"/>
  <c r="BD49" i="2" s="1"/>
  <c r="R173" i="1"/>
  <c r="V172" i="1"/>
  <c r="AH171" i="1"/>
  <c r="AH173" i="1"/>
  <c r="R220" i="7"/>
  <c r="V219" i="7"/>
  <c r="AT218" i="7"/>
  <c r="T220" i="7"/>
  <c r="S221" i="7"/>
  <c r="AS193" i="3"/>
  <c r="R197" i="3" l="1"/>
  <c r="V196" i="3"/>
  <c r="AS195" i="3"/>
  <c r="X152" i="1"/>
  <c r="X172" i="1"/>
  <c r="X150" i="1"/>
  <c r="AF146" i="7"/>
  <c r="AF162" i="7"/>
  <c r="AF154" i="7"/>
  <c r="AF150" i="7"/>
  <c r="AF160" i="7"/>
  <c r="AF158" i="7"/>
  <c r="AF153" i="7"/>
  <c r="AF148" i="7"/>
  <c r="AF165" i="7"/>
  <c r="AE165" i="7"/>
  <c r="AD146" i="7" s="1"/>
  <c r="AC146" i="7" s="1"/>
  <c r="AF161" i="7"/>
  <c r="AF159" i="7"/>
  <c r="AF156" i="7"/>
  <c r="AF152" i="7"/>
  <c r="AF149" i="7"/>
  <c r="AF144" i="7"/>
  <c r="AF164" i="7"/>
  <c r="AF163" i="7"/>
  <c r="AF155" i="7"/>
  <c r="AF151" i="7"/>
  <c r="AF147" i="7"/>
  <c r="AF143" i="7"/>
  <c r="AF157" i="7"/>
  <c r="AT165" i="7"/>
  <c r="AS194" i="3"/>
  <c r="S198" i="3"/>
  <c r="T198" i="3" s="1"/>
  <c r="V198" i="3" s="1"/>
  <c r="T197" i="3"/>
  <c r="BJ95" i="2"/>
  <c r="BJ100" i="2" s="1"/>
  <c r="BJ102" i="2" s="1"/>
  <c r="BE47" i="2"/>
  <c r="BE49" i="2" s="1"/>
  <c r="AZ95" i="2"/>
  <c r="BZ171" i="2"/>
  <c r="BF46" i="2" s="1"/>
  <c r="BY172" i="2"/>
  <c r="X153" i="1"/>
  <c r="X171" i="1"/>
  <c r="AI171" i="1" s="1"/>
  <c r="X151" i="1"/>
  <c r="AI173" i="1"/>
  <c r="X170" i="1"/>
  <c r="AI170" i="1" s="1"/>
  <c r="AH172" i="1"/>
  <c r="G193" i="3"/>
  <c r="R221" i="7"/>
  <c r="V220" i="7"/>
  <c r="AT219" i="7"/>
  <c r="X168" i="1"/>
  <c r="AI168" i="1" s="1"/>
  <c r="T221" i="7"/>
  <c r="S222" i="7"/>
  <c r="AF198" i="3" l="1"/>
  <c r="AS198" i="3"/>
  <c r="AS196" i="3"/>
  <c r="R198" i="3"/>
  <c r="V197" i="3"/>
  <c r="AF196" i="3" s="1"/>
  <c r="AD166" i="7"/>
  <c r="AC166" i="7" s="1"/>
  <c r="AD152" i="7"/>
  <c r="AC152" i="7" s="1"/>
  <c r="AD145" i="7"/>
  <c r="AC145" i="7" s="1"/>
  <c r="AD151" i="7"/>
  <c r="AC151" i="7" s="1"/>
  <c r="AD156" i="7"/>
  <c r="AC156" i="7" s="1"/>
  <c r="AD162" i="7"/>
  <c r="AC162" i="7" s="1"/>
  <c r="AD165" i="7"/>
  <c r="AC165" i="7" s="1"/>
  <c r="AD150" i="7"/>
  <c r="AC150" i="7" s="1"/>
  <c r="AD163" i="7"/>
  <c r="AC163" i="7" s="1"/>
  <c r="AD147" i="7"/>
  <c r="AC147" i="7" s="1"/>
  <c r="AD143" i="7"/>
  <c r="AC143" i="7" s="1"/>
  <c r="AD157" i="7"/>
  <c r="AC157" i="7" s="1"/>
  <c r="AD160" i="7"/>
  <c r="AC160" i="7" s="1"/>
  <c r="AD158" i="7"/>
  <c r="AC158" i="7" s="1"/>
  <c r="AD153" i="7"/>
  <c r="AC153" i="7" s="1"/>
  <c r="AD161" i="7"/>
  <c r="AC161" i="7" s="1"/>
  <c r="AD155" i="7"/>
  <c r="AC155" i="7" s="1"/>
  <c r="AD149" i="7"/>
  <c r="AC149" i="7" s="1"/>
  <c r="AD154" i="7"/>
  <c r="AC154" i="7" s="1"/>
  <c r="AD164" i="7"/>
  <c r="AC164" i="7" s="1"/>
  <c r="AD159" i="7"/>
  <c r="AC159" i="7" s="1"/>
  <c r="AD148" i="7"/>
  <c r="AC148" i="7" s="1"/>
  <c r="AD144" i="7"/>
  <c r="AC144" i="7" s="1"/>
  <c r="AZ94" i="2"/>
  <c r="BF47" i="2"/>
  <c r="BF49" i="2" s="1"/>
  <c r="BL94" i="2"/>
  <c r="BY173" i="2"/>
  <c r="BZ172" i="2"/>
  <c r="BG46" i="2" s="1"/>
  <c r="AK171" i="1"/>
  <c r="AM171" i="1" s="1"/>
  <c r="F171" i="1" s="1"/>
  <c r="AJ171" i="1"/>
  <c r="AL171" i="1" s="1"/>
  <c r="AN171" i="1" s="1"/>
  <c r="AI172" i="1"/>
  <c r="AK170" i="1"/>
  <c r="AM170" i="1" s="1"/>
  <c r="F170" i="1" s="1"/>
  <c r="AJ170" i="1"/>
  <c r="AL170" i="1" s="1"/>
  <c r="AN170" i="1" s="1"/>
  <c r="AK173" i="1"/>
  <c r="AM173" i="1" s="1"/>
  <c r="F173" i="1" s="1"/>
  <c r="AJ173" i="1"/>
  <c r="AL173" i="1" s="1"/>
  <c r="AN173" i="1" s="1"/>
  <c r="AT220" i="7"/>
  <c r="R222" i="7"/>
  <c r="V221" i="7"/>
  <c r="G177" i="3"/>
  <c r="G194" i="3"/>
  <c r="X163" i="1"/>
  <c r="AI163" i="1" s="1"/>
  <c r="AK163" i="1" s="1"/>
  <c r="AM163" i="1" s="1"/>
  <c r="F163" i="1" s="1"/>
  <c r="X167" i="1"/>
  <c r="AI167" i="1" s="1"/>
  <c r="AJ167" i="1" s="1"/>
  <c r="AL167" i="1" s="1"/>
  <c r="AN167" i="1" s="1"/>
  <c r="X156" i="1"/>
  <c r="AI156" i="1" s="1"/>
  <c r="AJ156" i="1" s="1"/>
  <c r="AL156" i="1" s="1"/>
  <c r="AN156" i="1" s="1"/>
  <c r="X161" i="1"/>
  <c r="AI161" i="1" s="1"/>
  <c r="AK161" i="1" s="1"/>
  <c r="AM161" i="1" s="1"/>
  <c r="F161" i="1" s="1"/>
  <c r="X164" i="1"/>
  <c r="AI164" i="1" s="1"/>
  <c r="AK164" i="1" s="1"/>
  <c r="AM164" i="1" s="1"/>
  <c r="F164" i="1" s="1"/>
  <c r="AJ168" i="1"/>
  <c r="AL168" i="1" s="1"/>
  <c r="AN168" i="1" s="1"/>
  <c r="AK168" i="1"/>
  <c r="AM168" i="1" s="1"/>
  <c r="F168" i="1" s="1"/>
  <c r="X165" i="1"/>
  <c r="AI165" i="1" s="1"/>
  <c r="X157" i="1"/>
  <c r="AI157" i="1" s="1"/>
  <c r="X145" i="1"/>
  <c r="X166" i="1"/>
  <c r="AI166" i="1" s="1"/>
  <c r="X160" i="1"/>
  <c r="AI160" i="1" s="1"/>
  <c r="X159" i="1"/>
  <c r="AI159" i="1" s="1"/>
  <c r="X154" i="1"/>
  <c r="AI154" i="1" s="1"/>
  <c r="X155" i="1"/>
  <c r="AI155" i="1" s="1"/>
  <c r="X169" i="1"/>
  <c r="AI169" i="1" s="1"/>
  <c r="X162" i="1"/>
  <c r="AI162" i="1" s="1"/>
  <c r="AI152" i="1"/>
  <c r="AI153" i="1"/>
  <c r="X158" i="1"/>
  <c r="AI158" i="1" s="1"/>
  <c r="AI151" i="1"/>
  <c r="S223" i="7"/>
  <c r="S224" i="7" s="1"/>
  <c r="T222" i="7"/>
  <c r="G192" i="3"/>
  <c r="G179" i="3"/>
  <c r="G188" i="3"/>
  <c r="G183" i="3"/>
  <c r="G189" i="3"/>
  <c r="G184" i="3"/>
  <c r="G176" i="3"/>
  <c r="G185" i="3"/>
  <c r="G186" i="3"/>
  <c r="G191" i="3"/>
  <c r="G180" i="3"/>
  <c r="G178" i="3"/>
  <c r="G190" i="3"/>
  <c r="G187" i="3"/>
  <c r="G182" i="3"/>
  <c r="G181" i="3"/>
  <c r="AF197" i="3" l="1"/>
  <c r="AS197" i="3"/>
  <c r="AF190" i="3"/>
  <c r="AU190" i="3" s="1"/>
  <c r="AF181" i="3"/>
  <c r="AU181" i="3" s="1"/>
  <c r="AF183" i="3"/>
  <c r="AU183" i="3" s="1"/>
  <c r="AF191" i="3"/>
  <c r="AU191" i="3" s="1"/>
  <c r="AF180" i="3"/>
  <c r="AU180" i="3" s="1"/>
  <c r="AF187" i="3"/>
  <c r="AU187" i="3" s="1"/>
  <c r="AF175" i="3"/>
  <c r="AF176" i="3"/>
  <c r="AU176" i="3" s="1"/>
  <c r="AF184" i="3"/>
  <c r="AU184" i="3" s="1"/>
  <c r="AF192" i="3"/>
  <c r="AU192" i="3" s="1"/>
  <c r="AF185" i="3"/>
  <c r="AU185" i="3" s="1"/>
  <c r="T171" i="3"/>
  <c r="AF179" i="3"/>
  <c r="AU179" i="3" s="1"/>
  <c r="AF189" i="3"/>
  <c r="AU189" i="3" s="1"/>
  <c r="AF182" i="3"/>
  <c r="AU182" i="3" s="1"/>
  <c r="AF186" i="3"/>
  <c r="AU186" i="3" s="1"/>
  <c r="AF178" i="3"/>
  <c r="AU178" i="3" s="1"/>
  <c r="AF195" i="3"/>
  <c r="AU195" i="3" s="1"/>
  <c r="AF194" i="3"/>
  <c r="AU194" i="3" s="1"/>
  <c r="AW194" i="3" s="1"/>
  <c r="AY194" i="3" s="1"/>
  <c r="AB194" i="3" s="1"/>
  <c r="AF188" i="3"/>
  <c r="AU188" i="3" s="1"/>
  <c r="AF193" i="3"/>
  <c r="AU193" i="3" s="1"/>
  <c r="AF177" i="3"/>
  <c r="AU177" i="3" s="1"/>
  <c r="AU198" i="3"/>
  <c r="AU196" i="3"/>
  <c r="AC142" i="7"/>
  <c r="AA143" i="7" s="1"/>
  <c r="AG180" i="7" s="1"/>
  <c r="S225" i="7"/>
  <c r="T224" i="7"/>
  <c r="R223" i="7"/>
  <c r="V222" i="7"/>
  <c r="BZ173" i="2"/>
  <c r="BH46" i="2" s="1"/>
  <c r="BY174" i="2"/>
  <c r="BG47" i="2"/>
  <c r="BG49" i="2" s="1"/>
  <c r="BN93" i="2"/>
  <c r="BN100" i="2" s="1"/>
  <c r="BN102" i="2" s="1"/>
  <c r="AZ93" i="2"/>
  <c r="AO170" i="1"/>
  <c r="AK172" i="1"/>
  <c r="AM172" i="1" s="1"/>
  <c r="F172" i="1" s="1"/>
  <c r="AJ172" i="1"/>
  <c r="AL172" i="1" s="1"/>
  <c r="AN172" i="1" s="1"/>
  <c r="AO173" i="1"/>
  <c r="AO171" i="1"/>
  <c r="C15" i="1"/>
  <c r="C5" i="1" s="1"/>
  <c r="AT221" i="7"/>
  <c r="AK156" i="1"/>
  <c r="AM156" i="1" s="1"/>
  <c r="F156" i="1" s="1"/>
  <c r="AJ161" i="1"/>
  <c r="AL161" i="1" s="1"/>
  <c r="AN161" i="1" s="1"/>
  <c r="AK167" i="1"/>
  <c r="AM167" i="1" s="1"/>
  <c r="F167" i="1" s="1"/>
  <c r="AJ163" i="1"/>
  <c r="AL163" i="1" s="1"/>
  <c r="AN163" i="1" s="1"/>
  <c r="AJ164" i="1"/>
  <c r="AL164" i="1" s="1"/>
  <c r="AN164" i="1" s="1"/>
  <c r="AK152" i="1"/>
  <c r="AM152" i="1" s="1"/>
  <c r="F152" i="1" s="1"/>
  <c r="AJ152" i="1"/>
  <c r="AL152" i="1" s="1"/>
  <c r="AN152" i="1" s="1"/>
  <c r="G164" i="1"/>
  <c r="AO164" i="1"/>
  <c r="AK155" i="1"/>
  <c r="AM155" i="1" s="1"/>
  <c r="F155" i="1" s="1"/>
  <c r="AJ155" i="1"/>
  <c r="AL155" i="1" s="1"/>
  <c r="AN155" i="1" s="1"/>
  <c r="AI150" i="1"/>
  <c r="AO163" i="1"/>
  <c r="G163" i="1"/>
  <c r="AJ153" i="1"/>
  <c r="AL153" i="1" s="1"/>
  <c r="AN153" i="1" s="1"/>
  <c r="AK153" i="1"/>
  <c r="AM153" i="1" s="1"/>
  <c r="F153" i="1" s="1"/>
  <c r="AJ151" i="1"/>
  <c r="AL151" i="1" s="1"/>
  <c r="AN151" i="1" s="1"/>
  <c r="AK151" i="1"/>
  <c r="AM151" i="1" s="1"/>
  <c r="F151" i="1" s="1"/>
  <c r="AJ154" i="1"/>
  <c r="AL154" i="1" s="1"/>
  <c r="AN154" i="1" s="1"/>
  <c r="AK154" i="1"/>
  <c r="AM154" i="1" s="1"/>
  <c r="F154" i="1" s="1"/>
  <c r="G161" i="1"/>
  <c r="AO161" i="1"/>
  <c r="AJ157" i="1"/>
  <c r="AL157" i="1" s="1"/>
  <c r="AN157" i="1" s="1"/>
  <c r="AK157" i="1"/>
  <c r="AM157" i="1" s="1"/>
  <c r="F157" i="1" s="1"/>
  <c r="G168" i="1"/>
  <c r="AO168" i="1"/>
  <c r="AK169" i="1"/>
  <c r="AM169" i="1" s="1"/>
  <c r="F169" i="1" s="1"/>
  <c r="AJ169" i="1"/>
  <c r="AL169" i="1" s="1"/>
  <c r="AN169" i="1" s="1"/>
  <c r="AJ166" i="1"/>
  <c r="AL166" i="1" s="1"/>
  <c r="AN166" i="1" s="1"/>
  <c r="AK166" i="1"/>
  <c r="AM166" i="1" s="1"/>
  <c r="F166" i="1" s="1"/>
  <c r="AK158" i="1"/>
  <c r="AM158" i="1" s="1"/>
  <c r="F158" i="1" s="1"/>
  <c r="AJ158" i="1"/>
  <c r="AL158" i="1" s="1"/>
  <c r="AN158" i="1" s="1"/>
  <c r="AK162" i="1"/>
  <c r="AM162" i="1" s="1"/>
  <c r="F162" i="1" s="1"/>
  <c r="AJ162" i="1"/>
  <c r="AL162" i="1" s="1"/>
  <c r="AN162" i="1" s="1"/>
  <c r="AJ159" i="1"/>
  <c r="AL159" i="1" s="1"/>
  <c r="AN159" i="1" s="1"/>
  <c r="AK159" i="1"/>
  <c r="AM159" i="1" s="1"/>
  <c r="F159" i="1" s="1"/>
  <c r="AJ160" i="1"/>
  <c r="AL160" i="1" s="1"/>
  <c r="AN160" i="1" s="1"/>
  <c r="AK160" i="1"/>
  <c r="AM160" i="1" s="1"/>
  <c r="F160" i="1" s="1"/>
  <c r="AK165" i="1"/>
  <c r="AM165" i="1" s="1"/>
  <c r="F165" i="1" s="1"/>
  <c r="AJ165" i="1"/>
  <c r="AL165" i="1" s="1"/>
  <c r="AN165" i="1" s="1"/>
  <c r="T223" i="7"/>
  <c r="BA194" i="3" l="1"/>
  <c r="AV198" i="3"/>
  <c r="AX198" i="3" s="1"/>
  <c r="AZ198" i="3" s="1"/>
  <c r="AW198" i="3"/>
  <c r="AY198" i="3" s="1"/>
  <c r="AV177" i="3"/>
  <c r="AX177" i="3" s="1"/>
  <c r="AZ177" i="3" s="1"/>
  <c r="AW177" i="3"/>
  <c r="AY177" i="3" s="1"/>
  <c r="AW189" i="3"/>
  <c r="AY189" i="3" s="1"/>
  <c r="AV189" i="3"/>
  <c r="AX189" i="3" s="1"/>
  <c r="AZ189" i="3" s="1"/>
  <c r="AW181" i="3"/>
  <c r="AY181" i="3" s="1"/>
  <c r="AV181" i="3"/>
  <c r="AX181" i="3" s="1"/>
  <c r="AZ181" i="3" s="1"/>
  <c r="AV194" i="3"/>
  <c r="AX194" i="3" s="1"/>
  <c r="AZ194" i="3" s="1"/>
  <c r="AW193" i="3"/>
  <c r="AY193" i="3" s="1"/>
  <c r="AV193" i="3"/>
  <c r="AX193" i="3" s="1"/>
  <c r="AZ193" i="3" s="1"/>
  <c r="AV178" i="3"/>
  <c r="AX178" i="3" s="1"/>
  <c r="AZ178" i="3" s="1"/>
  <c r="AW178" i="3"/>
  <c r="AY178" i="3" s="1"/>
  <c r="AV179" i="3"/>
  <c r="AX179" i="3" s="1"/>
  <c r="AZ179" i="3" s="1"/>
  <c r="AW179" i="3"/>
  <c r="AY179" i="3" s="1"/>
  <c r="AW184" i="3"/>
  <c r="AY184" i="3" s="1"/>
  <c r="AV184" i="3"/>
  <c r="AX184" i="3" s="1"/>
  <c r="AZ184" i="3" s="1"/>
  <c r="AW180" i="3"/>
  <c r="AY180" i="3" s="1"/>
  <c r="AV180" i="3"/>
  <c r="AX180" i="3" s="1"/>
  <c r="AZ180" i="3" s="1"/>
  <c r="AV190" i="3"/>
  <c r="AX190" i="3" s="1"/>
  <c r="AZ190" i="3" s="1"/>
  <c r="AW190" i="3"/>
  <c r="AY190" i="3" s="1"/>
  <c r="AW195" i="3"/>
  <c r="AY195" i="3" s="1"/>
  <c r="AV195" i="3"/>
  <c r="AX195" i="3" s="1"/>
  <c r="AZ195" i="3" s="1"/>
  <c r="AV192" i="3"/>
  <c r="AX192" i="3" s="1"/>
  <c r="AZ192" i="3" s="1"/>
  <c r="AW192" i="3"/>
  <c r="AY192" i="3" s="1"/>
  <c r="AV187" i="3"/>
  <c r="AX187" i="3" s="1"/>
  <c r="AZ187" i="3" s="1"/>
  <c r="AW187" i="3"/>
  <c r="AY187" i="3" s="1"/>
  <c r="AV196" i="3"/>
  <c r="AX196" i="3" s="1"/>
  <c r="AZ196" i="3" s="1"/>
  <c r="AW196" i="3"/>
  <c r="AY196" i="3" s="1"/>
  <c r="AV188" i="3"/>
  <c r="AX188" i="3" s="1"/>
  <c r="AZ188" i="3" s="1"/>
  <c r="AW188" i="3"/>
  <c r="AY188" i="3" s="1"/>
  <c r="AW186" i="3"/>
  <c r="AY186" i="3" s="1"/>
  <c r="AV186" i="3"/>
  <c r="AX186" i="3" s="1"/>
  <c r="AZ186" i="3" s="1"/>
  <c r="AV176" i="3"/>
  <c r="AX176" i="3" s="1"/>
  <c r="AZ176" i="3" s="1"/>
  <c r="AW176" i="3"/>
  <c r="AY176" i="3" s="1"/>
  <c r="AV191" i="3"/>
  <c r="AX191" i="3" s="1"/>
  <c r="AZ191" i="3" s="1"/>
  <c r="AW191" i="3"/>
  <c r="AY191" i="3" s="1"/>
  <c r="AU197" i="3"/>
  <c r="AW182" i="3"/>
  <c r="AY182" i="3" s="1"/>
  <c r="AV182" i="3"/>
  <c r="AX182" i="3" s="1"/>
  <c r="AZ182" i="3" s="1"/>
  <c r="AV185" i="3"/>
  <c r="AX185" i="3" s="1"/>
  <c r="AZ185" i="3" s="1"/>
  <c r="AW185" i="3"/>
  <c r="AY185" i="3" s="1"/>
  <c r="AO159" i="3"/>
  <c r="AT159" i="3" s="1"/>
  <c r="AO154" i="3"/>
  <c r="AT154" i="3" s="1"/>
  <c r="AO152" i="3"/>
  <c r="AT152" i="3" s="1"/>
  <c r="AO156" i="3"/>
  <c r="AT156" i="3" s="1"/>
  <c r="AO157" i="3"/>
  <c r="AT157" i="3" s="1"/>
  <c r="AO151" i="3"/>
  <c r="AT151" i="3" s="1"/>
  <c r="AO153" i="3"/>
  <c r="AT153" i="3" s="1"/>
  <c r="AO161" i="3"/>
  <c r="AT161" i="3" s="1"/>
  <c r="AO160" i="3"/>
  <c r="AT160" i="3" s="1"/>
  <c r="AO150" i="3"/>
  <c r="AO146" i="3" s="1"/>
  <c r="AO158" i="3"/>
  <c r="AT158" i="3" s="1"/>
  <c r="AU175" i="3"/>
  <c r="AO155" i="3"/>
  <c r="AT155" i="3" s="1"/>
  <c r="AV183" i="3"/>
  <c r="AX183" i="3" s="1"/>
  <c r="AZ183" i="3" s="1"/>
  <c r="AW183" i="3"/>
  <c r="AY183" i="3" s="1"/>
  <c r="K37" i="2"/>
  <c r="L25" i="2"/>
  <c r="J49" i="2"/>
  <c r="J37" i="2"/>
  <c r="K19" i="2"/>
  <c r="J19" i="2"/>
  <c r="K31" i="2"/>
  <c r="L43" i="2"/>
  <c r="L55" i="2"/>
  <c r="L31" i="2"/>
  <c r="J55" i="2"/>
  <c r="K25" i="2"/>
  <c r="R224" i="7"/>
  <c r="V223" i="7"/>
  <c r="R225" i="7"/>
  <c r="V224" i="7"/>
  <c r="AT222" i="7"/>
  <c r="S226" i="7"/>
  <c r="T225" i="7"/>
  <c r="BY175" i="2"/>
  <c r="BZ174" i="2"/>
  <c r="BI46" i="2" s="1"/>
  <c r="BP92" i="2"/>
  <c r="BP100" i="2" s="1"/>
  <c r="BP102" i="2" s="1"/>
  <c r="BH47" i="2"/>
  <c r="BH49" i="2" s="1"/>
  <c r="AZ92" i="2"/>
  <c r="AO172" i="1"/>
  <c r="C3" i="1"/>
  <c r="G156" i="1"/>
  <c r="D3" i="1"/>
  <c r="G167" i="1"/>
  <c r="AO156" i="1"/>
  <c r="AO167" i="1"/>
  <c r="AO162" i="1"/>
  <c r="G162" i="1"/>
  <c r="AO157" i="1"/>
  <c r="G157" i="1"/>
  <c r="AK150" i="1"/>
  <c r="AM150" i="1" s="1"/>
  <c r="F150" i="1" s="1"/>
  <c r="AJ150" i="1"/>
  <c r="AL150" i="1" s="1"/>
  <c r="AN150" i="1" s="1"/>
  <c r="AO152" i="1"/>
  <c r="G152" i="1"/>
  <c r="G160" i="1"/>
  <c r="AO160" i="1"/>
  <c r="AO155" i="1"/>
  <c r="G155" i="1"/>
  <c r="AO159" i="1"/>
  <c r="G159" i="1"/>
  <c r="G154" i="1"/>
  <c r="AO154" i="1"/>
  <c r="D10" i="1"/>
  <c r="C10" i="1"/>
  <c r="AO166" i="1"/>
  <c r="G166" i="1"/>
  <c r="G153" i="1"/>
  <c r="AO153" i="1"/>
  <c r="G165" i="1"/>
  <c r="AO165" i="1"/>
  <c r="G158" i="1"/>
  <c r="AO158" i="1"/>
  <c r="AO169" i="1"/>
  <c r="G169" i="1"/>
  <c r="G151" i="1"/>
  <c r="AO151" i="1"/>
  <c r="C9" i="3" l="1"/>
  <c r="AT150" i="3"/>
  <c r="AV154" i="3"/>
  <c r="AX154" i="3" s="1"/>
  <c r="AZ154" i="3" s="1"/>
  <c r="AW154" i="3"/>
  <c r="AY154" i="3" s="1"/>
  <c r="BA154" i="3" s="1"/>
  <c r="AB186" i="3"/>
  <c r="BA186" i="3"/>
  <c r="AB177" i="3"/>
  <c r="BA177" i="3"/>
  <c r="AW155" i="3"/>
  <c r="AY155" i="3" s="1"/>
  <c r="BA155" i="3" s="1"/>
  <c r="AV155" i="3"/>
  <c r="AX155" i="3" s="1"/>
  <c r="AZ155" i="3" s="1"/>
  <c r="AW160" i="3"/>
  <c r="AY160" i="3" s="1"/>
  <c r="BA160" i="3" s="1"/>
  <c r="AV160" i="3"/>
  <c r="AX160" i="3" s="1"/>
  <c r="AZ160" i="3" s="1"/>
  <c r="AW157" i="3"/>
  <c r="AY157" i="3" s="1"/>
  <c r="BA157" i="3" s="1"/>
  <c r="AV157" i="3"/>
  <c r="AX157" i="3" s="1"/>
  <c r="AZ157" i="3" s="1"/>
  <c r="AV159" i="3"/>
  <c r="AX159" i="3" s="1"/>
  <c r="AZ159" i="3" s="1"/>
  <c r="AW159" i="3"/>
  <c r="AY159" i="3" s="1"/>
  <c r="BA159" i="3" s="1"/>
  <c r="AB182" i="3"/>
  <c r="BA182" i="3"/>
  <c r="AB176" i="3"/>
  <c r="BA176" i="3"/>
  <c r="AB188" i="3"/>
  <c r="BA188" i="3"/>
  <c r="AB187" i="3"/>
  <c r="BA187" i="3"/>
  <c r="AB179" i="3"/>
  <c r="BA179" i="3"/>
  <c r="AB181" i="3"/>
  <c r="BA181" i="3"/>
  <c r="AV151" i="3"/>
  <c r="AX151" i="3" s="1"/>
  <c r="AZ151" i="3" s="1"/>
  <c r="AW151" i="3"/>
  <c r="AY151" i="3" s="1"/>
  <c r="BA151" i="3" s="1"/>
  <c r="AB184" i="3"/>
  <c r="BA184" i="3"/>
  <c r="AV175" i="3"/>
  <c r="AX175" i="3" s="1"/>
  <c r="AZ175" i="3" s="1"/>
  <c r="AW175" i="3"/>
  <c r="AY175" i="3" s="1"/>
  <c r="AV161" i="3"/>
  <c r="AX161" i="3" s="1"/>
  <c r="AZ161" i="3" s="1"/>
  <c r="AW161" i="3"/>
  <c r="AY161" i="3" s="1"/>
  <c r="BA161" i="3" s="1"/>
  <c r="AW156" i="3"/>
  <c r="AY156" i="3" s="1"/>
  <c r="BA156" i="3" s="1"/>
  <c r="AV156" i="3"/>
  <c r="AX156" i="3" s="1"/>
  <c r="AZ156" i="3" s="1"/>
  <c r="AB185" i="3"/>
  <c r="BA185" i="3"/>
  <c r="AV197" i="3"/>
  <c r="AX197" i="3" s="1"/>
  <c r="AZ197" i="3" s="1"/>
  <c r="AW197" i="3"/>
  <c r="AY197" i="3" s="1"/>
  <c r="AB195" i="3"/>
  <c r="BA195" i="3"/>
  <c r="AB180" i="3"/>
  <c r="BA180" i="3"/>
  <c r="AB193" i="3"/>
  <c r="BA193" i="3"/>
  <c r="BA198" i="3"/>
  <c r="AB198" i="3"/>
  <c r="AB183" i="3"/>
  <c r="BA183" i="3"/>
  <c r="AV158" i="3"/>
  <c r="AX158" i="3" s="1"/>
  <c r="AZ158" i="3" s="1"/>
  <c r="AW158" i="3"/>
  <c r="AY158" i="3" s="1"/>
  <c r="BA158" i="3" s="1"/>
  <c r="AW153" i="3"/>
  <c r="AY153" i="3" s="1"/>
  <c r="BA153" i="3" s="1"/>
  <c r="AV153" i="3"/>
  <c r="AX153" i="3" s="1"/>
  <c r="AZ153" i="3" s="1"/>
  <c r="AW152" i="3"/>
  <c r="AY152" i="3" s="1"/>
  <c r="BA152" i="3" s="1"/>
  <c r="AV152" i="3"/>
  <c r="AX152" i="3" s="1"/>
  <c r="AZ152" i="3" s="1"/>
  <c r="AB191" i="3"/>
  <c r="BA191" i="3"/>
  <c r="AB196" i="3"/>
  <c r="BA196" i="3"/>
  <c r="AB192" i="3"/>
  <c r="BA192" i="3"/>
  <c r="AB190" i="3"/>
  <c r="BA190" i="3"/>
  <c r="AB178" i="3"/>
  <c r="BA178" i="3"/>
  <c r="AB189" i="3"/>
  <c r="BA189" i="3"/>
  <c r="K85" i="2"/>
  <c r="M126" i="2"/>
  <c r="J126" i="2"/>
  <c r="I126" i="2"/>
  <c r="M85" i="2"/>
  <c r="J54" i="1"/>
  <c r="L54" i="1"/>
  <c r="D5" i="1"/>
  <c r="CI51" i="1" s="1"/>
  <c r="T226" i="7"/>
  <c r="S227" i="7"/>
  <c r="T227" i="7" s="1"/>
  <c r="V227" i="7" s="1"/>
  <c r="AT224" i="7"/>
  <c r="AT223" i="7"/>
  <c r="R226" i="7"/>
  <c r="V225" i="7"/>
  <c r="AZ91" i="2"/>
  <c r="AZ100" i="2" s="1"/>
  <c r="AZ102" i="2" s="1"/>
  <c r="BI47" i="2"/>
  <c r="BI49" i="2" s="1"/>
  <c r="BR91" i="2"/>
  <c r="BR100" i="2" s="1"/>
  <c r="BR102" i="2" s="1"/>
  <c r="BZ175" i="2"/>
  <c r="BJ46" i="2" s="1"/>
  <c r="BY176" i="2"/>
  <c r="DI74" i="1"/>
  <c r="DJ74" i="1" s="1"/>
  <c r="DI75" i="1"/>
  <c r="DJ75" i="1" s="1"/>
  <c r="DI76" i="1"/>
  <c r="DJ76" i="1" s="1"/>
  <c r="DI77" i="1"/>
  <c r="DI37" i="1"/>
  <c r="DJ37" i="1" s="1"/>
  <c r="BQ57" i="1"/>
  <c r="DI71" i="1"/>
  <c r="DJ71" i="1" s="1"/>
  <c r="DI67" i="1"/>
  <c r="DJ67" i="1" s="1"/>
  <c r="DI63" i="1"/>
  <c r="DJ63" i="1" s="1"/>
  <c r="DI59" i="1"/>
  <c r="DJ59" i="1" s="1"/>
  <c r="DI55" i="1"/>
  <c r="DJ55" i="1" s="1"/>
  <c r="DI51" i="1"/>
  <c r="DJ51" i="1" s="1"/>
  <c r="DI47" i="1"/>
  <c r="DJ47" i="1" s="1"/>
  <c r="DI43" i="1"/>
  <c r="DJ43" i="1" s="1"/>
  <c r="DI39" i="1"/>
  <c r="DJ39" i="1" s="1"/>
  <c r="DI66" i="1"/>
  <c r="DJ66" i="1" s="1"/>
  <c r="DI62" i="1"/>
  <c r="DJ62" i="1" s="1"/>
  <c r="DI54" i="1"/>
  <c r="DJ54" i="1" s="1"/>
  <c r="DI46" i="1"/>
  <c r="DJ46" i="1" s="1"/>
  <c r="DI38" i="1"/>
  <c r="DJ38" i="1" s="1"/>
  <c r="DI48" i="1"/>
  <c r="DJ48" i="1" s="1"/>
  <c r="DI70" i="1"/>
  <c r="DJ70" i="1" s="1"/>
  <c r="DI58" i="1"/>
  <c r="DJ58" i="1" s="1"/>
  <c r="DI50" i="1"/>
  <c r="DJ50" i="1" s="1"/>
  <c r="DI42" i="1"/>
  <c r="DJ42" i="1" s="1"/>
  <c r="DI72" i="1"/>
  <c r="DJ72" i="1" s="1"/>
  <c r="DI64" i="1"/>
  <c r="DJ64" i="1" s="1"/>
  <c r="DI56" i="1"/>
  <c r="DJ56" i="1" s="1"/>
  <c r="DI40" i="1"/>
  <c r="DJ40" i="1" s="1"/>
  <c r="DI73" i="1"/>
  <c r="DI69" i="1"/>
  <c r="DJ69" i="1" s="1"/>
  <c r="DI65" i="1"/>
  <c r="DJ65" i="1" s="1"/>
  <c r="DI61" i="1"/>
  <c r="DJ61" i="1" s="1"/>
  <c r="DI57" i="1"/>
  <c r="DJ57" i="1" s="1"/>
  <c r="DI53" i="1"/>
  <c r="DJ53" i="1" s="1"/>
  <c r="DI49" i="1"/>
  <c r="DJ49" i="1" s="1"/>
  <c r="DI45" i="1"/>
  <c r="DJ45" i="1" s="1"/>
  <c r="DI41" i="1"/>
  <c r="DJ41" i="1" s="1"/>
  <c r="DI68" i="1"/>
  <c r="DJ68" i="1" s="1"/>
  <c r="DI60" i="1"/>
  <c r="DJ60" i="1" s="1"/>
  <c r="DI52" i="1"/>
  <c r="DJ52" i="1" s="1"/>
  <c r="DI44" i="1"/>
  <c r="DJ44" i="1" s="1"/>
  <c r="CI57" i="1"/>
  <c r="BQ54" i="1"/>
  <c r="CS54" i="1"/>
  <c r="L14" i="1" s="1"/>
  <c r="AO150" i="1"/>
  <c r="AB197" i="3" l="1"/>
  <c r="BA197" i="3"/>
  <c r="AB175" i="3"/>
  <c r="BA175" i="3"/>
  <c r="AV150" i="3"/>
  <c r="AX150" i="3" s="1"/>
  <c r="AZ150" i="3" s="1"/>
  <c r="AW150" i="3"/>
  <c r="AY150" i="3" s="1"/>
  <c r="BA150" i="3" s="1"/>
  <c r="D3" i="3"/>
  <c r="D22" i="3"/>
  <c r="C3" i="3"/>
  <c r="C5" i="3"/>
  <c r="C22" i="3"/>
  <c r="J12" i="1"/>
  <c r="J13" i="1" s="1"/>
  <c r="J14" i="1"/>
  <c r="L6" i="1"/>
  <c r="L7" i="1" s="1"/>
  <c r="L8" i="1"/>
  <c r="L12" i="1"/>
  <c r="K12" i="1"/>
  <c r="L55" i="1"/>
  <c r="J55" i="1"/>
  <c r="AT225" i="7"/>
  <c r="AF227" i="7"/>
  <c r="AT227" i="7"/>
  <c r="R227" i="7"/>
  <c r="V226" i="7"/>
  <c r="AF204" i="7" s="1"/>
  <c r="BA90" i="2"/>
  <c r="BS90" i="2"/>
  <c r="BJ47" i="2"/>
  <c r="BJ49" i="2" s="1"/>
  <c r="BZ176" i="2"/>
  <c r="BK46" i="2" s="1"/>
  <c r="BY177" i="2"/>
  <c r="DJ77" i="1"/>
  <c r="CV143" i="1"/>
  <c r="D146" i="1" s="1"/>
  <c r="BB53" i="1"/>
  <c r="BC53" i="1" s="1"/>
  <c r="BB56" i="1"/>
  <c r="BC56" i="1" s="1"/>
  <c r="BD57" i="1"/>
  <c r="BB57" i="1" s="1"/>
  <c r="BC57" i="1" s="1"/>
  <c r="BB80" i="1"/>
  <c r="BC80" i="1" s="1"/>
  <c r="DJ73" i="1"/>
  <c r="BA143" i="1"/>
  <c r="H23" i="1" s="1"/>
  <c r="BF51" i="1"/>
  <c r="J8" i="1" s="1"/>
  <c r="AF211" i="7" l="1"/>
  <c r="AV211" i="7" s="1"/>
  <c r="BK59" i="3"/>
  <c r="BL59" i="3" s="1"/>
  <c r="J54" i="3"/>
  <c r="J55" i="3" s="1"/>
  <c r="CM206" i="3"/>
  <c r="CN206" i="3" s="1"/>
  <c r="CM209" i="3"/>
  <c r="CN209" i="3" s="1"/>
  <c r="CM213" i="3"/>
  <c r="CN213" i="3" s="1"/>
  <c r="CM217" i="3"/>
  <c r="CN217" i="3" s="1"/>
  <c r="CM221" i="3"/>
  <c r="CN221" i="3" s="1"/>
  <c r="CM225" i="3"/>
  <c r="CN225" i="3" s="1"/>
  <c r="CM229" i="3"/>
  <c r="CN229" i="3" s="1"/>
  <c r="CM233" i="3"/>
  <c r="CN233" i="3" s="1"/>
  <c r="CM237" i="3"/>
  <c r="CN237" i="3" s="1"/>
  <c r="CM241" i="3"/>
  <c r="CN241" i="3" s="1"/>
  <c r="BZ36" i="3"/>
  <c r="BZ33" i="3"/>
  <c r="CM202" i="3"/>
  <c r="CM205" i="3"/>
  <c r="CN205" i="3" s="1"/>
  <c r="CM210" i="3"/>
  <c r="CN210" i="3" s="1"/>
  <c r="CM214" i="3"/>
  <c r="CN214" i="3" s="1"/>
  <c r="CM218" i="3"/>
  <c r="CN218" i="3" s="1"/>
  <c r="CM222" i="3"/>
  <c r="CN222" i="3" s="1"/>
  <c r="CM226" i="3"/>
  <c r="CN226" i="3" s="1"/>
  <c r="CM230" i="3"/>
  <c r="CN230" i="3" s="1"/>
  <c r="CM234" i="3"/>
  <c r="CN234" i="3" s="1"/>
  <c r="CM238" i="3"/>
  <c r="CN238" i="3" s="1"/>
  <c r="CM242" i="3"/>
  <c r="CM204" i="3"/>
  <c r="CN204" i="3" s="1"/>
  <c r="CM216" i="3"/>
  <c r="CN216" i="3" s="1"/>
  <c r="CM224" i="3"/>
  <c r="CN224" i="3" s="1"/>
  <c r="CM232" i="3"/>
  <c r="CN232" i="3" s="1"/>
  <c r="CM240" i="3"/>
  <c r="CN240" i="3" s="1"/>
  <c r="D5" i="3"/>
  <c r="CM203" i="3"/>
  <c r="CN203" i="3" s="1"/>
  <c r="CM207" i="3"/>
  <c r="CN207" i="3" s="1"/>
  <c r="CM211" i="3"/>
  <c r="CN211" i="3" s="1"/>
  <c r="CM215" i="3"/>
  <c r="CN215" i="3" s="1"/>
  <c r="CM219" i="3"/>
  <c r="CN219" i="3" s="1"/>
  <c r="CM223" i="3"/>
  <c r="CN223" i="3" s="1"/>
  <c r="CM227" i="3"/>
  <c r="CN227" i="3" s="1"/>
  <c r="CM231" i="3"/>
  <c r="CN231" i="3" s="1"/>
  <c r="CM235" i="3"/>
  <c r="CN235" i="3" s="1"/>
  <c r="CM239" i="3"/>
  <c r="CN239" i="3" s="1"/>
  <c r="DB33" i="3"/>
  <c r="L54" i="3"/>
  <c r="L55" i="3" s="1"/>
  <c r="CM208" i="3"/>
  <c r="CN208" i="3" s="1"/>
  <c r="CM212" i="3"/>
  <c r="CN212" i="3" s="1"/>
  <c r="CM220" i="3"/>
  <c r="CN220" i="3" s="1"/>
  <c r="CM228" i="3"/>
  <c r="CN228" i="3" s="1"/>
  <c r="CM236" i="3"/>
  <c r="CN236" i="3" s="1"/>
  <c r="CR36" i="3"/>
  <c r="M126" i="1"/>
  <c r="L30" i="1"/>
  <c r="L24" i="1"/>
  <c r="K30" i="1"/>
  <c r="K24" i="1"/>
  <c r="H16" i="1"/>
  <c r="K18" i="1" s="1"/>
  <c r="D145" i="1"/>
  <c r="K13" i="1"/>
  <c r="L13" i="1"/>
  <c r="BB50" i="1"/>
  <c r="BC50" i="1" s="1"/>
  <c r="K6" i="1"/>
  <c r="J6" i="1"/>
  <c r="AP187" i="7"/>
  <c r="AU187" i="7" s="1"/>
  <c r="AW187" i="7" s="1"/>
  <c r="AY187" i="7" s="1"/>
  <c r="BA187" i="7" s="1"/>
  <c r="AP183" i="7"/>
  <c r="AU183" i="7" s="1"/>
  <c r="AW183" i="7" s="1"/>
  <c r="AY183" i="7" s="1"/>
  <c r="BA183" i="7" s="1"/>
  <c r="AP181" i="7"/>
  <c r="AU181" i="7" s="1"/>
  <c r="AW181" i="7" s="1"/>
  <c r="AY181" i="7" s="1"/>
  <c r="BA181" i="7" s="1"/>
  <c r="AP190" i="7"/>
  <c r="AU190" i="7" s="1"/>
  <c r="AW190" i="7" s="1"/>
  <c r="AY190" i="7" s="1"/>
  <c r="BA190" i="7" s="1"/>
  <c r="AV204" i="7"/>
  <c r="AW204" i="7" s="1"/>
  <c r="AY204" i="7" s="1"/>
  <c r="BA204" i="7" s="1"/>
  <c r="AP191" i="7"/>
  <c r="AU191" i="7" s="1"/>
  <c r="AW191" i="7" s="1"/>
  <c r="AY191" i="7" s="1"/>
  <c r="BA191" i="7" s="1"/>
  <c r="AP188" i="7"/>
  <c r="AU188" i="7" s="1"/>
  <c r="AX188" i="7" s="1"/>
  <c r="AZ188" i="7" s="1"/>
  <c r="BB188" i="7" s="1"/>
  <c r="AP185" i="7"/>
  <c r="AU185" i="7" s="1"/>
  <c r="AW185" i="7" s="1"/>
  <c r="AY185" i="7" s="1"/>
  <c r="BA185" i="7" s="1"/>
  <c r="AP184" i="7"/>
  <c r="AU184" i="7" s="1"/>
  <c r="AW184" i="7" s="1"/>
  <c r="AY184" i="7" s="1"/>
  <c r="BA184" i="7" s="1"/>
  <c r="AP186" i="7"/>
  <c r="AU186" i="7" s="1"/>
  <c r="AW186" i="7" s="1"/>
  <c r="AY186" i="7" s="1"/>
  <c r="BA186" i="7" s="1"/>
  <c r="AG204" i="7"/>
  <c r="AP164" i="7" s="1"/>
  <c r="AU164" i="7" s="1"/>
  <c r="AP189" i="7"/>
  <c r="AU189" i="7" s="1"/>
  <c r="AX189" i="7" s="1"/>
  <c r="AZ189" i="7" s="1"/>
  <c r="BB189" i="7" s="1"/>
  <c r="AP180" i="7"/>
  <c r="AT198" i="7" s="1"/>
  <c r="AP182" i="7"/>
  <c r="AU182" i="7" s="1"/>
  <c r="AW182" i="7" s="1"/>
  <c r="AY182" i="7" s="1"/>
  <c r="BA182" i="7" s="1"/>
  <c r="AF209" i="7"/>
  <c r="AV209" i="7" s="1"/>
  <c r="AF218" i="7"/>
  <c r="AV218" i="7" s="1"/>
  <c r="AF216" i="7"/>
  <c r="AV216" i="7" s="1"/>
  <c r="AF207" i="7"/>
  <c r="AV207" i="7" s="1"/>
  <c r="AF213" i="7"/>
  <c r="AV213" i="7" s="1"/>
  <c r="AF220" i="7"/>
  <c r="AV220" i="7" s="1"/>
  <c r="AF214" i="7"/>
  <c r="AV214" i="7" s="1"/>
  <c r="AF210" i="7"/>
  <c r="AV210" i="7" s="1"/>
  <c r="AF205" i="7"/>
  <c r="AV205" i="7" s="1"/>
  <c r="AW205" i="7" s="1"/>
  <c r="AY205" i="7" s="1"/>
  <c r="BA205" i="7" s="1"/>
  <c r="AF226" i="7"/>
  <c r="AF224" i="7"/>
  <c r="AV224" i="7" s="1"/>
  <c r="AF221" i="7"/>
  <c r="AV221" i="7" s="1"/>
  <c r="AF222" i="7"/>
  <c r="AV222" i="7" s="1"/>
  <c r="AF223" i="7"/>
  <c r="AV223" i="7" s="1"/>
  <c r="AF219" i="7"/>
  <c r="AV219" i="7" s="1"/>
  <c r="AF206" i="7"/>
  <c r="AV206" i="7" s="1"/>
  <c r="AF217" i="7"/>
  <c r="AV217" i="7" s="1"/>
  <c r="AF215" i="7"/>
  <c r="AV215" i="7" s="1"/>
  <c r="AF212" i="7"/>
  <c r="AV212" i="7" s="1"/>
  <c r="AF208" i="7"/>
  <c r="AV208" i="7" s="1"/>
  <c r="AF225" i="7"/>
  <c r="AV225" i="7" s="1"/>
  <c r="T200" i="7"/>
  <c r="AT226" i="7"/>
  <c r="AV227" i="7"/>
  <c r="BS89" i="2"/>
  <c r="BC89" i="2"/>
  <c r="BK47" i="2"/>
  <c r="BK49" i="2" s="1"/>
  <c r="BZ177" i="2"/>
  <c r="BL46" i="2" s="1"/>
  <c r="BY178" i="2"/>
  <c r="DK37" i="1"/>
  <c r="DL37" i="1" s="1"/>
  <c r="BF81" i="1" s="1"/>
  <c r="BF82" i="1" s="1"/>
  <c r="BF84" i="1" s="1"/>
  <c r="D144" i="1"/>
  <c r="D143" i="1"/>
  <c r="M126" i="3" l="1"/>
  <c r="CN242" i="3"/>
  <c r="DE122" i="3"/>
  <c r="BM36" i="3"/>
  <c r="BK36" i="3" s="1"/>
  <c r="BL36" i="3" s="1"/>
  <c r="BK35" i="3"/>
  <c r="BL35" i="3" s="1"/>
  <c r="CR30" i="3"/>
  <c r="BO30" i="3"/>
  <c r="CN202" i="3"/>
  <c r="BK122" i="3"/>
  <c r="L14" i="3"/>
  <c r="K12" i="3"/>
  <c r="K13" i="3" s="1"/>
  <c r="L12" i="3"/>
  <c r="L13" i="3" s="1"/>
  <c r="J12" i="3"/>
  <c r="J13" i="3" s="1"/>
  <c r="J14" i="3"/>
  <c r="BK32" i="3"/>
  <c r="BL32" i="3" s="1"/>
  <c r="BD54" i="1"/>
  <c r="BB54" i="1" s="1"/>
  <c r="BC54" i="1" s="1"/>
  <c r="J18" i="1"/>
  <c r="J36" i="1"/>
  <c r="K36" i="1"/>
  <c r="J7" i="1"/>
  <c r="K7" i="1"/>
  <c r="AX187" i="7"/>
  <c r="AZ187" i="7" s="1"/>
  <c r="BB187" i="7" s="1"/>
  <c r="AX204" i="7"/>
  <c r="AZ204" i="7" s="1"/>
  <c r="AB204" i="7" s="1"/>
  <c r="AW188" i="7"/>
  <c r="AY188" i="7" s="1"/>
  <c r="BA188" i="7" s="1"/>
  <c r="AX184" i="7"/>
  <c r="AZ184" i="7" s="1"/>
  <c r="BB184" i="7" s="1"/>
  <c r="AX182" i="7"/>
  <c r="AZ182" i="7" s="1"/>
  <c r="BB182" i="7" s="1"/>
  <c r="AX186" i="7"/>
  <c r="AZ186" i="7" s="1"/>
  <c r="BB186" i="7" s="1"/>
  <c r="AU180" i="7"/>
  <c r="AW180" i="7" s="1"/>
  <c r="AY180" i="7" s="1"/>
  <c r="BA180" i="7" s="1"/>
  <c r="AP159" i="7"/>
  <c r="AU159" i="7" s="1"/>
  <c r="AX159" i="7" s="1"/>
  <c r="AZ159" i="7" s="1"/>
  <c r="AB159" i="7" s="1"/>
  <c r="AP150" i="7"/>
  <c r="AU150" i="7" s="1"/>
  <c r="AW150" i="7" s="1"/>
  <c r="AY150" i="7" s="1"/>
  <c r="BA150" i="7" s="1"/>
  <c r="AX190" i="7"/>
  <c r="AZ190" i="7" s="1"/>
  <c r="BB190" i="7" s="1"/>
  <c r="AX183" i="7"/>
  <c r="AZ183" i="7" s="1"/>
  <c r="BB183" i="7" s="1"/>
  <c r="AP153" i="7"/>
  <c r="AU153" i="7" s="1"/>
  <c r="AW153" i="7" s="1"/>
  <c r="AY153" i="7" s="1"/>
  <c r="BA153" i="7" s="1"/>
  <c r="AP144" i="7"/>
  <c r="AU144" i="7" s="1"/>
  <c r="AW144" i="7" s="1"/>
  <c r="AY144" i="7" s="1"/>
  <c r="BA144" i="7" s="1"/>
  <c r="AP152" i="7"/>
  <c r="AU152" i="7" s="1"/>
  <c r="AW152" i="7" s="1"/>
  <c r="AY152" i="7" s="1"/>
  <c r="BA152" i="7" s="1"/>
  <c r="AP143" i="7"/>
  <c r="AP155" i="7"/>
  <c r="AU155" i="7" s="1"/>
  <c r="AW155" i="7" s="1"/>
  <c r="AY155" i="7" s="1"/>
  <c r="BA155" i="7" s="1"/>
  <c r="AP151" i="7"/>
  <c r="AU151" i="7" s="1"/>
  <c r="AW151" i="7" s="1"/>
  <c r="AY151" i="7" s="1"/>
  <c r="BA151" i="7" s="1"/>
  <c r="AX181" i="7"/>
  <c r="AZ181" i="7" s="1"/>
  <c r="BB181" i="7" s="1"/>
  <c r="AX191" i="7"/>
  <c r="AZ191" i="7" s="1"/>
  <c r="BB191" i="7" s="1"/>
  <c r="AP165" i="7"/>
  <c r="AU165" i="7" s="1"/>
  <c r="AW165" i="7" s="1"/>
  <c r="AY165" i="7" s="1"/>
  <c r="BA165" i="7" s="1"/>
  <c r="AP158" i="7"/>
  <c r="AU158" i="7" s="1"/>
  <c r="AX158" i="7" s="1"/>
  <c r="AZ158" i="7" s="1"/>
  <c r="AB158" i="7" s="1"/>
  <c r="AP160" i="7"/>
  <c r="AU160" i="7" s="1"/>
  <c r="AX160" i="7" s="1"/>
  <c r="AZ160" i="7" s="1"/>
  <c r="AB160" i="7" s="1"/>
  <c r="AP157" i="7"/>
  <c r="AU157" i="7" s="1"/>
  <c r="AW157" i="7" s="1"/>
  <c r="AY157" i="7" s="1"/>
  <c r="BA157" i="7" s="1"/>
  <c r="AP163" i="7"/>
  <c r="AU163" i="7" s="1"/>
  <c r="AW163" i="7" s="1"/>
  <c r="AY163" i="7" s="1"/>
  <c r="BA163" i="7" s="1"/>
  <c r="AP161" i="7"/>
  <c r="AU161" i="7" s="1"/>
  <c r="AX161" i="7" s="1"/>
  <c r="AZ161" i="7" s="1"/>
  <c r="AB161" i="7" s="1"/>
  <c r="AP147" i="7"/>
  <c r="AU147" i="7" s="1"/>
  <c r="AW147" i="7" s="1"/>
  <c r="AY147" i="7" s="1"/>
  <c r="BA147" i="7" s="1"/>
  <c r="AP148" i="7"/>
  <c r="AU148" i="7" s="1"/>
  <c r="AW148" i="7" s="1"/>
  <c r="AY148" i="7" s="1"/>
  <c r="BA148" i="7" s="1"/>
  <c r="AP166" i="7"/>
  <c r="AU166" i="7" s="1"/>
  <c r="AW166" i="7" s="1"/>
  <c r="AY166" i="7" s="1"/>
  <c r="BA166" i="7" s="1"/>
  <c r="AP156" i="7"/>
  <c r="AU156" i="7" s="1"/>
  <c r="AW156" i="7" s="1"/>
  <c r="AY156" i="7" s="1"/>
  <c r="BA156" i="7" s="1"/>
  <c r="AP146" i="7"/>
  <c r="AU146" i="7" s="1"/>
  <c r="AW146" i="7" s="1"/>
  <c r="AY146" i="7" s="1"/>
  <c r="BA146" i="7" s="1"/>
  <c r="AP162" i="7"/>
  <c r="AU162" i="7" s="1"/>
  <c r="AW162" i="7" s="1"/>
  <c r="AY162" i="7" s="1"/>
  <c r="BA162" i="7" s="1"/>
  <c r="AP145" i="7"/>
  <c r="AU145" i="7" s="1"/>
  <c r="AX145" i="7" s="1"/>
  <c r="AZ145" i="7" s="1"/>
  <c r="AB145" i="7" s="1"/>
  <c r="AP149" i="7"/>
  <c r="AU149" i="7" s="1"/>
  <c r="AW149" i="7" s="1"/>
  <c r="AY149" i="7" s="1"/>
  <c r="BA149" i="7" s="1"/>
  <c r="AP154" i="7"/>
  <c r="AU154" i="7" s="1"/>
  <c r="AX154" i="7" s="1"/>
  <c r="AZ154" i="7" s="1"/>
  <c r="AB154" i="7" s="1"/>
  <c r="AW189" i="7"/>
  <c r="AY189" i="7" s="1"/>
  <c r="BA189" i="7" s="1"/>
  <c r="AX217" i="7"/>
  <c r="AZ217" i="7" s="1"/>
  <c r="AB217" i="7" s="1"/>
  <c r="AW217" i="7"/>
  <c r="AY217" i="7" s="1"/>
  <c r="BA217" i="7" s="1"/>
  <c r="AX222" i="7"/>
  <c r="AZ222" i="7" s="1"/>
  <c r="AB222" i="7" s="1"/>
  <c r="AW222" i="7"/>
  <c r="AY222" i="7" s="1"/>
  <c r="BA222" i="7" s="1"/>
  <c r="AW213" i="7"/>
  <c r="AY213" i="7" s="1"/>
  <c r="BA213" i="7" s="1"/>
  <c r="AX213" i="7"/>
  <c r="AZ213" i="7" s="1"/>
  <c r="AB213" i="7" s="1"/>
  <c r="AX185" i="7"/>
  <c r="AZ185" i="7" s="1"/>
  <c r="BB185" i="7" s="1"/>
  <c r="AW208" i="7"/>
  <c r="AY208" i="7" s="1"/>
  <c r="BA208" i="7" s="1"/>
  <c r="AX208" i="7"/>
  <c r="AZ208" i="7" s="1"/>
  <c r="AB208" i="7" s="1"/>
  <c r="AW206" i="7"/>
  <c r="AY206" i="7" s="1"/>
  <c r="BA206" i="7" s="1"/>
  <c r="AX206" i="7"/>
  <c r="AZ206" i="7" s="1"/>
  <c r="AB206" i="7" s="1"/>
  <c r="AW221" i="7"/>
  <c r="AY221" i="7" s="1"/>
  <c r="BA221" i="7" s="1"/>
  <c r="AX221" i="7"/>
  <c r="AZ221" i="7" s="1"/>
  <c r="AB221" i="7" s="1"/>
  <c r="AX210" i="7"/>
  <c r="AZ210" i="7" s="1"/>
  <c r="AB210" i="7" s="1"/>
  <c r="AW210" i="7"/>
  <c r="AY210" i="7" s="1"/>
  <c r="BA210" i="7" s="1"/>
  <c r="AW207" i="7"/>
  <c r="AY207" i="7" s="1"/>
  <c r="BA207" i="7" s="1"/>
  <c r="AX207" i="7"/>
  <c r="AZ207" i="7" s="1"/>
  <c r="AB207" i="7" s="1"/>
  <c r="AW209" i="7"/>
  <c r="AY209" i="7" s="1"/>
  <c r="BA209" i="7" s="1"/>
  <c r="AX209" i="7"/>
  <c r="AZ209" i="7" s="1"/>
  <c r="AB209" i="7" s="1"/>
  <c r="AX218" i="7"/>
  <c r="AZ218" i="7" s="1"/>
  <c r="AB218" i="7" s="1"/>
  <c r="AW218" i="7"/>
  <c r="AY218" i="7" s="1"/>
  <c r="BA218" i="7" s="1"/>
  <c r="AX205" i="7"/>
  <c r="AZ205" i="7" s="1"/>
  <c r="AB205" i="7" s="1"/>
  <c r="AW212" i="7"/>
  <c r="AY212" i="7" s="1"/>
  <c r="BA212" i="7" s="1"/>
  <c r="AX212" i="7"/>
  <c r="AZ212" i="7" s="1"/>
  <c r="AB212" i="7" s="1"/>
  <c r="AX219" i="7"/>
  <c r="AZ219" i="7" s="1"/>
  <c r="AB219" i="7" s="1"/>
  <c r="AW219" i="7"/>
  <c r="AY219" i="7" s="1"/>
  <c r="BA219" i="7" s="1"/>
  <c r="AW224" i="7"/>
  <c r="AY224" i="7" s="1"/>
  <c r="BA224" i="7" s="1"/>
  <c r="AX224" i="7"/>
  <c r="AZ224" i="7" s="1"/>
  <c r="AB224" i="7" s="1"/>
  <c r="AX214" i="7"/>
  <c r="AZ214" i="7" s="1"/>
  <c r="AB214" i="7" s="1"/>
  <c r="AW214" i="7"/>
  <c r="AY214" i="7" s="1"/>
  <c r="BA214" i="7" s="1"/>
  <c r="AX211" i="7"/>
  <c r="AZ211" i="7" s="1"/>
  <c r="AB211" i="7" s="1"/>
  <c r="AW211" i="7"/>
  <c r="AY211" i="7" s="1"/>
  <c r="BA211" i="7" s="1"/>
  <c r="AX215" i="7"/>
  <c r="AZ215" i="7" s="1"/>
  <c r="AB215" i="7" s="1"/>
  <c r="AW215" i="7"/>
  <c r="AY215" i="7" s="1"/>
  <c r="BA215" i="7" s="1"/>
  <c r="AX223" i="7"/>
  <c r="AZ223" i="7" s="1"/>
  <c r="AB223" i="7" s="1"/>
  <c r="AW223" i="7"/>
  <c r="AY223" i="7" s="1"/>
  <c r="BA223" i="7" s="1"/>
  <c r="AX220" i="7"/>
  <c r="AZ220" i="7" s="1"/>
  <c r="AB220" i="7" s="1"/>
  <c r="AW220" i="7"/>
  <c r="AY220" i="7" s="1"/>
  <c r="BA220" i="7" s="1"/>
  <c r="AX216" i="7"/>
  <c r="AZ216" i="7" s="1"/>
  <c r="AB216" i="7" s="1"/>
  <c r="AW216" i="7"/>
  <c r="AY216" i="7" s="1"/>
  <c r="BA216" i="7" s="1"/>
  <c r="AV226" i="7"/>
  <c r="AX226" i="7" s="1"/>
  <c r="AZ226" i="7" s="1"/>
  <c r="AB226" i="7" s="1"/>
  <c r="AW164" i="7"/>
  <c r="AY164" i="7" s="1"/>
  <c r="BA164" i="7" s="1"/>
  <c r="AX164" i="7"/>
  <c r="AZ164" i="7" s="1"/>
  <c r="AB164" i="7" s="1"/>
  <c r="AW225" i="7"/>
  <c r="AY225" i="7" s="1"/>
  <c r="BA225" i="7" s="1"/>
  <c r="AX225" i="7"/>
  <c r="AZ225" i="7" s="1"/>
  <c r="AB225" i="7" s="1"/>
  <c r="AX227" i="7"/>
  <c r="AZ227" i="7" s="1"/>
  <c r="AB227" i="7" s="1"/>
  <c r="AW227" i="7"/>
  <c r="AY227" i="7" s="1"/>
  <c r="BA227" i="7" s="1"/>
  <c r="BM42" i="2"/>
  <c r="BM44" i="2" s="1"/>
  <c r="BK42" i="2"/>
  <c r="BE88" i="2"/>
  <c r="BL47" i="2"/>
  <c r="BL49" i="2" s="1"/>
  <c r="BS88" i="2"/>
  <c r="BY179" i="2"/>
  <c r="BZ178" i="2"/>
  <c r="BM46" i="2" s="1"/>
  <c r="DK38" i="1"/>
  <c r="DK39" i="1" s="1"/>
  <c r="AP139" i="7" l="1"/>
  <c r="C9" i="7" s="1"/>
  <c r="BM33" i="3"/>
  <c r="BK33" i="3" s="1"/>
  <c r="BL33" i="3" s="1"/>
  <c r="D143" i="3"/>
  <c r="H23" i="3"/>
  <c r="H16" i="3"/>
  <c r="D141" i="3"/>
  <c r="CO202" i="3"/>
  <c r="J8" i="3"/>
  <c r="BK29" i="3"/>
  <c r="BL29" i="3" s="1"/>
  <c r="K6" i="3"/>
  <c r="K7" i="3" s="1"/>
  <c r="J6" i="3"/>
  <c r="J7" i="3" s="1"/>
  <c r="D144" i="3"/>
  <c r="D142" i="3"/>
  <c r="L6" i="3"/>
  <c r="L7" i="3" s="1"/>
  <c r="L8" i="3"/>
  <c r="BB204" i="7"/>
  <c r="BD51" i="1"/>
  <c r="BB51" i="1" s="1"/>
  <c r="BC51" i="1" s="1"/>
  <c r="K25" i="1"/>
  <c r="K31" i="1"/>
  <c r="L25" i="1"/>
  <c r="L31" i="1"/>
  <c r="J37" i="1"/>
  <c r="K19" i="1"/>
  <c r="K37" i="1"/>
  <c r="J19" i="1"/>
  <c r="AX150" i="7"/>
  <c r="AZ150" i="7" s="1"/>
  <c r="AX180" i="7"/>
  <c r="AZ180" i="7" s="1"/>
  <c r="BB180" i="7" s="1"/>
  <c r="AW159" i="7"/>
  <c r="AY159" i="7" s="1"/>
  <c r="BA159" i="7" s="1"/>
  <c r="AX153" i="7"/>
  <c r="AZ153" i="7" s="1"/>
  <c r="AW158" i="7"/>
  <c r="AY158" i="7" s="1"/>
  <c r="BA158" i="7" s="1"/>
  <c r="AX144" i="7"/>
  <c r="AZ144" i="7" s="1"/>
  <c r="AW145" i="7"/>
  <c r="AY145" i="7" s="1"/>
  <c r="BA145" i="7" s="1"/>
  <c r="AX151" i="7"/>
  <c r="AZ151" i="7" s="1"/>
  <c r="AU143" i="7"/>
  <c r="AW143" i="7" s="1"/>
  <c r="AY143" i="7" s="1"/>
  <c r="BA143" i="7" s="1"/>
  <c r="AX152" i="7"/>
  <c r="AZ152" i="7" s="1"/>
  <c r="AX156" i="7"/>
  <c r="AZ156" i="7" s="1"/>
  <c r="AX149" i="7"/>
  <c r="AZ149" i="7" s="1"/>
  <c r="AB149" i="7" s="1"/>
  <c r="AW161" i="7"/>
  <c r="AY161" i="7" s="1"/>
  <c r="BA161" i="7" s="1"/>
  <c r="BB205" i="7"/>
  <c r="AX162" i="7"/>
  <c r="AZ162" i="7" s="1"/>
  <c r="AX166" i="7"/>
  <c r="AZ166" i="7" s="1"/>
  <c r="AX163" i="7"/>
  <c r="AZ163" i="7" s="1"/>
  <c r="AX165" i="7"/>
  <c r="AZ165" i="7" s="1"/>
  <c r="AB165" i="7" s="1"/>
  <c r="AX155" i="7"/>
  <c r="AZ155" i="7" s="1"/>
  <c r="AB155" i="7" s="1"/>
  <c r="AW160" i="7"/>
  <c r="AY160" i="7" s="1"/>
  <c r="BA160" i="7" s="1"/>
  <c r="AX147" i="7"/>
  <c r="AZ147" i="7" s="1"/>
  <c r="AB147" i="7" s="1"/>
  <c r="AX146" i="7"/>
  <c r="AZ146" i="7" s="1"/>
  <c r="AB146" i="7" s="1"/>
  <c r="AW154" i="7"/>
  <c r="AY154" i="7" s="1"/>
  <c r="BA154" i="7" s="1"/>
  <c r="AX148" i="7"/>
  <c r="AZ148" i="7" s="1"/>
  <c r="AX157" i="7"/>
  <c r="AZ157" i="7" s="1"/>
  <c r="AB157" i="7" s="1"/>
  <c r="BC205" i="7"/>
  <c r="G205" i="7" s="1"/>
  <c r="F205" i="7" s="1"/>
  <c r="BC224" i="7"/>
  <c r="G224" i="7" s="1"/>
  <c r="F224" i="7" s="1"/>
  <c r="BB224" i="7"/>
  <c r="BB212" i="7"/>
  <c r="BC212" i="7"/>
  <c r="G212" i="7" s="1"/>
  <c r="F212" i="7" s="1"/>
  <c r="BC218" i="7"/>
  <c r="G218" i="7" s="1"/>
  <c r="F218" i="7" s="1"/>
  <c r="BB218" i="7"/>
  <c r="BB216" i="7"/>
  <c r="BC216" i="7"/>
  <c r="G216" i="7" s="1"/>
  <c r="F216" i="7" s="1"/>
  <c r="BB223" i="7"/>
  <c r="BC223" i="7"/>
  <c r="G223" i="7" s="1"/>
  <c r="F223" i="7" s="1"/>
  <c r="BB211" i="7"/>
  <c r="BC211" i="7"/>
  <c r="G211" i="7" s="1"/>
  <c r="F211" i="7" s="1"/>
  <c r="BB209" i="7"/>
  <c r="BC209" i="7"/>
  <c r="G209" i="7" s="1"/>
  <c r="F209" i="7" s="1"/>
  <c r="BC206" i="7"/>
  <c r="G206" i="7" s="1"/>
  <c r="F206" i="7" s="1"/>
  <c r="BB206" i="7"/>
  <c r="BB222" i="7"/>
  <c r="BC222" i="7"/>
  <c r="G222" i="7" s="1"/>
  <c r="F222" i="7" s="1"/>
  <c r="BC210" i="7"/>
  <c r="G210" i="7" s="1"/>
  <c r="F210" i="7" s="1"/>
  <c r="BB210" i="7"/>
  <c r="BC213" i="7"/>
  <c r="G213" i="7" s="1"/>
  <c r="F213" i="7" s="1"/>
  <c r="BB213" i="7"/>
  <c r="BB220" i="7"/>
  <c r="BC220" i="7"/>
  <c r="G220" i="7" s="1"/>
  <c r="F220" i="7" s="1"/>
  <c r="BB215" i="7"/>
  <c r="BC215" i="7"/>
  <c r="G215" i="7" s="1"/>
  <c r="F215" i="7" s="1"/>
  <c r="BC214" i="7"/>
  <c r="G214" i="7" s="1"/>
  <c r="F214" i="7" s="1"/>
  <c r="BB214" i="7"/>
  <c r="BC219" i="7"/>
  <c r="G219" i="7" s="1"/>
  <c r="F219" i="7" s="1"/>
  <c r="BB219" i="7"/>
  <c r="BC207" i="7"/>
  <c r="G207" i="7" s="1"/>
  <c r="F207" i="7" s="1"/>
  <c r="BB207" i="7"/>
  <c r="BC221" i="7"/>
  <c r="G221" i="7" s="1"/>
  <c r="F221" i="7" s="1"/>
  <c r="BB221" i="7"/>
  <c r="BB208" i="7"/>
  <c r="BC208" i="7"/>
  <c r="G208" i="7" s="1"/>
  <c r="F208" i="7" s="1"/>
  <c r="BC217" i="7"/>
  <c r="G217" i="7" s="1"/>
  <c r="F217" i="7" s="1"/>
  <c r="BB217" i="7"/>
  <c r="AW226" i="7"/>
  <c r="AY226" i="7" s="1"/>
  <c r="BA226" i="7" s="1"/>
  <c r="BC160" i="7"/>
  <c r="G160" i="7" s="1"/>
  <c r="BB160" i="7"/>
  <c r="BC226" i="7"/>
  <c r="G226" i="7" s="1"/>
  <c r="F226" i="7" s="1"/>
  <c r="BB226" i="7"/>
  <c r="BC154" i="7"/>
  <c r="G154" i="7" s="1"/>
  <c r="BB154" i="7"/>
  <c r="BB161" i="7"/>
  <c r="BC161" i="7"/>
  <c r="G161" i="7" s="1"/>
  <c r="BC145" i="7"/>
  <c r="G145" i="7" s="1"/>
  <c r="BB145" i="7"/>
  <c r="BC158" i="7"/>
  <c r="G158" i="7" s="1"/>
  <c r="BB158" i="7"/>
  <c r="BC159" i="7"/>
  <c r="G159" i="7" s="1"/>
  <c r="BB159" i="7"/>
  <c r="BB227" i="7"/>
  <c r="BC227" i="7"/>
  <c r="G227" i="7" s="1"/>
  <c r="F227" i="7" s="1"/>
  <c r="BC225" i="7"/>
  <c r="G225" i="7" s="1"/>
  <c r="F225" i="7" s="1"/>
  <c r="BB225" i="7"/>
  <c r="BB164" i="7"/>
  <c r="BC164" i="7"/>
  <c r="G164" i="7" s="1"/>
  <c r="BS87" i="2"/>
  <c r="BS100" i="2" s="1"/>
  <c r="BS102" i="2" s="1"/>
  <c r="BK41" i="2"/>
  <c r="BM47" i="2"/>
  <c r="BM49" i="2" s="1"/>
  <c r="BO41" i="2"/>
  <c r="BO44" i="2" s="1"/>
  <c r="BG87" i="2"/>
  <c r="BY180" i="2"/>
  <c r="BZ179" i="2"/>
  <c r="BN46" i="2" s="1"/>
  <c r="DL38" i="1"/>
  <c r="BG81" i="1" s="1"/>
  <c r="BH134" i="1" s="1"/>
  <c r="BH135" i="1" s="1"/>
  <c r="BH137" i="1" s="1"/>
  <c r="DK40" i="1"/>
  <c r="DL40" i="1" s="1"/>
  <c r="BI81" i="1" s="1"/>
  <c r="DL39" i="1"/>
  <c r="BH81" i="1" s="1"/>
  <c r="BH82" i="1" s="1"/>
  <c r="BH84" i="1" s="1"/>
  <c r="D22" i="7" l="1"/>
  <c r="C5" i="7"/>
  <c r="D3" i="7"/>
  <c r="L54" i="7" s="1"/>
  <c r="C3" i="7"/>
  <c r="C22" i="7"/>
  <c r="BM30" i="3"/>
  <c r="BK30" i="3" s="1"/>
  <c r="BL30" i="3" s="1"/>
  <c r="K18" i="3"/>
  <c r="K19" i="3" s="1"/>
  <c r="J36" i="3"/>
  <c r="J37" i="3" s="1"/>
  <c r="J18" i="3"/>
  <c r="J19" i="3" s="1"/>
  <c r="K36" i="3"/>
  <c r="K37" i="3" s="1"/>
  <c r="CP202" i="3"/>
  <c r="BO60" i="3" s="1"/>
  <c r="BO61" i="3" s="1"/>
  <c r="BO63" i="3" s="1"/>
  <c r="CO203" i="3"/>
  <c r="L30" i="3"/>
  <c r="L31" i="3" s="1"/>
  <c r="L24" i="3"/>
  <c r="L25" i="3" s="1"/>
  <c r="K24" i="3"/>
  <c r="K25" i="3" s="1"/>
  <c r="K30" i="3"/>
  <c r="K31" i="3" s="1"/>
  <c r="J126" i="1"/>
  <c r="I126" i="1"/>
  <c r="M85" i="1"/>
  <c r="K85" i="1"/>
  <c r="BB166" i="7"/>
  <c r="AB166" i="7"/>
  <c r="BB162" i="7"/>
  <c r="AB162" i="7"/>
  <c r="BC156" i="7"/>
  <c r="G156" i="7" s="1"/>
  <c r="AB156" i="7"/>
  <c r="BB148" i="7"/>
  <c r="AB148" i="7"/>
  <c r="BC153" i="7"/>
  <c r="G153" i="7" s="1"/>
  <c r="AB153" i="7"/>
  <c r="BB152" i="7"/>
  <c r="AB152" i="7"/>
  <c r="BC144" i="7"/>
  <c r="G144" i="7" s="1"/>
  <c r="AB144" i="7"/>
  <c r="BB151" i="7"/>
  <c r="AB151" i="7"/>
  <c r="BC163" i="7"/>
  <c r="G163" i="7" s="1"/>
  <c r="AB163" i="7"/>
  <c r="BB150" i="7"/>
  <c r="AB150" i="7"/>
  <c r="BC150" i="7"/>
  <c r="G150" i="7" s="1"/>
  <c r="BB153" i="7"/>
  <c r="BC147" i="7"/>
  <c r="G147" i="7" s="1"/>
  <c r="BB144" i="7"/>
  <c r="BB163" i="7"/>
  <c r="AX143" i="7"/>
  <c r="AZ143" i="7" s="1"/>
  <c r="AB143" i="7" s="1"/>
  <c r="BC166" i="7"/>
  <c r="G166" i="7" s="1"/>
  <c r="BC152" i="7"/>
  <c r="G152" i="7" s="1"/>
  <c r="BC151" i="7"/>
  <c r="G151" i="7" s="1"/>
  <c r="BB165" i="7"/>
  <c r="BC146" i="7"/>
  <c r="G146" i="7" s="1"/>
  <c r="BC165" i="7"/>
  <c r="G165" i="7" s="1"/>
  <c r="BB146" i="7"/>
  <c r="BC162" i="7"/>
  <c r="G162" i="7" s="1"/>
  <c r="BB155" i="7"/>
  <c r="BB156" i="7"/>
  <c r="BC155" i="7"/>
  <c r="G155" i="7" s="1"/>
  <c r="BC149" i="7"/>
  <c r="G149" i="7" s="1"/>
  <c r="BB149" i="7"/>
  <c r="BB147" i="7"/>
  <c r="BC148" i="7"/>
  <c r="G148" i="7" s="1"/>
  <c r="BC157" i="7"/>
  <c r="G157" i="7" s="1"/>
  <c r="BB157" i="7"/>
  <c r="CB86" i="2"/>
  <c r="BN47" i="2"/>
  <c r="BN49" i="2" s="1"/>
  <c r="BK40" i="2"/>
  <c r="BQ40" i="2"/>
  <c r="BQ44" i="2" s="1"/>
  <c r="BA86" i="2"/>
  <c r="BA100" i="2" s="1"/>
  <c r="BA102" i="2" s="1"/>
  <c r="BY181" i="2"/>
  <c r="BZ180" i="2"/>
  <c r="BO46" i="2" s="1"/>
  <c r="BF134" i="1"/>
  <c r="BG82" i="1"/>
  <c r="BG84" i="1" s="1"/>
  <c r="DK41" i="1"/>
  <c r="DL41" i="1" s="1"/>
  <c r="BJ81" i="1" s="1"/>
  <c r="BF133" i="1"/>
  <c r="BJ133" i="1"/>
  <c r="BJ135" i="1" s="1"/>
  <c r="BJ137" i="1" s="1"/>
  <c r="BL132" i="1"/>
  <c r="BL135" i="1" s="1"/>
  <c r="BL137" i="1" s="1"/>
  <c r="BI82" i="1"/>
  <c r="BI84" i="1" s="1"/>
  <c r="BF132" i="1"/>
  <c r="CO35" i="7" l="1"/>
  <c r="CD265" i="7"/>
  <c r="CE265" i="7" s="1"/>
  <c r="CD261" i="7"/>
  <c r="CE261" i="7" s="1"/>
  <c r="CD253" i="7"/>
  <c r="CE253" i="7" s="1"/>
  <c r="CD249" i="7"/>
  <c r="CE249" i="7" s="1"/>
  <c r="CD241" i="7"/>
  <c r="CE241" i="7" s="1"/>
  <c r="CD237" i="7"/>
  <c r="CE237" i="7" s="1"/>
  <c r="CD257" i="7"/>
  <c r="CE257" i="7" s="1"/>
  <c r="CD245" i="7"/>
  <c r="CE245" i="7" s="1"/>
  <c r="CD233" i="7"/>
  <c r="CE233" i="7" s="1"/>
  <c r="CD269" i="7"/>
  <c r="CE269" i="7" s="1"/>
  <c r="I126" i="3"/>
  <c r="CY32" i="7"/>
  <c r="L14" i="7" s="1"/>
  <c r="CD270" i="7"/>
  <c r="CE270" i="7" s="1"/>
  <c r="CD266" i="7"/>
  <c r="CE266" i="7" s="1"/>
  <c r="CD262" i="7"/>
  <c r="CE262" i="7" s="1"/>
  <c r="CD258" i="7"/>
  <c r="CE258" i="7" s="1"/>
  <c r="CD254" i="7"/>
  <c r="CE254" i="7" s="1"/>
  <c r="CD250" i="7"/>
  <c r="CE250" i="7" s="1"/>
  <c r="CD246" i="7"/>
  <c r="CE246" i="7" s="1"/>
  <c r="CD242" i="7"/>
  <c r="CE242" i="7" s="1"/>
  <c r="CD238" i="7"/>
  <c r="CE238" i="7" s="1"/>
  <c r="CD234" i="7"/>
  <c r="CE234" i="7" s="1"/>
  <c r="BV35" i="7"/>
  <c r="BI35" i="7" s="1"/>
  <c r="CD272" i="7"/>
  <c r="DA121" i="7" s="1"/>
  <c r="CD268" i="7"/>
  <c r="CE268" i="7" s="1"/>
  <c r="CD264" i="7"/>
  <c r="CE264" i="7" s="1"/>
  <c r="CD260" i="7"/>
  <c r="CE260" i="7" s="1"/>
  <c r="CD256" i="7"/>
  <c r="CE256" i="7" s="1"/>
  <c r="CD252" i="7"/>
  <c r="CE252" i="7" s="1"/>
  <c r="CD248" i="7"/>
  <c r="CE248" i="7" s="1"/>
  <c r="CD244" i="7"/>
  <c r="CE244" i="7" s="1"/>
  <c r="CD240" i="7"/>
  <c r="CE240" i="7" s="1"/>
  <c r="CD236" i="7"/>
  <c r="CE236" i="7" s="1"/>
  <c r="CD232" i="7"/>
  <c r="CE232" i="7" s="1"/>
  <c r="BV32" i="7"/>
  <c r="J14" i="7" s="1"/>
  <c r="CD271" i="7"/>
  <c r="CE271" i="7" s="1"/>
  <c r="CD267" i="7"/>
  <c r="CE267" i="7" s="1"/>
  <c r="CD263" i="7"/>
  <c r="CE263" i="7" s="1"/>
  <c r="CD259" i="7"/>
  <c r="CE259" i="7" s="1"/>
  <c r="CD255" i="7"/>
  <c r="CE255" i="7" s="1"/>
  <c r="CD251" i="7"/>
  <c r="CE251" i="7" s="1"/>
  <c r="CD247" i="7"/>
  <c r="CE247" i="7" s="1"/>
  <c r="CD243" i="7"/>
  <c r="CE243" i="7" s="1"/>
  <c r="CD239" i="7"/>
  <c r="CE239" i="7" s="1"/>
  <c r="CD235" i="7"/>
  <c r="CE235" i="7" s="1"/>
  <c r="D5" i="7"/>
  <c r="CO29" i="7" s="1"/>
  <c r="J54" i="7"/>
  <c r="J55" i="7" s="1"/>
  <c r="J126" i="3"/>
  <c r="M85" i="3"/>
  <c r="K85" i="3"/>
  <c r="CO204" i="3"/>
  <c r="CP203" i="3"/>
  <c r="BP60" i="3" s="1"/>
  <c r="L12" i="7"/>
  <c r="L55" i="7"/>
  <c r="BB143" i="7"/>
  <c r="BG58" i="7" s="1"/>
  <c r="BG121" i="7"/>
  <c r="CB85" i="2"/>
  <c r="BS39" i="2"/>
  <c r="BS44" i="2" s="1"/>
  <c r="BK39" i="2"/>
  <c r="BC85" i="2"/>
  <c r="BC100" i="2" s="1"/>
  <c r="BC102" i="2" s="1"/>
  <c r="BO47" i="2"/>
  <c r="BO49" i="2" s="1"/>
  <c r="BY182" i="2"/>
  <c r="BZ181" i="2"/>
  <c r="BP46" i="2" s="1"/>
  <c r="DK42" i="1"/>
  <c r="DL42" i="1" s="1"/>
  <c r="BK81" i="1" s="1"/>
  <c r="BN131" i="1"/>
  <c r="BN135" i="1" s="1"/>
  <c r="BN137" i="1" s="1"/>
  <c r="BF131" i="1"/>
  <c r="BJ82" i="1"/>
  <c r="BJ84" i="1" s="1"/>
  <c r="K12" i="7" l="1"/>
  <c r="K13" i="7" s="1"/>
  <c r="J12" i="7"/>
  <c r="J13" i="7" s="1"/>
  <c r="BG31" i="7"/>
  <c r="BH31" i="7" s="1"/>
  <c r="BK29" i="7"/>
  <c r="J8" i="7" s="1"/>
  <c r="CE272" i="7"/>
  <c r="CF232" i="7" s="1"/>
  <c r="CG232" i="7" s="1"/>
  <c r="BK59" i="7" s="1"/>
  <c r="BK60" i="7" s="1"/>
  <c r="BK62" i="7" s="1"/>
  <c r="BG34" i="7"/>
  <c r="BH34" i="7" s="1"/>
  <c r="CP204" i="3"/>
  <c r="BQ60" i="3" s="1"/>
  <c r="CO205" i="3"/>
  <c r="BO113" i="3"/>
  <c r="BQ113" i="3"/>
  <c r="BQ114" i="3" s="1"/>
  <c r="BQ116" i="3" s="1"/>
  <c r="BP61" i="3"/>
  <c r="BP63" i="3" s="1"/>
  <c r="L6" i="7"/>
  <c r="L7" i="7" s="1"/>
  <c r="L8" i="7"/>
  <c r="BG35" i="7"/>
  <c r="BH35" i="7" s="1"/>
  <c r="D136" i="7"/>
  <c r="H23" i="7"/>
  <c r="H16" i="7"/>
  <c r="L13" i="7"/>
  <c r="M126" i="7"/>
  <c r="BH58" i="7"/>
  <c r="D137" i="7"/>
  <c r="D135" i="7"/>
  <c r="D134" i="7"/>
  <c r="BE84" i="2"/>
  <c r="BE100" i="2" s="1"/>
  <c r="BE102" i="2" s="1"/>
  <c r="BU38" i="2"/>
  <c r="BU44" i="2" s="1"/>
  <c r="BK38" i="2"/>
  <c r="CB84" i="2"/>
  <c r="BP47" i="2"/>
  <c r="BP49" i="2" s="1"/>
  <c r="BZ182" i="2"/>
  <c r="BQ46" i="2" s="1"/>
  <c r="BY183" i="2"/>
  <c r="DK43" i="1"/>
  <c r="DL43" i="1" s="1"/>
  <c r="BL81" i="1" s="1"/>
  <c r="BP130" i="1"/>
  <c r="BP135" i="1" s="1"/>
  <c r="BP137" i="1" s="1"/>
  <c r="BF130" i="1"/>
  <c r="BK82" i="1"/>
  <c r="BK84" i="1" s="1"/>
  <c r="BG28" i="7" l="1"/>
  <c r="BH28" i="7" s="1"/>
  <c r="J6" i="7"/>
  <c r="J7" i="7" s="1"/>
  <c r="K6" i="7"/>
  <c r="K7" i="7" s="1"/>
  <c r="BO112" i="3"/>
  <c r="BS112" i="3"/>
  <c r="BS114" i="3" s="1"/>
  <c r="BS116" i="3" s="1"/>
  <c r="BQ61" i="3"/>
  <c r="BQ63" i="3" s="1"/>
  <c r="CO206" i="3"/>
  <c r="CP205" i="3"/>
  <c r="BR60" i="3" s="1"/>
  <c r="BI32" i="7"/>
  <c r="J36" i="7"/>
  <c r="J18" i="7"/>
  <c r="K36" i="7"/>
  <c r="K18" i="7"/>
  <c r="L30" i="7"/>
  <c r="L24" i="7"/>
  <c r="K24" i="7"/>
  <c r="K30" i="7"/>
  <c r="CF233" i="7"/>
  <c r="CG233" i="7" s="1"/>
  <c r="BL59" i="7" s="1"/>
  <c r="BY184" i="2"/>
  <c r="BZ183" i="2"/>
  <c r="BR46" i="2" s="1"/>
  <c r="BK37" i="2"/>
  <c r="CB83" i="2"/>
  <c r="BW37" i="2"/>
  <c r="BW44" i="2" s="1"/>
  <c r="BG83" i="2"/>
  <c r="BG100" i="2" s="1"/>
  <c r="BG102" i="2" s="1"/>
  <c r="BQ47" i="2"/>
  <c r="BQ49" i="2" s="1"/>
  <c r="BR129" i="1"/>
  <c r="BF129" i="1"/>
  <c r="DK44" i="1"/>
  <c r="DL44" i="1" s="1"/>
  <c r="BM81" i="1" s="1"/>
  <c r="BL82" i="1"/>
  <c r="BL84" i="1" s="1"/>
  <c r="BU111" i="3" l="1"/>
  <c r="BU114" i="3" s="1"/>
  <c r="BU116" i="3" s="1"/>
  <c r="BO111" i="3"/>
  <c r="BR61" i="3"/>
  <c r="BR63" i="3" s="1"/>
  <c r="CP206" i="3"/>
  <c r="BS60" i="3" s="1"/>
  <c r="CO207" i="3"/>
  <c r="BG32" i="7"/>
  <c r="BH32" i="7" s="1"/>
  <c r="L25" i="7"/>
  <c r="K19" i="7"/>
  <c r="L31" i="7"/>
  <c r="K37" i="7"/>
  <c r="K25" i="7"/>
  <c r="J37" i="7"/>
  <c r="K31" i="7"/>
  <c r="BI29" i="7"/>
  <c r="J19" i="7"/>
  <c r="CF234" i="7"/>
  <c r="CF235" i="7" s="1"/>
  <c r="BL60" i="7"/>
  <c r="BL62" i="7" s="1"/>
  <c r="BK112" i="7"/>
  <c r="BM112" i="7"/>
  <c r="BM113" i="7" s="1"/>
  <c r="BM115" i="7" s="1"/>
  <c r="BR47" i="2"/>
  <c r="BR49" i="2" s="1"/>
  <c r="BK36" i="2"/>
  <c r="BY36" i="2"/>
  <c r="BY44" i="2" s="1"/>
  <c r="CB82" i="2"/>
  <c r="BI82" i="2"/>
  <c r="BI100" i="2" s="1"/>
  <c r="BI102" i="2" s="1"/>
  <c r="BY185" i="2"/>
  <c r="BZ184" i="2"/>
  <c r="BS46" i="2" s="1"/>
  <c r="BT128" i="1"/>
  <c r="BT135" i="1" s="1"/>
  <c r="BT137" i="1" s="1"/>
  <c r="BF128" i="1"/>
  <c r="DK45" i="1"/>
  <c r="DL45" i="1" s="1"/>
  <c r="BN81" i="1" s="1"/>
  <c r="BM82" i="1"/>
  <c r="BM84" i="1" s="1"/>
  <c r="CP207" i="3" l="1"/>
  <c r="BT60" i="3" s="1"/>
  <c r="CO208" i="3"/>
  <c r="BW110" i="3"/>
  <c r="BW114" i="3" s="1"/>
  <c r="BW116" i="3" s="1"/>
  <c r="BS61" i="3"/>
  <c r="BS63" i="3" s="1"/>
  <c r="BO110" i="3"/>
  <c r="BG29" i="7"/>
  <c r="BH29" i="7" s="1"/>
  <c r="I126" i="7"/>
  <c r="M85" i="7"/>
  <c r="J126" i="7"/>
  <c r="K85" i="7"/>
  <c r="CG234" i="7"/>
  <c r="BM59" i="7" s="1"/>
  <c r="BM60" i="7" s="1"/>
  <c r="BM62" i="7" s="1"/>
  <c r="CG235" i="7"/>
  <c r="BN59" i="7" s="1"/>
  <c r="CF236" i="7"/>
  <c r="BY186" i="2"/>
  <c r="BZ185" i="2"/>
  <c r="BT46" i="2" s="1"/>
  <c r="CA35" i="2"/>
  <c r="CA44" i="2" s="1"/>
  <c r="BK35" i="2"/>
  <c r="BK81" i="2"/>
  <c r="BK100" i="2" s="1"/>
  <c r="BK102" i="2" s="1"/>
  <c r="CB81" i="2"/>
  <c r="BS47" i="2"/>
  <c r="BS49" i="2" s="1"/>
  <c r="DK46" i="1"/>
  <c r="DL46" i="1" s="1"/>
  <c r="BO81" i="1" s="1"/>
  <c r="BV127" i="1"/>
  <c r="BV135" i="1" s="1"/>
  <c r="BV137" i="1" s="1"/>
  <c r="BF127" i="1"/>
  <c r="BN82" i="1"/>
  <c r="BN84" i="1" s="1"/>
  <c r="BO109" i="3" l="1"/>
  <c r="BT61" i="3"/>
  <c r="BT63" i="3" s="1"/>
  <c r="BY109" i="3"/>
  <c r="BY114" i="3" s="1"/>
  <c r="BY116" i="3" s="1"/>
  <c r="CP208" i="3"/>
  <c r="BU60" i="3" s="1"/>
  <c r="CO209" i="3"/>
  <c r="H42" i="2"/>
  <c r="H43" i="2" s="1"/>
  <c r="BK111" i="7"/>
  <c r="BO111" i="7"/>
  <c r="BO113" i="7" s="1"/>
  <c r="BO115" i="7" s="1"/>
  <c r="CF237" i="7"/>
  <c r="CG236" i="7"/>
  <c r="BO59" i="7" s="1"/>
  <c r="BQ110" i="7"/>
  <c r="BQ113" i="7" s="1"/>
  <c r="BQ115" i="7" s="1"/>
  <c r="BN60" i="7"/>
  <c r="BN62" i="7" s="1"/>
  <c r="BK110" i="7"/>
  <c r="BL80" i="2"/>
  <c r="CC34" i="2"/>
  <c r="CC44" i="2" s="1"/>
  <c r="BK34" i="2"/>
  <c r="BK44" i="2" s="1"/>
  <c r="CB80" i="2"/>
  <c r="BT47" i="2"/>
  <c r="BT49" i="2" s="1"/>
  <c r="BY187" i="2"/>
  <c r="BZ186" i="2"/>
  <c r="BU46" i="2" s="1"/>
  <c r="BF126" i="1"/>
  <c r="BF135" i="1" s="1"/>
  <c r="BF137" i="1" s="1"/>
  <c r="BX126" i="1"/>
  <c r="BX135" i="1" s="1"/>
  <c r="BX137" i="1" s="1"/>
  <c r="DK47" i="1"/>
  <c r="DL47" i="1" s="1"/>
  <c r="BP81" i="1" s="1"/>
  <c r="BY125" i="1" s="1"/>
  <c r="BO82" i="1"/>
  <c r="BO84" i="1" s="1"/>
  <c r="CO210" i="3" l="1"/>
  <c r="CP209" i="3"/>
  <c r="BV60" i="3" s="1"/>
  <c r="CA108" i="3"/>
  <c r="BO108" i="3"/>
  <c r="BU61" i="3"/>
  <c r="BU63" i="3" s="1"/>
  <c r="J42" i="2"/>
  <c r="K42" i="2"/>
  <c r="CF238" i="7"/>
  <c r="CG237" i="7"/>
  <c r="BP59" i="7" s="1"/>
  <c r="BK109" i="7"/>
  <c r="BS109" i="7"/>
  <c r="BS113" i="7" s="1"/>
  <c r="BS115" i="7" s="1"/>
  <c r="BO60" i="7"/>
  <c r="BO62" i="7" s="1"/>
  <c r="BY188" i="2"/>
  <c r="BZ187" i="2"/>
  <c r="BV46" i="2" s="1"/>
  <c r="BU47" i="2"/>
  <c r="BU49" i="2" s="1"/>
  <c r="BL79" i="2"/>
  <c r="CC79" i="2"/>
  <c r="CC100" i="2" s="1"/>
  <c r="CC102" i="2" s="1"/>
  <c r="CD33" i="2"/>
  <c r="BL33" i="2"/>
  <c r="BL44" i="2" s="1"/>
  <c r="BG125" i="1"/>
  <c r="DK48" i="1"/>
  <c r="DL48" i="1" s="1"/>
  <c r="BQ81" i="1" s="1"/>
  <c r="BP82" i="1"/>
  <c r="BP84" i="1" s="1"/>
  <c r="CP210" i="3" l="1"/>
  <c r="BW60" i="3" s="1"/>
  <c r="CO211" i="3"/>
  <c r="BV61" i="3"/>
  <c r="BV63" i="3" s="1"/>
  <c r="BO107" i="3"/>
  <c r="CC107" i="3"/>
  <c r="CC114" i="3" s="1"/>
  <c r="CC116" i="3" s="1"/>
  <c r="K43" i="2"/>
  <c r="J43" i="2"/>
  <c r="CF239" i="7"/>
  <c r="CG238" i="7"/>
  <c r="BQ59" i="7" s="1"/>
  <c r="BU108" i="7"/>
  <c r="BU113" i="7" s="1"/>
  <c r="BU115" i="7" s="1"/>
  <c r="BK108" i="7"/>
  <c r="BP60" i="7"/>
  <c r="BP62" i="7" s="1"/>
  <c r="BN32" i="2"/>
  <c r="BN44" i="2" s="1"/>
  <c r="CD32" i="2"/>
  <c r="CE78" i="2"/>
  <c r="CE100" i="2" s="1"/>
  <c r="CE102" i="2" s="1"/>
  <c r="BV47" i="2"/>
  <c r="BV49" i="2" s="1"/>
  <c r="BL78" i="2"/>
  <c r="BY189" i="2"/>
  <c r="BZ188" i="2"/>
  <c r="BW46" i="2" s="1"/>
  <c r="BI124" i="1"/>
  <c r="BY124" i="1"/>
  <c r="DK49" i="1"/>
  <c r="DL49" i="1" s="1"/>
  <c r="BR81" i="1" s="1"/>
  <c r="BQ82" i="1"/>
  <c r="BQ84" i="1" s="1"/>
  <c r="BO106" i="3" l="1"/>
  <c r="BW61" i="3"/>
  <c r="BW63" i="3" s="1"/>
  <c r="CE106" i="3"/>
  <c r="CE114" i="3" s="1"/>
  <c r="CE116" i="3" s="1"/>
  <c r="CO212" i="3"/>
  <c r="CP211" i="3"/>
  <c r="BX60" i="3" s="1"/>
  <c r="K126" i="2"/>
  <c r="BK107" i="7"/>
  <c r="BW107" i="7"/>
  <c r="BQ60" i="7"/>
  <c r="BQ62" i="7" s="1"/>
  <c r="CF240" i="7"/>
  <c r="CG239" i="7"/>
  <c r="BR59" i="7" s="1"/>
  <c r="CD31" i="2"/>
  <c r="BP31" i="2"/>
  <c r="BP44" i="2" s="1"/>
  <c r="BW47" i="2"/>
  <c r="BW49" i="2" s="1"/>
  <c r="CG77" i="2"/>
  <c r="BL77" i="2"/>
  <c r="BY190" i="2"/>
  <c r="BZ189" i="2"/>
  <c r="BX46" i="2" s="1"/>
  <c r="BK123" i="1"/>
  <c r="BY123" i="1"/>
  <c r="BQ77" i="1"/>
  <c r="BS77" i="1"/>
  <c r="BS79" i="1" s="1"/>
  <c r="DK50" i="1"/>
  <c r="DL50" i="1" s="1"/>
  <c r="BS81" i="1" s="1"/>
  <c r="BR82" i="1"/>
  <c r="BR84" i="1" s="1"/>
  <c r="CP212" i="3" l="1"/>
  <c r="BY60" i="3" s="1"/>
  <c r="CO213" i="3"/>
  <c r="BO105" i="3"/>
  <c r="BO114" i="3" s="1"/>
  <c r="BO116" i="3" s="1"/>
  <c r="CG105" i="3"/>
  <c r="CG114" i="3" s="1"/>
  <c r="CG116" i="3" s="1"/>
  <c r="BX61" i="3"/>
  <c r="BX63" i="3" s="1"/>
  <c r="BR60" i="7"/>
  <c r="BR62" i="7" s="1"/>
  <c r="BY106" i="7"/>
  <c r="BY113" i="7" s="1"/>
  <c r="BY115" i="7" s="1"/>
  <c r="BK106" i="7"/>
  <c r="CF241" i="7"/>
  <c r="CG240" i="7"/>
  <c r="BS59" i="7" s="1"/>
  <c r="BZ190" i="2"/>
  <c r="BY46" i="2" s="1"/>
  <c r="BY191" i="2"/>
  <c r="BR30" i="2"/>
  <c r="BR44" i="2" s="1"/>
  <c r="BL76" i="2"/>
  <c r="BX47" i="2"/>
  <c r="BX49" i="2" s="1"/>
  <c r="CD30" i="2"/>
  <c r="CI76" i="2"/>
  <c r="BM122" i="1"/>
  <c r="BY122" i="1"/>
  <c r="BY135" i="1" s="1"/>
  <c r="BY137" i="1" s="1"/>
  <c r="BU76" i="1"/>
  <c r="BU79" i="1" s="1"/>
  <c r="BQ76" i="1"/>
  <c r="DK51" i="1"/>
  <c r="DL51" i="1" s="1"/>
  <c r="BT81" i="1" s="1"/>
  <c r="BS82" i="1"/>
  <c r="BS84" i="1" s="1"/>
  <c r="BY61" i="3" l="1"/>
  <c r="BY63" i="3" s="1"/>
  <c r="BP104" i="3"/>
  <c r="CH104" i="3"/>
  <c r="CO214" i="3"/>
  <c r="CP213" i="3"/>
  <c r="BZ60" i="3" s="1"/>
  <c r="BK105" i="7"/>
  <c r="BS60" i="7"/>
  <c r="BS62" i="7" s="1"/>
  <c r="CA105" i="7"/>
  <c r="CA113" i="7" s="1"/>
  <c r="CA115" i="7" s="1"/>
  <c r="CG241" i="7"/>
  <c r="BT59" i="7" s="1"/>
  <c r="CF242" i="7"/>
  <c r="BY192" i="2"/>
  <c r="BZ191" i="2"/>
  <c r="BZ46" i="2" s="1"/>
  <c r="CK75" i="2"/>
  <c r="BT29" i="2"/>
  <c r="BT44" i="2" s="1"/>
  <c r="BY47" i="2"/>
  <c r="BY49" i="2" s="1"/>
  <c r="CD29" i="2"/>
  <c r="BL75" i="2"/>
  <c r="BG121" i="1"/>
  <c r="BG135" i="1" s="1"/>
  <c r="BG137" i="1" s="1"/>
  <c r="CH121" i="1"/>
  <c r="BW75" i="1"/>
  <c r="BW79" i="1" s="1"/>
  <c r="BQ75" i="1"/>
  <c r="DK52" i="1"/>
  <c r="DL52" i="1" s="1"/>
  <c r="BU81" i="1" s="1"/>
  <c r="BT82" i="1"/>
  <c r="BT84" i="1" s="1"/>
  <c r="CP214" i="3" l="1"/>
  <c r="CA60" i="3" s="1"/>
  <c r="CO215" i="3"/>
  <c r="BZ61" i="3"/>
  <c r="BZ63" i="3" s="1"/>
  <c r="CH103" i="3"/>
  <c r="BR103" i="3"/>
  <c r="CG242" i="7"/>
  <c r="BU59" i="7" s="1"/>
  <c r="CF243" i="7"/>
  <c r="BT60" i="7"/>
  <c r="BT62" i="7" s="1"/>
  <c r="BK104" i="7"/>
  <c r="BK113" i="7" s="1"/>
  <c r="CC104" i="7"/>
  <c r="CC113" i="7" s="1"/>
  <c r="CC115" i="7" s="1"/>
  <c r="CD28" i="2"/>
  <c r="BZ47" i="2"/>
  <c r="BZ49" i="2" s="1"/>
  <c r="CM74" i="2"/>
  <c r="BL74" i="2"/>
  <c r="BL100" i="2" s="1"/>
  <c r="BL102" i="2" s="1"/>
  <c r="J131" i="2" s="1"/>
  <c r="J132" i="2" s="1"/>
  <c r="BV28" i="2"/>
  <c r="BV44" i="2" s="1"/>
  <c r="BZ192" i="2"/>
  <c r="CA46" i="2" s="1"/>
  <c r="BY193" i="2"/>
  <c r="BI120" i="1"/>
  <c r="BI135" i="1" s="1"/>
  <c r="BI137" i="1" s="1"/>
  <c r="CH120" i="1"/>
  <c r="DK53" i="1"/>
  <c r="DL53" i="1" s="1"/>
  <c r="BV81" i="1" s="1"/>
  <c r="BY74" i="1"/>
  <c r="BY79" i="1" s="1"/>
  <c r="BQ74" i="1"/>
  <c r="BU82" i="1"/>
  <c r="BU84" i="1" s="1"/>
  <c r="CA61" i="3" l="1"/>
  <c r="CA63" i="3" s="1"/>
  <c r="BT102" i="3"/>
  <c r="CH102" i="3"/>
  <c r="CB56" i="3"/>
  <c r="CB58" i="3" s="1"/>
  <c r="BZ56" i="3"/>
  <c r="CP215" i="3"/>
  <c r="CB60" i="3" s="1"/>
  <c r="CO216" i="3"/>
  <c r="BK115" i="7"/>
  <c r="BU60" i="7"/>
  <c r="BU62" i="7" s="1"/>
  <c r="BL103" i="7"/>
  <c r="CD103" i="7"/>
  <c r="CG243" i="7"/>
  <c r="BV59" i="7" s="1"/>
  <c r="CF244" i="7"/>
  <c r="BY194" i="2"/>
  <c r="BZ193" i="2"/>
  <c r="CB46" i="2" s="1"/>
  <c r="BX27" i="2"/>
  <c r="BX44" i="2" s="1"/>
  <c r="CA47" i="2"/>
  <c r="CA49" i="2" s="1"/>
  <c r="CG73" i="2"/>
  <c r="CG100" i="2" s="1"/>
  <c r="CG102" i="2" s="1"/>
  <c r="BU73" i="2"/>
  <c r="CD27" i="2"/>
  <c r="CH119" i="1"/>
  <c r="BK119" i="1"/>
  <c r="BK135" i="1" s="1"/>
  <c r="BK137" i="1" s="1"/>
  <c r="DK54" i="1"/>
  <c r="DL54" i="1" s="1"/>
  <c r="BW81" i="1" s="1"/>
  <c r="CA73" i="1"/>
  <c r="CA79" i="1" s="1"/>
  <c r="BQ73" i="1"/>
  <c r="BV82" i="1"/>
  <c r="BV84" i="1" s="1"/>
  <c r="CP216" i="3" l="1"/>
  <c r="CC60" i="3" s="1"/>
  <c r="CO217" i="3"/>
  <c r="BV101" i="3"/>
  <c r="CB61" i="3"/>
  <c r="CB63" i="3" s="1"/>
  <c r="CH101" i="3"/>
  <c r="CH114" i="3" s="1"/>
  <c r="CH116" i="3" s="1"/>
  <c r="CD55" i="3"/>
  <c r="CD58" i="3" s="1"/>
  <c r="BZ55" i="3"/>
  <c r="BN102" i="7"/>
  <c r="BV60" i="7"/>
  <c r="BV62" i="7" s="1"/>
  <c r="CD102" i="7"/>
  <c r="CG244" i="7"/>
  <c r="BW59" i="7" s="1"/>
  <c r="CF245" i="7"/>
  <c r="BZ194" i="2"/>
  <c r="CC46" i="2" s="1"/>
  <c r="BY195" i="2"/>
  <c r="BZ26" i="2"/>
  <c r="BZ44" i="2" s="1"/>
  <c r="CI72" i="2"/>
  <c r="CI100" i="2" s="1"/>
  <c r="CI102" i="2" s="1"/>
  <c r="CB47" i="2"/>
  <c r="CB49" i="2" s="1"/>
  <c r="CD26" i="2"/>
  <c r="BU72" i="2"/>
  <c r="CH118" i="1"/>
  <c r="BM118" i="1"/>
  <c r="BM135" i="1" s="1"/>
  <c r="BM137" i="1" s="1"/>
  <c r="DK55" i="1"/>
  <c r="DL55" i="1" s="1"/>
  <c r="BX81" i="1" s="1"/>
  <c r="BQ72" i="1"/>
  <c r="CC72" i="1"/>
  <c r="CC79" i="1" s="1"/>
  <c r="BW82" i="1"/>
  <c r="BW84" i="1" s="1"/>
  <c r="CQ100" i="3" l="1"/>
  <c r="BP100" i="3"/>
  <c r="BP114" i="3" s="1"/>
  <c r="BP116" i="3" s="1"/>
  <c r="BZ54" i="3"/>
  <c r="CF54" i="3"/>
  <c r="CF58" i="3" s="1"/>
  <c r="CC61" i="3"/>
  <c r="CC63" i="3" s="1"/>
  <c r="CP217" i="3"/>
  <c r="CD60" i="3" s="1"/>
  <c r="CO218" i="3"/>
  <c r="CF246" i="7"/>
  <c r="CG245" i="7"/>
  <c r="BX59" i="7" s="1"/>
  <c r="BW60" i="7"/>
  <c r="BW62" i="7" s="1"/>
  <c r="BX55" i="7"/>
  <c r="BX57" i="7" s="1"/>
  <c r="BP101" i="7"/>
  <c r="CD101" i="7"/>
  <c r="BV55" i="7"/>
  <c r="BZ195" i="2"/>
  <c r="CD46" i="2" s="1"/>
  <c r="BY196" i="2"/>
  <c r="CK71" i="2"/>
  <c r="CK100" i="2" s="1"/>
  <c r="CK102" i="2" s="1"/>
  <c r="CB25" i="2"/>
  <c r="CB44" i="2" s="1"/>
  <c r="CC47" i="2"/>
  <c r="CC49" i="2" s="1"/>
  <c r="BU71" i="2"/>
  <c r="CD25" i="2"/>
  <c r="CD44" i="2" s="1"/>
  <c r="BO117" i="1"/>
  <c r="BO135" i="1" s="1"/>
  <c r="BO137" i="1" s="1"/>
  <c r="CH117" i="1"/>
  <c r="DK56" i="1"/>
  <c r="DL56" i="1" s="1"/>
  <c r="BY81" i="1" s="1"/>
  <c r="CH116" i="1" s="1"/>
  <c r="BQ71" i="1"/>
  <c r="CE71" i="1"/>
  <c r="CE79" i="1" s="1"/>
  <c r="BX82" i="1"/>
  <c r="BX84" i="1" s="1"/>
  <c r="CP218" i="3" l="1"/>
  <c r="CE60" i="3" s="1"/>
  <c r="CO219" i="3"/>
  <c r="CQ99" i="3"/>
  <c r="CH53" i="3"/>
  <c r="CH58" i="3" s="1"/>
  <c r="BR99" i="3"/>
  <c r="BR114" i="3" s="1"/>
  <c r="BR116" i="3" s="1"/>
  <c r="BZ53" i="3"/>
  <c r="CD61" i="3"/>
  <c r="CD63" i="3" s="1"/>
  <c r="CF247" i="7"/>
  <c r="CG246" i="7"/>
  <c r="BY59" i="7" s="1"/>
  <c r="BX60" i="7"/>
  <c r="BX62" i="7" s="1"/>
  <c r="BR100" i="7"/>
  <c r="BZ54" i="7"/>
  <c r="BZ57" i="7" s="1"/>
  <c r="CD100" i="7"/>
  <c r="CD113" i="7" s="1"/>
  <c r="CD115" i="7" s="1"/>
  <c r="BV54" i="7"/>
  <c r="BZ196" i="2"/>
  <c r="CE46" i="2" s="1"/>
  <c r="BY197" i="2"/>
  <c r="CD47" i="2"/>
  <c r="CD49" i="2" s="1"/>
  <c r="CM70" i="2"/>
  <c r="CM100" i="2" s="1"/>
  <c r="CM102" i="2" s="1"/>
  <c r="BU70" i="2"/>
  <c r="BU100" i="2" s="1"/>
  <c r="BU102" i="2" s="1"/>
  <c r="BQ116" i="1"/>
  <c r="BQ135" i="1" s="1"/>
  <c r="DK57" i="1"/>
  <c r="DL57" i="1" s="1"/>
  <c r="BZ81" i="1" s="1"/>
  <c r="BQ70" i="1"/>
  <c r="CG70" i="1"/>
  <c r="CG79" i="1" s="1"/>
  <c r="BY82" i="1"/>
  <c r="BY84" i="1" s="1"/>
  <c r="CQ98" i="3" l="1"/>
  <c r="BT98" i="3"/>
  <c r="BT114" i="3" s="1"/>
  <c r="BT116" i="3" s="1"/>
  <c r="BZ52" i="3"/>
  <c r="CE61" i="3"/>
  <c r="CE63" i="3" s="1"/>
  <c r="CJ52" i="3"/>
  <c r="CJ58" i="3" s="1"/>
  <c r="CP219" i="3"/>
  <c r="CF60" i="3" s="1"/>
  <c r="CO220" i="3"/>
  <c r="H42" i="1"/>
  <c r="H43" i="1" s="1"/>
  <c r="K42" i="1" s="1"/>
  <c r="BQ137" i="1"/>
  <c r="CF248" i="7"/>
  <c r="CG247" i="7"/>
  <c r="BZ59" i="7" s="1"/>
  <c r="BY60" i="7"/>
  <c r="BY62" i="7" s="1"/>
  <c r="CM99" i="7"/>
  <c r="BL99" i="7"/>
  <c r="BL113" i="7" s="1"/>
  <c r="CB53" i="7"/>
  <c r="CB57" i="7" s="1"/>
  <c r="BV53" i="7"/>
  <c r="BY198" i="2"/>
  <c r="BZ197" i="2"/>
  <c r="CF46" i="2" s="1"/>
  <c r="CN69" i="2"/>
  <c r="CE47" i="2"/>
  <c r="CE49" i="2" s="1"/>
  <c r="BV69" i="2"/>
  <c r="BV100" i="2" s="1"/>
  <c r="BV102" i="2" s="1"/>
  <c r="BR115" i="1"/>
  <c r="CH115" i="1"/>
  <c r="BQ69" i="1"/>
  <c r="BQ79" i="1" s="1"/>
  <c r="CI69" i="1"/>
  <c r="CI79" i="1" s="1"/>
  <c r="DK58" i="1"/>
  <c r="DL58" i="1" s="1"/>
  <c r="CA81" i="1" s="1"/>
  <c r="BZ82" i="1"/>
  <c r="BZ84" i="1" s="1"/>
  <c r="CP220" i="3" l="1"/>
  <c r="CG60" i="3" s="1"/>
  <c r="CO221" i="3"/>
  <c r="CQ97" i="3"/>
  <c r="BV97" i="3"/>
  <c r="BV114" i="3" s="1"/>
  <c r="BV116" i="3" s="1"/>
  <c r="CF61" i="3"/>
  <c r="CF63" i="3" s="1"/>
  <c r="BZ51" i="3"/>
  <c r="CL51" i="3"/>
  <c r="CL58" i="3" s="1"/>
  <c r="BL115" i="7"/>
  <c r="J42" i="1"/>
  <c r="K43" i="1"/>
  <c r="BZ60" i="7"/>
  <c r="BZ62" i="7" s="1"/>
  <c r="CD52" i="7"/>
  <c r="CD57" i="7" s="1"/>
  <c r="BV52" i="7"/>
  <c r="CM98" i="7"/>
  <c r="BN98" i="7"/>
  <c r="BN113" i="7" s="1"/>
  <c r="BN115" i="7" s="1"/>
  <c r="CG248" i="7"/>
  <c r="CA59" i="7" s="1"/>
  <c r="CF249" i="7"/>
  <c r="CN68" i="2"/>
  <c r="CF47" i="2"/>
  <c r="CF49" i="2" s="1"/>
  <c r="BX68" i="2"/>
  <c r="BX100" i="2" s="1"/>
  <c r="BX102" i="2" s="1"/>
  <c r="BZ198" i="2"/>
  <c r="CG46" i="2" s="1"/>
  <c r="BY199" i="2"/>
  <c r="CI114" i="1"/>
  <c r="CI135" i="1" s="1"/>
  <c r="BR114" i="1"/>
  <c r="CJ68" i="1"/>
  <c r="BR68" i="1"/>
  <c r="BR79" i="1" s="1"/>
  <c r="DK59" i="1"/>
  <c r="DL59" i="1" s="1"/>
  <c r="CB81" i="1" s="1"/>
  <c r="CA82" i="1"/>
  <c r="CA84" i="1" s="1"/>
  <c r="CN50" i="3" l="1"/>
  <c r="CN58" i="3" s="1"/>
  <c r="BX96" i="3"/>
  <c r="BX114" i="3" s="1"/>
  <c r="BZ50" i="3"/>
  <c r="CG61" i="3"/>
  <c r="CG63" i="3" s="1"/>
  <c r="CQ96" i="3"/>
  <c r="CP221" i="3"/>
  <c r="CH60" i="3" s="1"/>
  <c r="CO222" i="3"/>
  <c r="CI137" i="1"/>
  <c r="J43" i="1"/>
  <c r="K126" i="1" s="1"/>
  <c r="CG249" i="7"/>
  <c r="CB59" i="7" s="1"/>
  <c r="CF250" i="7"/>
  <c r="BP97" i="7"/>
  <c r="BP113" i="7" s="1"/>
  <c r="BP115" i="7" s="1"/>
  <c r="CF51" i="7"/>
  <c r="CF57" i="7" s="1"/>
  <c r="CA60" i="7"/>
  <c r="CA62" i="7" s="1"/>
  <c r="BV51" i="7"/>
  <c r="CM97" i="7"/>
  <c r="BZ67" i="2"/>
  <c r="BZ100" i="2" s="1"/>
  <c r="BZ102" i="2" s="1"/>
  <c r="CG47" i="2"/>
  <c r="CG49" i="2" s="1"/>
  <c r="CN67" i="2"/>
  <c r="BY200" i="2"/>
  <c r="BZ199" i="2"/>
  <c r="CH46" i="2" s="1"/>
  <c r="CK113" i="1"/>
  <c r="CK135" i="1" s="1"/>
  <c r="CK137" i="1" s="1"/>
  <c r="BR113" i="1"/>
  <c r="CJ67" i="1"/>
  <c r="BT67" i="1"/>
  <c r="BT79" i="1" s="1"/>
  <c r="DK60" i="1"/>
  <c r="DL60" i="1" s="1"/>
  <c r="CC81" i="1" s="1"/>
  <c r="CB82" i="1"/>
  <c r="CB84" i="1" s="1"/>
  <c r="CP222" i="3" l="1"/>
  <c r="CI60" i="3" s="1"/>
  <c r="CO223" i="3"/>
  <c r="CH61" i="3"/>
  <c r="CH63" i="3" s="1"/>
  <c r="CQ95" i="3"/>
  <c r="CP49" i="3"/>
  <c r="CP58" i="3" s="1"/>
  <c r="BZ95" i="3"/>
  <c r="BZ114" i="3" s="1"/>
  <c r="BZ116" i="3" s="1"/>
  <c r="BZ49" i="3"/>
  <c r="BX116" i="3"/>
  <c r="CG250" i="7"/>
  <c r="CC59" i="7" s="1"/>
  <c r="CF251" i="7"/>
  <c r="CM96" i="7"/>
  <c r="CB60" i="7"/>
  <c r="CB62" i="7" s="1"/>
  <c r="BV50" i="7"/>
  <c r="BR96" i="7"/>
  <c r="BR113" i="7" s="1"/>
  <c r="BR115" i="7" s="1"/>
  <c r="CH50" i="7"/>
  <c r="CH57" i="7" s="1"/>
  <c r="BZ200" i="2"/>
  <c r="CI46" i="2" s="1"/>
  <c r="BY201" i="2"/>
  <c r="CB66" i="2"/>
  <c r="CB100" i="2" s="1"/>
  <c r="CB102" i="2" s="1"/>
  <c r="CH47" i="2"/>
  <c r="CH49" i="2" s="1"/>
  <c r="CN66" i="2"/>
  <c r="CM112" i="1"/>
  <c r="BR112" i="1"/>
  <c r="BV66" i="1"/>
  <c r="BV79" i="1" s="1"/>
  <c r="CJ66" i="1"/>
  <c r="DK61" i="1"/>
  <c r="DL61" i="1" s="1"/>
  <c r="CD81" i="1" s="1"/>
  <c r="CC82" i="1"/>
  <c r="CC84" i="1" s="1"/>
  <c r="H42" i="3" l="1"/>
  <c r="H43" i="3" s="1"/>
  <c r="J42" i="3" s="1"/>
  <c r="J43" i="3" s="1"/>
  <c r="BZ48" i="3"/>
  <c r="BZ58" i="3" s="1"/>
  <c r="CA94" i="3"/>
  <c r="CR48" i="3"/>
  <c r="CR58" i="3" s="1"/>
  <c r="CI61" i="3"/>
  <c r="CI63" i="3" s="1"/>
  <c r="CQ94" i="3"/>
  <c r="CP223" i="3"/>
  <c r="CJ60" i="3" s="1"/>
  <c r="CO224" i="3"/>
  <c r="M131" i="2"/>
  <c r="M132" i="2" s="1"/>
  <c r="K131" i="2"/>
  <c r="K132" i="2" s="1"/>
  <c r="CF252" i="7"/>
  <c r="CG251" i="7"/>
  <c r="CD59" i="7" s="1"/>
  <c r="BT95" i="7"/>
  <c r="BT113" i="7" s="1"/>
  <c r="CJ49" i="7"/>
  <c r="CJ57" i="7" s="1"/>
  <c r="BV49" i="7"/>
  <c r="CC60" i="7"/>
  <c r="CC62" i="7" s="1"/>
  <c r="CM95" i="7"/>
  <c r="BY202" i="2"/>
  <c r="BZ201" i="2"/>
  <c r="CJ46" i="2" s="1"/>
  <c r="CI47" i="2"/>
  <c r="CI49" i="2" s="1"/>
  <c r="CD65" i="2"/>
  <c r="CD100" i="2" s="1"/>
  <c r="CD102" i="2" s="1"/>
  <c r="CN65" i="2"/>
  <c r="BR111" i="1"/>
  <c r="CO111" i="1"/>
  <c r="CJ65" i="1"/>
  <c r="BX65" i="1"/>
  <c r="BX79" i="1" s="1"/>
  <c r="DK62" i="1"/>
  <c r="DL62" i="1" s="1"/>
  <c r="CE81" i="1" s="1"/>
  <c r="CD82" i="1"/>
  <c r="CD84" i="1" s="1"/>
  <c r="K42" i="3" l="1"/>
  <c r="K43" i="3" s="1"/>
  <c r="K126" i="3" s="1"/>
  <c r="CA47" i="3"/>
  <c r="CA58" i="3" s="1"/>
  <c r="CJ61" i="3"/>
  <c r="CJ63" i="3" s="1"/>
  <c r="CA93" i="3"/>
  <c r="CS47" i="3"/>
  <c r="CR93" i="3"/>
  <c r="CR114" i="3" s="1"/>
  <c r="CR116" i="3" s="1"/>
  <c r="CP224" i="3"/>
  <c r="CK60" i="3" s="1"/>
  <c r="CO225" i="3"/>
  <c r="BT115" i="7"/>
  <c r="BV48" i="7"/>
  <c r="CL48" i="7"/>
  <c r="CL57" i="7" s="1"/>
  <c r="BV94" i="7"/>
  <c r="BV113" i="7" s="1"/>
  <c r="CM94" i="7"/>
  <c r="CD60" i="7"/>
  <c r="CD62" i="7" s="1"/>
  <c r="CG252" i="7"/>
  <c r="CE59" i="7" s="1"/>
  <c r="CF253" i="7"/>
  <c r="CF64" i="2"/>
  <c r="CF100" i="2" s="1"/>
  <c r="CF102" i="2" s="1"/>
  <c r="CN64" i="2"/>
  <c r="CJ47" i="2"/>
  <c r="CJ49" i="2" s="1"/>
  <c r="BZ202" i="2"/>
  <c r="CK46" i="2" s="1"/>
  <c r="BY203" i="2"/>
  <c r="CQ110" i="1"/>
  <c r="BR110" i="1"/>
  <c r="BZ64" i="1"/>
  <c r="BZ79" i="1" s="1"/>
  <c r="CJ64" i="1"/>
  <c r="DK63" i="1"/>
  <c r="DL63" i="1" s="1"/>
  <c r="CF81" i="1" s="1"/>
  <c r="CE82" i="1"/>
  <c r="CE84" i="1" s="1"/>
  <c r="CP225" i="3" l="1"/>
  <c r="CL60" i="3" s="1"/>
  <c r="CO226" i="3"/>
  <c r="CS46" i="3"/>
  <c r="CC46" i="3"/>
  <c r="CC58" i="3" s="1"/>
  <c r="CA92" i="3"/>
  <c r="CT92" i="3"/>
  <c r="CT114" i="3" s="1"/>
  <c r="CT116" i="3" s="1"/>
  <c r="CK61" i="3"/>
  <c r="CK63" i="3" s="1"/>
  <c r="BV115" i="7"/>
  <c r="H42" i="7"/>
  <c r="H43" i="7" s="1"/>
  <c r="CE60" i="7"/>
  <c r="CE62" i="7" s="1"/>
  <c r="BV47" i="7"/>
  <c r="BV57" i="7" s="1"/>
  <c r="BW93" i="7"/>
  <c r="CM93" i="7"/>
  <c r="CN47" i="7"/>
  <c r="CN57" i="7" s="1"/>
  <c r="CG253" i="7"/>
  <c r="CF59" i="7" s="1"/>
  <c r="CF254" i="7"/>
  <c r="CN63" i="2"/>
  <c r="CH63" i="2"/>
  <c r="CH100" i="2" s="1"/>
  <c r="CH102" i="2" s="1"/>
  <c r="CK47" i="2"/>
  <c r="CK49" i="2" s="1"/>
  <c r="BY204" i="2"/>
  <c r="BZ203" i="2"/>
  <c r="CL46" i="2" s="1"/>
  <c r="BR109" i="1"/>
  <c r="BR135" i="1" s="1"/>
  <c r="J131" i="1" s="1"/>
  <c r="J132" i="1" s="1"/>
  <c r="CS109" i="1"/>
  <c r="CB63" i="1"/>
  <c r="CB79" i="1" s="1"/>
  <c r="CJ63" i="1"/>
  <c r="DK64" i="1"/>
  <c r="DL64" i="1" s="1"/>
  <c r="CG81" i="1" s="1"/>
  <c r="CF82" i="1"/>
  <c r="CF84" i="1" s="1"/>
  <c r="CA91" i="3" l="1"/>
  <c r="CE45" i="3"/>
  <c r="CE58" i="3" s="1"/>
  <c r="CS45" i="3"/>
  <c r="CV91" i="3"/>
  <c r="CL61" i="3"/>
  <c r="CL63" i="3" s="1"/>
  <c r="CO227" i="3"/>
  <c r="CP226" i="3"/>
  <c r="CM60" i="3" s="1"/>
  <c r="K42" i="7"/>
  <c r="J42" i="7"/>
  <c r="CF60" i="7"/>
  <c r="CF62" i="7" s="1"/>
  <c r="CO46" i="7"/>
  <c r="CN92" i="7"/>
  <c r="CN113" i="7" s="1"/>
  <c r="BW46" i="7"/>
  <c r="BW57" i="7" s="1"/>
  <c r="BW92" i="7"/>
  <c r="CF255" i="7"/>
  <c r="CG254" i="7"/>
  <c r="CG59" i="7" s="1"/>
  <c r="BZ204" i="2"/>
  <c r="CM46" i="2" s="1"/>
  <c r="BY205" i="2"/>
  <c r="BZ205" i="2" s="1"/>
  <c r="CN46" i="2" s="1"/>
  <c r="CN47" i="2" s="1"/>
  <c r="CN49" i="2" s="1"/>
  <c r="CL47" i="2"/>
  <c r="CL49" i="2" s="1"/>
  <c r="CJ62" i="2"/>
  <c r="CJ100" i="2" s="1"/>
  <c r="CJ102" i="2" s="1"/>
  <c r="CN62" i="2"/>
  <c r="BR137" i="1"/>
  <c r="CM108" i="1"/>
  <c r="CM135" i="1" s="1"/>
  <c r="CM137" i="1" s="1"/>
  <c r="CA108" i="1"/>
  <c r="CJ62" i="1"/>
  <c r="CD62" i="1"/>
  <c r="CD79" i="1" s="1"/>
  <c r="DK65" i="1"/>
  <c r="DL65" i="1" s="1"/>
  <c r="CH81" i="1" s="1"/>
  <c r="CG82" i="1"/>
  <c r="CG84" i="1" s="1"/>
  <c r="CA90" i="3" l="1"/>
  <c r="CG44" i="3"/>
  <c r="CG58" i="3" s="1"/>
  <c r="CM61" i="3"/>
  <c r="CM63" i="3" s="1"/>
  <c r="CX90" i="3"/>
  <c r="CS44" i="3"/>
  <c r="CP227" i="3"/>
  <c r="CN60" i="3" s="1"/>
  <c r="CO228" i="3"/>
  <c r="J43" i="7"/>
  <c r="CN115" i="7"/>
  <c r="K43" i="7"/>
  <c r="CP91" i="7"/>
  <c r="CP113" i="7" s="1"/>
  <c r="CP115" i="7" s="1"/>
  <c r="CO45" i="7"/>
  <c r="BW91" i="7"/>
  <c r="CG60" i="7"/>
  <c r="CG62" i="7" s="1"/>
  <c r="BY45" i="7"/>
  <c r="BY57" i="7" s="1"/>
  <c r="CG255" i="7"/>
  <c r="CH59" i="7" s="1"/>
  <c r="CF256" i="7"/>
  <c r="CM47" i="2"/>
  <c r="CL61" i="2"/>
  <c r="CL100" i="2" s="1"/>
  <c r="CL102" i="2" s="1"/>
  <c r="CN61" i="2"/>
  <c r="CN100" i="2" s="1"/>
  <c r="CN102" i="2" s="1"/>
  <c r="CO107" i="1"/>
  <c r="CO135" i="1" s="1"/>
  <c r="CO137" i="1" s="1"/>
  <c r="CA107" i="1"/>
  <c r="CF61" i="1"/>
  <c r="CF79" i="1" s="1"/>
  <c r="CJ61" i="1"/>
  <c r="DK66" i="1"/>
  <c r="DK67" i="1" s="1"/>
  <c r="CH82" i="1"/>
  <c r="CH84" i="1" s="1"/>
  <c r="CP228" i="3" l="1"/>
  <c r="CO60" i="3" s="1"/>
  <c r="CO229" i="3"/>
  <c r="CS43" i="3"/>
  <c r="CA89" i="3"/>
  <c r="CZ89" i="3"/>
  <c r="CI43" i="3"/>
  <c r="CI58" i="3" s="1"/>
  <c r="CN61" i="3"/>
  <c r="CN63" i="3" s="1"/>
  <c r="K126" i="7"/>
  <c r="CM49" i="2"/>
  <c r="AX50" i="2" s="1"/>
  <c r="AV50" i="2" s="1"/>
  <c r="AW50" i="2" s="1"/>
  <c r="I131" i="2"/>
  <c r="I132" i="2" s="1"/>
  <c r="H47" i="2"/>
  <c r="H48" i="2" s="1"/>
  <c r="L131" i="2"/>
  <c r="CH60" i="7"/>
  <c r="CH62" i="7" s="1"/>
  <c r="CA44" i="7"/>
  <c r="CA57" i="7" s="1"/>
  <c r="CO44" i="7"/>
  <c r="BW90" i="7"/>
  <c r="CR90" i="7"/>
  <c r="CF257" i="7"/>
  <c r="CG256" i="7"/>
  <c r="CI59" i="7" s="1"/>
  <c r="DL66" i="1"/>
  <c r="CI81" i="1" s="1"/>
  <c r="DK68" i="1"/>
  <c r="DL67" i="1"/>
  <c r="CJ81" i="1" s="1"/>
  <c r="CA88" i="3" l="1"/>
  <c r="CA114" i="3" s="1"/>
  <c r="CK42" i="3"/>
  <c r="CK58" i="3" s="1"/>
  <c r="DB88" i="3"/>
  <c r="CS42" i="3"/>
  <c r="CO61" i="3"/>
  <c r="CO63" i="3" s="1"/>
  <c r="CO230" i="3"/>
  <c r="CP229" i="3"/>
  <c r="CP60" i="3" s="1"/>
  <c r="L48" i="2"/>
  <c r="K48" i="2"/>
  <c r="CG257" i="7"/>
  <c r="CJ59" i="7" s="1"/>
  <c r="CF258" i="7"/>
  <c r="CO43" i="7"/>
  <c r="CI60" i="7"/>
  <c r="CI62" i="7" s="1"/>
  <c r="CC43" i="7"/>
  <c r="CC57" i="7" s="1"/>
  <c r="BW89" i="7"/>
  <c r="CT89" i="7"/>
  <c r="CA105" i="1"/>
  <c r="CS105" i="1"/>
  <c r="CS135" i="1" s="1"/>
  <c r="CS137" i="1" s="1"/>
  <c r="CQ106" i="1"/>
  <c r="CQ135" i="1" s="1"/>
  <c r="CQ137" i="1" s="1"/>
  <c r="CA106" i="1"/>
  <c r="CI82" i="1"/>
  <c r="CI84" i="1" s="1"/>
  <c r="CH60" i="1"/>
  <c r="CH79" i="1" s="1"/>
  <c r="CJ60" i="1"/>
  <c r="CJ79" i="1" s="1"/>
  <c r="CJ82" i="1"/>
  <c r="CJ84" i="1" s="1"/>
  <c r="DK69" i="1"/>
  <c r="DL68" i="1"/>
  <c r="CK81" i="1" s="1"/>
  <c r="J131" i="3" l="1"/>
  <c r="J132" i="3" s="1"/>
  <c r="CA116" i="3"/>
  <c r="CJ87" i="3"/>
  <c r="CS41" i="3"/>
  <c r="CV87" i="3"/>
  <c r="CV114" i="3" s="1"/>
  <c r="CV116" i="3" s="1"/>
  <c r="CM41" i="3"/>
  <c r="CM58" i="3" s="1"/>
  <c r="CP61" i="3"/>
  <c r="CP63" i="3" s="1"/>
  <c r="CO231" i="3"/>
  <c r="CP230" i="3"/>
  <c r="CQ60" i="3" s="1"/>
  <c r="CA135" i="1"/>
  <c r="CA137" i="1" s="1"/>
  <c r="K49" i="2"/>
  <c r="L49" i="2"/>
  <c r="CF259" i="7"/>
  <c r="CG258" i="7"/>
  <c r="CK59" i="7" s="1"/>
  <c r="CO42" i="7"/>
  <c r="CV88" i="7"/>
  <c r="BW88" i="7"/>
  <c r="CJ60" i="7"/>
  <c r="CJ62" i="7" s="1"/>
  <c r="CE42" i="7"/>
  <c r="CE57" i="7" s="1"/>
  <c r="CB104" i="1"/>
  <c r="CB135" i="1" s="1"/>
  <c r="CB137" i="1" s="1"/>
  <c r="CT104" i="1"/>
  <c r="CK82" i="1"/>
  <c r="CK84" i="1" s="1"/>
  <c r="DK70" i="1"/>
  <c r="DL69" i="1"/>
  <c r="CL81" i="1" s="1"/>
  <c r="CP231" i="3" l="1"/>
  <c r="CR60" i="3" s="1"/>
  <c r="CO232" i="3"/>
  <c r="CO40" i="3"/>
  <c r="CO58" i="3" s="1"/>
  <c r="CX86" i="3"/>
  <c r="CX114" i="3" s="1"/>
  <c r="CX116" i="3" s="1"/>
  <c r="CJ86" i="3"/>
  <c r="CS40" i="3"/>
  <c r="CQ61" i="3"/>
  <c r="CQ63" i="3" s="1"/>
  <c r="L126" i="2"/>
  <c r="L132" i="2" s="1"/>
  <c r="AX103" i="2" s="1"/>
  <c r="AV103" i="2" s="1"/>
  <c r="AW103" i="2" s="1"/>
  <c r="CK60" i="7"/>
  <c r="CK62" i="7" s="1"/>
  <c r="BW87" i="7"/>
  <c r="BW113" i="7" s="1"/>
  <c r="CO41" i="7"/>
  <c r="CG41" i="7"/>
  <c r="CG57" i="7" s="1"/>
  <c r="CX87" i="7"/>
  <c r="CG259" i="7"/>
  <c r="CL59" i="7" s="1"/>
  <c r="CF260" i="7"/>
  <c r="CT103" i="1"/>
  <c r="CD103" i="1"/>
  <c r="CD135" i="1" s="1"/>
  <c r="CD137" i="1" s="1"/>
  <c r="CL82" i="1"/>
  <c r="CL84" i="1" s="1"/>
  <c r="DK71" i="1"/>
  <c r="DL70" i="1"/>
  <c r="CM81" i="1" s="1"/>
  <c r="CR61" i="3" l="1"/>
  <c r="CR63" i="3" s="1"/>
  <c r="CZ85" i="3"/>
  <c r="CZ114" i="3" s="1"/>
  <c r="CZ116" i="3" s="1"/>
  <c r="CS39" i="3"/>
  <c r="CS58" i="3" s="1"/>
  <c r="CQ39" i="3"/>
  <c r="CQ58" i="3" s="1"/>
  <c r="CJ85" i="3"/>
  <c r="CO233" i="3"/>
  <c r="CP232" i="3"/>
  <c r="CS60" i="3" s="1"/>
  <c r="BW115" i="7"/>
  <c r="J131" i="7"/>
  <c r="J132" i="7" s="1"/>
  <c r="CR86" i="7"/>
  <c r="CR113" i="7" s="1"/>
  <c r="CR115" i="7" s="1"/>
  <c r="CO40" i="7"/>
  <c r="CL60" i="7"/>
  <c r="CL62" i="7" s="1"/>
  <c r="CF86" i="7"/>
  <c r="CI40" i="7"/>
  <c r="CI57" i="7" s="1"/>
  <c r="CF261" i="7"/>
  <c r="CG260" i="7"/>
  <c r="CM59" i="7" s="1"/>
  <c r="CF102" i="1"/>
  <c r="CF135" i="1" s="1"/>
  <c r="CF137" i="1" s="1"/>
  <c r="CT102" i="1"/>
  <c r="CM82" i="1"/>
  <c r="CM84" i="1" s="1"/>
  <c r="DK72" i="1"/>
  <c r="DL71" i="1"/>
  <c r="CN81" i="1" s="1"/>
  <c r="DB84" i="3" l="1"/>
  <c r="DB114" i="3" s="1"/>
  <c r="DB116" i="3" s="1"/>
  <c r="CS61" i="3"/>
  <c r="CS63" i="3" s="1"/>
  <c r="CJ84" i="3"/>
  <c r="CJ114" i="3" s="1"/>
  <c r="CJ116" i="3" s="1"/>
  <c r="CP233" i="3"/>
  <c r="CT60" i="3" s="1"/>
  <c r="CO234" i="3"/>
  <c r="CK39" i="7"/>
  <c r="CK57" i="7" s="1"/>
  <c r="CT85" i="7"/>
  <c r="CT113" i="7" s="1"/>
  <c r="CT115" i="7" s="1"/>
  <c r="CO39" i="7"/>
  <c r="CF85" i="7"/>
  <c r="CM60" i="7"/>
  <c r="CM62" i="7" s="1"/>
  <c r="CF262" i="7"/>
  <c r="CG261" i="7"/>
  <c r="CN59" i="7" s="1"/>
  <c r="CH101" i="1"/>
  <c r="CH135" i="1" s="1"/>
  <c r="CT101" i="1"/>
  <c r="CN82" i="1"/>
  <c r="CN84" i="1" s="1"/>
  <c r="DK73" i="1"/>
  <c r="DL72" i="1"/>
  <c r="CO81" i="1" s="1"/>
  <c r="CO235" i="3" l="1"/>
  <c r="CP234" i="3"/>
  <c r="CU60" i="3" s="1"/>
  <c r="CK83" i="3"/>
  <c r="CK114" i="3" s="1"/>
  <c r="CK116" i="3" s="1"/>
  <c r="CT61" i="3"/>
  <c r="CT63" i="3" s="1"/>
  <c r="DC83" i="3"/>
  <c r="CF263" i="7"/>
  <c r="CG262" i="7"/>
  <c r="CO59" i="7" s="1"/>
  <c r="CO38" i="7"/>
  <c r="CO57" i="7" s="1"/>
  <c r="CV84" i="7"/>
  <c r="CV113" i="7" s="1"/>
  <c r="CV115" i="7" s="1"/>
  <c r="CM38" i="7"/>
  <c r="CM57" i="7" s="1"/>
  <c r="CN60" i="7"/>
  <c r="CN62" i="7" s="1"/>
  <c r="CF84" i="7"/>
  <c r="CH137" i="1"/>
  <c r="CT100" i="1"/>
  <c r="CJ100" i="1"/>
  <c r="CJ135" i="1" s="1"/>
  <c r="DL73" i="1"/>
  <c r="CP81" i="1" s="1"/>
  <c r="DK74" i="1"/>
  <c r="CO82" i="1"/>
  <c r="CO84" i="1" s="1"/>
  <c r="CP235" i="3" l="1"/>
  <c r="CV60" i="3" s="1"/>
  <c r="CO236" i="3"/>
  <c r="DC82" i="3"/>
  <c r="CM82" i="3"/>
  <c r="CM114" i="3" s="1"/>
  <c r="CM116" i="3" s="1"/>
  <c r="CU61" i="3"/>
  <c r="CU63" i="3" s="1"/>
  <c r="CJ137" i="1"/>
  <c r="K131" i="1"/>
  <c r="K132" i="1" s="1"/>
  <c r="M131" i="1"/>
  <c r="M132" i="1" s="1"/>
  <c r="CO60" i="7"/>
  <c r="CO62" i="7" s="1"/>
  <c r="CX83" i="7"/>
  <c r="CX113" i="7" s="1"/>
  <c r="CX115" i="7" s="1"/>
  <c r="CF83" i="7"/>
  <c r="CF113" i="7" s="1"/>
  <c r="CG263" i="7"/>
  <c r="CP59" i="7" s="1"/>
  <c r="CF264" i="7"/>
  <c r="CP82" i="1"/>
  <c r="CP84" i="1" s="1"/>
  <c r="CL99" i="1"/>
  <c r="CT99" i="1"/>
  <c r="DL74" i="1"/>
  <c r="CQ81" i="1" s="1"/>
  <c r="DK75" i="1"/>
  <c r="DC81" i="3" l="1"/>
  <c r="CO81" i="3"/>
  <c r="CO114" i="3" s="1"/>
  <c r="CO116" i="3" s="1"/>
  <c r="CV61" i="3"/>
  <c r="CV63" i="3" s="1"/>
  <c r="CP236" i="3"/>
  <c r="CW60" i="3" s="1"/>
  <c r="CO237" i="3"/>
  <c r="CF115" i="7"/>
  <c r="CP60" i="7"/>
  <c r="CP62" i="7" s="1"/>
  <c r="CY82" i="7"/>
  <c r="CG82" i="7"/>
  <c r="CG113" i="7" s="1"/>
  <c r="CG115" i="7" s="1"/>
  <c r="CG264" i="7"/>
  <c r="CQ59" i="7" s="1"/>
  <c r="CF265" i="7"/>
  <c r="CL135" i="1"/>
  <c r="CQ82" i="1"/>
  <c r="CQ84" i="1" s="1"/>
  <c r="CN98" i="1"/>
  <c r="CT98" i="1"/>
  <c r="DK76" i="1"/>
  <c r="DL75" i="1"/>
  <c r="CR81" i="1" s="1"/>
  <c r="CP237" i="3" l="1"/>
  <c r="CX60" i="3" s="1"/>
  <c r="CO238" i="3"/>
  <c r="CW61" i="3"/>
  <c r="CW63" i="3" s="1"/>
  <c r="CQ80" i="3"/>
  <c r="CQ114" i="3" s="1"/>
  <c r="CQ116" i="3" s="1"/>
  <c r="DC80" i="3"/>
  <c r="CL137" i="1"/>
  <c r="CF266" i="7"/>
  <c r="CG265" i="7"/>
  <c r="CR59" i="7" s="1"/>
  <c r="CI81" i="7"/>
  <c r="CI113" i="7" s="1"/>
  <c r="CY81" i="7"/>
  <c r="CQ60" i="7"/>
  <c r="CQ62" i="7" s="1"/>
  <c r="CN135" i="1"/>
  <c r="CN137" i="1" s="1"/>
  <c r="CR82" i="1"/>
  <c r="CR84" i="1" s="1"/>
  <c r="CT97" i="1"/>
  <c r="CP97" i="1"/>
  <c r="DK77" i="1"/>
  <c r="DL77" i="1" s="1"/>
  <c r="CT81" i="1" s="1"/>
  <c r="CT82" i="1" s="1"/>
  <c r="CT84" i="1" s="1"/>
  <c r="DL76" i="1"/>
  <c r="CS81" i="1" s="1"/>
  <c r="K131" i="3" l="1"/>
  <c r="K132" i="3" s="1"/>
  <c r="M131" i="3"/>
  <c r="M132" i="3" s="1"/>
  <c r="CS79" i="3"/>
  <c r="CS114" i="3" s="1"/>
  <c r="CS116" i="3" s="1"/>
  <c r="DC79" i="3"/>
  <c r="CX61" i="3"/>
  <c r="CX63" i="3" s="1"/>
  <c r="CO239" i="3"/>
  <c r="CP238" i="3"/>
  <c r="CY60" i="3" s="1"/>
  <c r="CI115" i="7"/>
  <c r="CY80" i="7"/>
  <c r="CR60" i="7"/>
  <c r="CR62" i="7" s="1"/>
  <c r="CK80" i="7"/>
  <c r="CK113" i="7" s="1"/>
  <c r="CK115" i="7" s="1"/>
  <c r="CF267" i="7"/>
  <c r="CG266" i="7"/>
  <c r="CS59" i="7" s="1"/>
  <c r="CS82" i="1"/>
  <c r="CS84" i="1" s="1"/>
  <c r="BD85" i="1" s="1"/>
  <c r="BB85" i="1" s="1"/>
  <c r="BC85" i="1" s="1"/>
  <c r="CR96" i="1"/>
  <c r="CR135" i="1" s="1"/>
  <c r="CR137" i="1" s="1"/>
  <c r="CT96" i="1"/>
  <c r="CT135" i="1" s="1"/>
  <c r="CT137" i="1" s="1"/>
  <c r="CP135" i="1"/>
  <c r="CU78" i="3" l="1"/>
  <c r="CU114" i="3" s="1"/>
  <c r="CU116" i="3" s="1"/>
  <c r="CY61" i="3"/>
  <c r="CY63" i="3" s="1"/>
  <c r="DC78" i="3"/>
  <c r="CP239" i="3"/>
  <c r="CZ60" i="3" s="1"/>
  <c r="CO240" i="3"/>
  <c r="CP137" i="1"/>
  <c r="L131" i="1" s="1"/>
  <c r="H47" i="1"/>
  <c r="H48" i="1" s="1"/>
  <c r="I131" i="1"/>
  <c r="I132" i="1" s="1"/>
  <c r="CM79" i="7"/>
  <c r="CM113" i="7" s="1"/>
  <c r="CM115" i="7" s="1"/>
  <c r="CY79" i="7"/>
  <c r="CS60" i="7"/>
  <c r="CS62" i="7" s="1"/>
  <c r="CG267" i="7"/>
  <c r="CT59" i="7" s="1"/>
  <c r="CF268" i="7"/>
  <c r="CZ61" i="3" l="1"/>
  <c r="CZ63" i="3" s="1"/>
  <c r="CW77" i="3"/>
  <c r="CW114" i="3" s="1"/>
  <c r="CW116" i="3" s="1"/>
  <c r="DC77" i="3"/>
  <c r="CP240" i="3"/>
  <c r="DA60" i="3" s="1"/>
  <c r="CO241" i="3"/>
  <c r="M131" i="7"/>
  <c r="M132" i="7" s="1"/>
  <c r="K131" i="7"/>
  <c r="K132" i="7" s="1"/>
  <c r="L48" i="1"/>
  <c r="K48" i="1"/>
  <c r="CT60" i="7"/>
  <c r="CT62" i="7" s="1"/>
  <c r="CY78" i="7"/>
  <c r="CO78" i="7"/>
  <c r="CO113" i="7" s="1"/>
  <c r="CG268" i="7"/>
  <c r="CU59" i="7" s="1"/>
  <c r="CF269" i="7"/>
  <c r="CP241" i="3" l="1"/>
  <c r="DB60" i="3" s="1"/>
  <c r="CO242" i="3"/>
  <c r="CP242" i="3" s="1"/>
  <c r="DC60" i="3" s="1"/>
  <c r="DC61" i="3" s="1"/>
  <c r="DC63" i="3" s="1"/>
  <c r="DC76" i="3"/>
  <c r="CY76" i="3"/>
  <c r="CY114" i="3" s="1"/>
  <c r="DA61" i="3"/>
  <c r="DA63" i="3" s="1"/>
  <c r="CO115" i="7"/>
  <c r="K49" i="1"/>
  <c r="L49" i="1"/>
  <c r="CF270" i="7"/>
  <c r="CG269" i="7"/>
  <c r="CV59" i="7" s="1"/>
  <c r="CQ77" i="7"/>
  <c r="CQ113" i="7" s="1"/>
  <c r="CY77" i="7"/>
  <c r="CU60" i="7"/>
  <c r="CU62" i="7" s="1"/>
  <c r="DC75" i="3" l="1"/>
  <c r="DC114" i="3" s="1"/>
  <c r="DC116" i="3" s="1"/>
  <c r="DA75" i="3"/>
  <c r="DA114" i="3" s="1"/>
  <c r="I131" i="3" s="1"/>
  <c r="I132" i="3" s="1"/>
  <c r="DB61" i="3"/>
  <c r="DB63" i="3" s="1"/>
  <c r="BM64" i="3" s="1"/>
  <c r="BK64" i="3" s="1"/>
  <c r="BL64" i="3" s="1"/>
  <c r="CY116" i="3"/>
  <c r="CQ115" i="7"/>
  <c r="L126" i="1"/>
  <c r="L132" i="1" s="1"/>
  <c r="BD138" i="1" s="1"/>
  <c r="BB138" i="1" s="1"/>
  <c r="BC138" i="1" s="1"/>
  <c r="CY76" i="7"/>
  <c r="CV60" i="7"/>
  <c r="CV62" i="7" s="1"/>
  <c r="CS76" i="7"/>
  <c r="CS113" i="7" s="1"/>
  <c r="CS115" i="7" s="1"/>
  <c r="CF271" i="7"/>
  <c r="CG270" i="7"/>
  <c r="CW59" i="7" s="1"/>
  <c r="DA116" i="3" l="1"/>
  <c r="L131" i="3" s="1"/>
  <c r="H47" i="3"/>
  <c r="H48" i="3" s="1"/>
  <c r="CG271" i="7"/>
  <c r="CX59" i="7" s="1"/>
  <c r="CF272" i="7"/>
  <c r="CG272" i="7" s="1"/>
  <c r="CY59" i="7" s="1"/>
  <c r="CY60" i="7" s="1"/>
  <c r="CY62" i="7" s="1"/>
  <c r="CW60" i="7"/>
  <c r="CW62" i="7" s="1"/>
  <c r="CY75" i="7"/>
  <c r="CU75" i="7"/>
  <c r="CU113" i="7" s="1"/>
  <c r="CU115" i="7" s="1"/>
  <c r="L48" i="3" l="1"/>
  <c r="L49" i="3" s="1"/>
  <c r="K48" i="3"/>
  <c r="K49" i="3" s="1"/>
  <c r="CX60" i="7"/>
  <c r="CX62" i="7" s="1"/>
  <c r="BI63" i="7" s="1"/>
  <c r="CY74" i="7"/>
  <c r="CY113" i="7" s="1"/>
  <c r="CW74" i="7"/>
  <c r="CW113" i="7" s="1"/>
  <c r="CW115" i="7" s="1"/>
  <c r="L126" i="3" l="1"/>
  <c r="L132" i="3" s="1"/>
  <c r="BM117" i="3" s="1"/>
  <c r="BK117" i="3" s="1"/>
  <c r="BL117" i="3" s="1"/>
  <c r="BG63" i="7"/>
  <c r="BH63" i="7" s="1"/>
  <c r="CY115" i="7"/>
  <c r="L131" i="7" s="1"/>
  <c r="I131" i="7"/>
  <c r="I132" i="7" s="1"/>
  <c r="H47" i="7"/>
  <c r="H48" i="7" s="1"/>
  <c r="L48" i="7" l="1"/>
  <c r="K48" i="7"/>
  <c r="K49" i="7" l="1"/>
  <c r="L49" i="7"/>
  <c r="L126" i="7" l="1"/>
  <c r="L132" i="7" s="1"/>
  <c r="BI116" i="7" s="1"/>
  <c r="BG116" i="7" l="1"/>
  <c r="BH116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Stanislav</author>
  </authors>
  <commentList>
    <comment ref="C2" authorId="0" shapeId="0" xr:uid="{00000000-0006-0000-0000-000001000000}">
      <text>
        <r>
          <rPr>
            <b/>
            <sz val="11"/>
            <color indexed="81"/>
            <rFont val="Tahoma"/>
            <family val="2"/>
          </rPr>
          <t>Stanislav:</t>
        </r>
        <r>
          <rPr>
            <sz val="11"/>
            <color indexed="81"/>
            <rFont val="Tahoma"/>
            <family val="2"/>
          </rPr>
          <t xml:space="preserve">
</t>
        </r>
        <r>
          <rPr>
            <sz val="18"/>
            <color indexed="81"/>
            <rFont val="Tahoma"/>
            <family val="2"/>
            <charset val="204"/>
          </rPr>
          <t xml:space="preserve">разстояние между двата крайни отвора на FR NR с ЕXBAR в средата  </t>
        </r>
      </text>
    </comment>
    <comment ref="D2" authorId="0" shapeId="0" xr:uid="{00000000-0006-0000-0000-000002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разстояние между  крайните отвори на наклонения фрейм.
С EXBAR в средата</t>
        </r>
      </text>
    </comment>
    <comment ref="E2" authorId="0" shapeId="0" xr:uid="{00000000-0006-0000-0000-000003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проектитрано разстояние между два  отвора на EXBAR N- 28 mm</t>
        </r>
      </text>
    </comment>
    <comment ref="F2" authorId="0" shapeId="0" xr:uid="{00000000-0006-0000-0000-000004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проектитрано разстояние между първия отвор на фрейма и началото на координатната система в която смята центъра на тежеста.</t>
        </r>
      </text>
    </comment>
    <comment ref="C3" authorId="0" shapeId="0" xr:uid="{00000000-0006-0000-0000-000005000000}">
      <text>
        <r>
          <rPr>
            <sz val="12"/>
            <color indexed="81"/>
            <rFont val="Tahoma"/>
            <family val="2"/>
          </rPr>
          <t>разстояние от центъра на тежеста на системата до първия отвор за шегел</t>
        </r>
      </text>
    </comment>
    <comment ref="D3" authorId="0" shapeId="0" xr:uid="{00000000-0006-0000-0000-000006000000}">
      <text>
        <r>
          <rPr>
            <sz val="12"/>
            <color indexed="81"/>
            <rFont val="Tahoma"/>
            <family val="2"/>
          </rPr>
          <t>разстояние от центъра на тежеста на системата до първия отвор за шегел при накланяне на фрейма.
Това разстояние се ползва за пресмятане на силите при EXBAR ОТЗАД!</t>
        </r>
      </text>
    </comment>
    <comment ref="C4" authorId="0" shapeId="0" xr:uid="{00000000-0006-0000-0000-000007000000}">
      <text>
        <r>
          <rPr>
            <sz val="12"/>
            <color indexed="81"/>
            <rFont val="Tahoma"/>
            <family val="2"/>
          </rPr>
          <t>разстояние от първия отвор на EXBAR N до последния отвор на FR NR (ADS)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0" shapeId="0" xr:uid="{00000000-0006-0000-0000-000008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разстояние между  крайните отвори на наклонения фрейм+ EXBAR</t>
        </r>
      </text>
    </comment>
    <comment ref="C5" authorId="0" shapeId="0" xr:uid="{00000000-0006-0000-0000-000009000000}">
      <text>
        <r>
          <rPr>
            <b/>
            <sz val="12"/>
            <color indexed="81"/>
            <rFont val="Tahoma"/>
            <family val="2"/>
          </rPr>
          <t>разтояние на центъра на тежеста на системат до първия отвор на EXBAR N</t>
        </r>
      </text>
    </comment>
    <comment ref="D5" authorId="0" shapeId="0" xr:uid="{00000000-0006-0000-0000-00000A000000}">
      <text>
        <r>
          <rPr>
            <b/>
            <sz val="12"/>
            <color indexed="81"/>
            <rFont val="Tahoma"/>
            <family val="2"/>
          </rPr>
          <t xml:space="preserve">разтояние на центъра на тежеста на системат до първия отвор на EXBAR N , който е отпред ПРИ НАКЛОНЕНА СИ-МА
</t>
        </r>
      </text>
    </comment>
    <comment ref="C7" authorId="0" shapeId="0" xr:uid="{00000000-0006-0000-0000-00000B000000}">
      <text>
        <r>
          <rPr>
            <b/>
            <sz val="12"/>
            <color indexed="81"/>
            <rFont val="Tahoma"/>
            <family val="2"/>
          </rPr>
          <t>Stanislav:</t>
        </r>
        <r>
          <rPr>
            <sz val="12"/>
            <color indexed="81"/>
            <rFont val="Tahoma"/>
            <family val="2"/>
          </rPr>
          <t xml:space="preserve">
2x4000- отпред на NRAY
</t>
        </r>
      </text>
    </comment>
    <comment ref="D7" authorId="0" shapeId="0" xr:uid="{00000000-0006-0000-0000-00000C000000}">
      <text>
        <r>
          <rPr>
            <b/>
            <sz val="16"/>
            <color indexed="81"/>
            <rFont val="Tahoma"/>
            <family val="2"/>
          </rPr>
          <t>4400- задно NRAY</t>
        </r>
      </text>
    </comment>
    <comment ref="C8" authorId="0" shapeId="0" xr:uid="{00000000-0006-0000-0000-00000D000000}">
      <text>
        <r>
          <rPr>
            <b/>
            <sz val="16"/>
            <color indexed="81"/>
            <rFont val="Tahoma"/>
            <family val="2"/>
            <charset val="204"/>
          </rPr>
          <t>Stanislav:</t>
        </r>
        <r>
          <rPr>
            <sz val="16"/>
            <color indexed="81"/>
            <rFont val="Tahoma"/>
            <family val="2"/>
            <charset val="204"/>
          </rPr>
          <t xml:space="preserve">
4300-  FRONT OF FR NR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8" authorId="0" shapeId="0" xr:uid="{00000000-0006-0000-0000-00000E000000}">
      <text>
        <r>
          <rPr>
            <b/>
            <sz val="14"/>
            <color indexed="81"/>
            <rFont val="Tahoma"/>
            <family val="2"/>
            <charset val="204"/>
          </rPr>
          <t>Stanislav:</t>
        </r>
        <r>
          <rPr>
            <sz val="14"/>
            <color indexed="81"/>
            <rFont val="Tahoma"/>
            <family val="2"/>
            <charset val="204"/>
          </rPr>
          <t xml:space="preserve">
- MIDDLE BAR OF FR NR
променено на 4300 30.10.23 за да е днакво с на Робин</t>
        </r>
      </text>
    </comment>
    <comment ref="H9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Stanislav: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4"/>
            <color indexed="81"/>
            <rFont val="Tahoma"/>
            <family val="2"/>
            <charset val="204"/>
          </rPr>
          <t>РАЗЛИЧНА ОТ FR AR</t>
        </r>
      </text>
    </comment>
    <comment ref="H11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Stanislav: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4"/>
            <color indexed="81"/>
            <rFont val="Tahoma"/>
            <family val="2"/>
            <charset val="204"/>
          </rPr>
          <t>различно от FR AR</t>
        </r>
      </text>
    </comment>
    <comment ref="C12" authorId="0" shapeId="0" xr:uid="{00000000-0006-0000-0000-000011000000}">
      <text>
        <r>
          <rPr>
            <b/>
            <sz val="12"/>
            <color indexed="81"/>
            <rFont val="Tahoma"/>
            <family val="2"/>
          </rPr>
          <t>общо тегло 
кутии+fr-nr set+кабели</t>
        </r>
      </text>
    </comment>
    <comment ref="C13" authorId="0" shapeId="0" xr:uid="{00000000-0006-0000-0000-000012000000}">
      <text>
        <r>
          <rPr>
            <sz val="12"/>
            <color indexed="81"/>
            <rFont val="Tahoma"/>
            <family val="2"/>
          </rPr>
          <t xml:space="preserve">разстояние  между точките на предното и задното окачване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6" authorId="0" shapeId="0" xr:uid="{00000000-0006-0000-0000-000013000000}">
      <text>
        <r>
          <rPr>
            <b/>
            <sz val="11"/>
            <color indexed="81"/>
            <rFont val="Tahoma"/>
            <family val="2"/>
            <charset val="204"/>
          </rPr>
          <t>Stanislav:</t>
        </r>
        <r>
          <rPr>
            <sz val="11"/>
            <color indexed="81"/>
            <rFont val="Tahoma"/>
            <family val="2"/>
            <charset val="204"/>
          </rPr>
          <t xml:space="preserve">
РАЗЛИЧНО ОТ FR AR</t>
        </r>
      </text>
    </comment>
    <comment ref="H42" authorId="0" shapeId="0" xr:uid="{00000000-0006-0000-0000-000014000000}">
      <text>
        <r>
          <rPr>
            <b/>
            <sz val="14"/>
            <color indexed="81"/>
            <rFont val="Tahoma"/>
            <family val="2"/>
            <charset val="204"/>
          </rPr>
          <t>Stanislav:</t>
        </r>
        <r>
          <rPr>
            <sz val="14"/>
            <color indexed="81"/>
            <rFont val="Tahoma"/>
            <family val="2"/>
            <charset val="204"/>
          </rPr>
          <t xml:space="preserve">
СЕЛЕКТИРА СЕ ДО ADS-a</t>
        </r>
      </text>
    </comment>
    <comment ref="H47" authorId="0" shapeId="0" xr:uid="{00000000-0006-0000-0000-000015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Stanislav:
СЕЛЕКТИРА СЕ ДО ADS-a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Stanislav</author>
  </authors>
  <commentList>
    <comment ref="C2" authorId="0" shapeId="0" xr:uid="{00000000-0006-0000-0100-000001000000}">
      <text>
        <r>
          <rPr>
            <b/>
            <sz val="11"/>
            <color indexed="81"/>
            <rFont val="Tahoma"/>
            <family val="2"/>
          </rPr>
          <t>Stanislav:</t>
        </r>
        <r>
          <rPr>
            <sz val="11"/>
            <color indexed="81"/>
            <rFont val="Tahoma"/>
            <family val="2"/>
          </rPr>
          <t xml:space="preserve">
</t>
        </r>
        <r>
          <rPr>
            <sz val="18"/>
            <color indexed="81"/>
            <rFont val="Tahoma"/>
            <family val="2"/>
            <charset val="204"/>
          </rPr>
          <t xml:space="preserve">разстояние между двата крайни отвора на FR NR с ЕXBAR в средата  </t>
        </r>
      </text>
    </comment>
    <comment ref="D2" authorId="0" shapeId="0" xr:uid="{00000000-0006-0000-0100-000002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разстояние между  крайните отвори на наклонения фрейм.
С EXBAR в средата</t>
        </r>
      </text>
    </comment>
    <comment ref="E2" authorId="0" shapeId="0" xr:uid="{00000000-0006-0000-0100-000003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проектитрано разстояние между два  отвора на EXBAR N- 28 mm</t>
        </r>
      </text>
    </comment>
    <comment ref="F2" authorId="0" shapeId="0" xr:uid="{00000000-0006-0000-0100-000004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проектитрано разстояние между първия отвор на фрейма и началото на координатната система в която смята центъра на тежеста.
 константи за FR NR</t>
        </r>
      </text>
    </comment>
    <comment ref="C3" authorId="0" shapeId="0" xr:uid="{00000000-0006-0000-0100-000005000000}">
      <text>
        <r>
          <rPr>
            <sz val="12"/>
            <color indexed="81"/>
            <rFont val="Tahoma"/>
            <family val="2"/>
          </rPr>
          <t>разстояние от центъра на тежеста на системата до първия отвор за шегел</t>
        </r>
      </text>
    </comment>
    <comment ref="D3" authorId="0" shapeId="0" xr:uid="{00000000-0006-0000-0100-000006000000}">
      <text>
        <r>
          <rPr>
            <sz val="12"/>
            <color indexed="81"/>
            <rFont val="Tahoma"/>
            <family val="2"/>
          </rPr>
          <t>разстояние от центъра на тежеста на системата до първия отвор за шегел при накланяне на фрейма.
Това разстояние се ползва за пресмятане на силите при EXBAR ОТЗАД!</t>
        </r>
      </text>
    </comment>
    <comment ref="C4" authorId="0" shapeId="0" xr:uid="{00000000-0006-0000-0100-000007000000}">
      <text>
        <r>
          <rPr>
            <sz val="12"/>
            <color indexed="81"/>
            <rFont val="Tahoma"/>
            <family val="2"/>
          </rPr>
          <t>разстояние от първия отвор на EXBAR N до последния отвор на FR NR (ADS)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0" shapeId="0" xr:uid="{00000000-0006-0000-0100-000008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разстояние между  крайните отвори на наклонения фрейм+ EXBAR</t>
        </r>
      </text>
    </comment>
    <comment ref="C5" authorId="0" shapeId="0" xr:uid="{00000000-0006-0000-0100-000009000000}">
      <text>
        <r>
          <rPr>
            <b/>
            <sz val="12"/>
            <color indexed="81"/>
            <rFont val="Tahoma"/>
            <family val="2"/>
          </rPr>
          <t>разтояние на центъра на тежеста на системат до първия отвор на EXBAR N</t>
        </r>
      </text>
    </comment>
    <comment ref="D5" authorId="0" shapeId="0" xr:uid="{00000000-0006-0000-0100-00000A000000}">
      <text>
        <r>
          <rPr>
            <b/>
            <sz val="12"/>
            <color indexed="81"/>
            <rFont val="Tahoma"/>
            <family val="2"/>
          </rPr>
          <t xml:space="preserve">разтояние на центъра на тежеста на системат до първия отвор на EXBAR N , който е отпред ПРИ НАКЛОНЕНА СИ-МА
</t>
        </r>
      </text>
    </comment>
    <comment ref="C7" authorId="0" shapeId="0" xr:uid="{00000000-0006-0000-0100-00000B000000}">
      <text>
        <r>
          <rPr>
            <b/>
            <sz val="12"/>
            <color indexed="81"/>
            <rFont val="Tahoma"/>
            <family val="2"/>
          </rPr>
          <t>общо тегло 
кутии+fr-nr set+кабели</t>
        </r>
      </text>
    </comment>
    <comment ref="H9" authorId="0" shapeId="0" xr:uid="{00000000-0006-0000-0100-00000C000000}">
      <text>
        <r>
          <rPr>
            <b/>
            <sz val="9"/>
            <color indexed="81"/>
            <rFont val="Tahoma"/>
            <family val="2"/>
            <charset val="204"/>
          </rPr>
          <t>Stanislav: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4"/>
            <color indexed="81"/>
            <rFont val="Tahoma"/>
            <family val="2"/>
            <charset val="204"/>
          </rPr>
          <t>РАЗЛИЧНА ОТ FR AR</t>
        </r>
      </text>
    </comment>
    <comment ref="C10" authorId="0" shapeId="0" xr:uid="{00000000-0006-0000-0100-00000D000000}">
      <text>
        <r>
          <rPr>
            <b/>
            <sz val="12"/>
            <color indexed="81"/>
            <rFont val="Tahoma"/>
            <family val="2"/>
          </rPr>
          <t>Stanislav:</t>
        </r>
        <r>
          <rPr>
            <sz val="12"/>
            <color indexed="81"/>
            <rFont val="Tahoma"/>
            <family val="2"/>
          </rPr>
          <t xml:space="preserve">
2x3000- отпред на SCNF
</t>
        </r>
      </text>
    </comment>
    <comment ref="D10" authorId="0" shapeId="0" xr:uid="{00000000-0006-0000-0100-00000E000000}">
      <text>
        <r>
          <rPr>
            <b/>
            <sz val="12"/>
            <color indexed="81"/>
            <rFont val="Tahoma"/>
            <family val="2"/>
          </rPr>
          <t>Stanislav:</t>
        </r>
        <r>
          <rPr>
            <sz val="12"/>
            <color indexed="81"/>
            <rFont val="Tahoma"/>
            <family val="2"/>
          </rPr>
          <t xml:space="preserve">
2x3000- отпред на SCNF
</t>
        </r>
      </text>
    </comment>
    <comment ref="C11" authorId="0" shapeId="0" xr:uid="{00000000-0006-0000-0100-00000F000000}">
      <text>
        <r>
          <rPr>
            <b/>
            <sz val="9"/>
            <color indexed="81"/>
            <rFont val="Tahoma"/>
            <family val="2"/>
            <charset val="204"/>
          </rPr>
          <t>Stanislav:</t>
        </r>
        <r>
          <rPr>
            <sz val="9"/>
            <color indexed="81"/>
            <rFont val="Tahoma"/>
            <family val="2"/>
            <charset val="204"/>
          </rPr>
          <t xml:space="preserve">
4300-  FRONT OF FR NR
</t>
        </r>
      </text>
    </comment>
    <comment ref="D11" authorId="0" shapeId="0" xr:uid="{00000000-0006-0000-0100-000010000000}">
      <text>
        <r>
          <rPr>
            <b/>
            <sz val="14"/>
            <color indexed="81"/>
            <rFont val="Tahoma"/>
            <family val="2"/>
            <charset val="204"/>
          </rPr>
          <t>Stanislav:</t>
        </r>
        <r>
          <rPr>
            <sz val="14"/>
            <color indexed="81"/>
            <rFont val="Tahoma"/>
            <family val="2"/>
            <charset val="204"/>
          </rPr>
          <t xml:space="preserve">
- MIDDLE BAR OF FR NR
</t>
        </r>
      </text>
    </comment>
    <comment ref="E11" authorId="0" shapeId="0" xr:uid="{00000000-0006-0000-0100-000011000000}">
      <text>
        <r>
          <rPr>
            <b/>
            <sz val="14"/>
            <color indexed="81"/>
            <rFont val="Tahoma"/>
            <family val="2"/>
            <charset val="204"/>
          </rPr>
          <t>Stanislav:</t>
        </r>
        <r>
          <rPr>
            <sz val="14"/>
            <color indexed="81"/>
            <rFont val="Tahoma"/>
            <family val="2"/>
            <charset val="204"/>
          </rPr>
          <t xml:space="preserve">
- MIDDLE BAR OF FR NR
променено на 4300 30.10.23 за да е днакво с на Робин</t>
        </r>
      </text>
    </comment>
    <comment ref="H11" authorId="0" shapeId="0" xr:uid="{00000000-0006-0000-0100-000012000000}">
      <text>
        <r>
          <rPr>
            <b/>
            <sz val="9"/>
            <color indexed="81"/>
            <rFont val="Tahoma"/>
            <family val="2"/>
            <charset val="204"/>
          </rPr>
          <t>Stanislav: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4"/>
            <color indexed="81"/>
            <rFont val="Tahoma"/>
            <family val="2"/>
            <charset val="204"/>
          </rPr>
          <t>различно от FR AR</t>
        </r>
      </text>
    </comment>
    <comment ref="H16" authorId="0" shapeId="0" xr:uid="{00000000-0006-0000-0100-000013000000}">
      <text>
        <r>
          <rPr>
            <b/>
            <sz val="11"/>
            <color indexed="81"/>
            <rFont val="Tahoma"/>
            <family val="2"/>
            <charset val="204"/>
          </rPr>
          <t>Stanislav:</t>
        </r>
        <r>
          <rPr>
            <sz val="11"/>
            <color indexed="81"/>
            <rFont val="Tahoma"/>
            <family val="2"/>
            <charset val="204"/>
          </rPr>
          <t xml:space="preserve">
РАЗЛИЧНО ОТ FR AR</t>
        </r>
      </text>
    </comment>
    <comment ref="H42" authorId="0" shapeId="0" xr:uid="{00000000-0006-0000-0100-000014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СЕЛЕКТИРА СЕ ДО ADS-a</t>
        </r>
      </text>
    </comment>
    <comment ref="H47" authorId="0" shapeId="0" xr:uid="{00000000-0006-0000-0100-000015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Stanislav:
СЕЛЕКТИРА СЕ ДО ADS-a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Stanislav</author>
  </authors>
  <commentList>
    <comment ref="C2" authorId="0" shapeId="0" xr:uid="{00000000-0006-0000-0200-000001000000}">
      <text>
        <r>
          <rPr>
            <b/>
            <sz val="11"/>
            <color indexed="81"/>
            <rFont val="Tahoma"/>
            <family val="2"/>
          </rPr>
          <t>Stanislav:</t>
        </r>
        <r>
          <rPr>
            <sz val="11"/>
            <color indexed="81"/>
            <rFont val="Tahoma"/>
            <family val="2"/>
          </rPr>
          <t xml:space="preserve">
</t>
        </r>
        <r>
          <rPr>
            <sz val="18"/>
            <color indexed="81"/>
            <rFont val="Tahoma"/>
            <family val="2"/>
            <charset val="204"/>
          </rPr>
          <t xml:space="preserve">разстояние между двата крайни отвора на FR NR с ЕXBAR в средата  </t>
        </r>
      </text>
    </comment>
    <comment ref="D2" authorId="0" shapeId="0" xr:uid="{00000000-0006-0000-0200-000002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разстояние между  крайните отвори на наклонения фрейм.
С EXBAR в средата</t>
        </r>
      </text>
    </comment>
    <comment ref="E2" authorId="0" shapeId="0" xr:uid="{00000000-0006-0000-0200-000003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проектитрано разстояние между два  отвора на EXBAR N- 28 mm</t>
        </r>
      </text>
    </comment>
    <comment ref="F2" authorId="0" shapeId="0" xr:uid="{00000000-0006-0000-0200-000004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проектитрано разстояние между първия отвор на фрейма и началото на координатната система в която смята центъра на тежеста.
 константи за FR AR</t>
        </r>
      </text>
    </comment>
    <comment ref="C3" authorId="0" shapeId="0" xr:uid="{00000000-0006-0000-0200-000005000000}">
      <text>
        <r>
          <rPr>
            <sz val="12"/>
            <color indexed="81"/>
            <rFont val="Tahoma"/>
            <family val="2"/>
          </rPr>
          <t>разстояние от центъра на тежеста на системата до първия отвор за шегел</t>
        </r>
      </text>
    </comment>
    <comment ref="D3" authorId="0" shapeId="0" xr:uid="{00000000-0006-0000-0200-000006000000}">
      <text>
        <r>
          <rPr>
            <sz val="12"/>
            <color indexed="81"/>
            <rFont val="Tahoma"/>
            <family val="2"/>
          </rPr>
          <t>разстояние от центъра на тежеста на системата до първия отвор за шегел при накланяне на фрейма.
Това разстояние се ползва за пресмятане на силите при EXBAR ОТЗАД!</t>
        </r>
      </text>
    </comment>
    <comment ref="C4" authorId="0" shapeId="0" xr:uid="{00000000-0006-0000-0200-000007000000}">
      <text>
        <r>
          <rPr>
            <sz val="12"/>
            <color indexed="81"/>
            <rFont val="Tahoma"/>
            <family val="2"/>
          </rPr>
          <t>разстояние от първия отвор на EXBAR N до последния отвор на FR NR (ADS)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0" shapeId="0" xr:uid="{00000000-0006-0000-0200-000008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разстояние между  крайните отвори на наклонения фрейм+ EXBAR</t>
        </r>
      </text>
    </comment>
    <comment ref="C5" authorId="0" shapeId="0" xr:uid="{00000000-0006-0000-0200-000009000000}">
      <text>
        <r>
          <rPr>
            <b/>
            <sz val="12"/>
            <color indexed="81"/>
            <rFont val="Tahoma"/>
            <family val="2"/>
          </rPr>
          <t>разтояние на центъра на тежеста на системат до първия отвор на EXBAR N</t>
        </r>
      </text>
    </comment>
    <comment ref="D5" authorId="0" shapeId="0" xr:uid="{00000000-0006-0000-0200-00000A000000}">
      <text>
        <r>
          <rPr>
            <b/>
            <sz val="12"/>
            <color indexed="81"/>
            <rFont val="Tahoma"/>
            <family val="2"/>
          </rPr>
          <t xml:space="preserve">разтояние на центъра на тежеста на системат до първия отвор на EXBAR N , който е отпред ПРИ НАКЛОНЕНА СИ-МА
</t>
        </r>
      </text>
    </comment>
    <comment ref="C7" authorId="0" shapeId="0" xr:uid="{00000000-0006-0000-0200-00000B000000}">
      <text>
        <r>
          <rPr>
            <b/>
            <sz val="14"/>
            <color indexed="81"/>
            <rFont val="Tahoma"/>
            <family val="2"/>
          </rPr>
          <t>тегло на цялата система + кабели + EXBAR</t>
        </r>
      </text>
    </comment>
    <comment ref="C9" authorId="0" shapeId="0" xr:uid="{00000000-0006-0000-0200-00000C000000}">
      <text>
        <r>
          <rPr>
            <b/>
            <sz val="14"/>
            <color indexed="81"/>
            <rFont val="Tahoma"/>
            <family val="2"/>
          </rPr>
          <t>център на тежест на системата спрямо предната точка на окачване</t>
        </r>
      </text>
    </comment>
    <comment ref="H9" authorId="0" shapeId="0" xr:uid="{00000000-0006-0000-0200-00000D000000}">
      <text>
        <r>
          <rPr>
            <b/>
            <sz val="9"/>
            <color indexed="81"/>
            <rFont val="Tahoma"/>
            <family val="2"/>
            <charset val="204"/>
          </rPr>
          <t>Stanislav: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4"/>
            <color indexed="81"/>
            <rFont val="Tahoma"/>
            <family val="2"/>
            <charset val="204"/>
          </rPr>
          <t>РАЗЛИЧНА ОТ FR AR</t>
        </r>
      </text>
    </comment>
    <comment ref="C11" authorId="0" shapeId="0" xr:uid="{00000000-0006-0000-0200-00000E000000}">
      <text>
        <r>
          <rPr>
            <b/>
            <sz val="14"/>
            <color indexed="81"/>
            <rFont val="Tahoma"/>
            <family val="2"/>
          </rPr>
          <t>Stanislav:</t>
        </r>
        <r>
          <rPr>
            <sz val="14"/>
            <color indexed="81"/>
            <rFont val="Tahoma"/>
            <family val="2"/>
          </rPr>
          <t xml:space="preserve">
тегло на SCN-F</t>
        </r>
      </text>
    </comment>
    <comment ref="H11" authorId="0" shapeId="0" xr:uid="{00000000-0006-0000-0200-00000F000000}">
      <text>
        <r>
          <rPr>
            <b/>
            <sz val="9"/>
            <color indexed="81"/>
            <rFont val="Tahoma"/>
            <family val="2"/>
            <charset val="204"/>
          </rPr>
          <t>Stanislav: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4"/>
            <color indexed="81"/>
            <rFont val="Tahoma"/>
            <family val="2"/>
            <charset val="204"/>
          </rPr>
          <t>различно от FR AR</t>
        </r>
      </text>
    </comment>
    <comment ref="C12" authorId="0" shapeId="0" xr:uid="{00000000-0006-0000-0200-000010000000}">
      <text>
        <r>
          <rPr>
            <b/>
            <sz val="14"/>
            <color indexed="81"/>
            <rFont val="Tahoma"/>
            <family val="2"/>
          </rPr>
          <t>разстояние между предното и задното окачване на SCN-F</t>
        </r>
      </text>
    </comment>
    <comment ref="C15" authorId="0" shapeId="0" xr:uid="{00000000-0006-0000-0200-000011000000}">
      <text>
        <r>
          <rPr>
            <sz val="12"/>
            <color indexed="81"/>
            <rFont val="Tahoma"/>
            <family val="2"/>
          </rPr>
          <t xml:space="preserve">разстояние  между точките на предното и задното окачване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6" authorId="0" shapeId="0" xr:uid="{00000000-0006-0000-0200-000012000000}">
      <text>
        <r>
          <rPr>
            <b/>
            <sz val="11"/>
            <color indexed="81"/>
            <rFont val="Tahoma"/>
            <family val="2"/>
            <charset val="204"/>
          </rPr>
          <t>Stanislav:</t>
        </r>
        <r>
          <rPr>
            <sz val="11"/>
            <color indexed="81"/>
            <rFont val="Tahoma"/>
            <family val="2"/>
            <charset val="204"/>
          </rPr>
          <t xml:space="preserve">
РАЗЛИЧНО ОТ FR AR</t>
        </r>
      </text>
    </comment>
    <comment ref="C18" authorId="0" shapeId="0" xr:uid="{00000000-0006-0000-0200-000013000000}">
      <text>
        <r>
          <rPr>
            <b/>
            <sz val="12"/>
            <color indexed="81"/>
            <rFont val="Tahoma"/>
            <family val="2"/>
          </rPr>
          <t>Stanislav:</t>
        </r>
        <r>
          <rPr>
            <sz val="12"/>
            <color indexed="81"/>
            <rFont val="Tahoma"/>
            <family val="2"/>
          </rPr>
          <t xml:space="preserve">
2x4000- отпред на NRAY
</t>
        </r>
      </text>
    </comment>
    <comment ref="D18" authorId="0" shapeId="0" xr:uid="{00000000-0006-0000-0200-000014000000}">
      <text>
        <r>
          <rPr>
            <b/>
            <sz val="16"/>
            <color indexed="81"/>
            <rFont val="Tahoma"/>
            <family val="2"/>
          </rPr>
          <t>4400- задно NRAY</t>
        </r>
      </text>
    </comment>
    <comment ref="C19" authorId="0" shapeId="0" xr:uid="{00000000-0006-0000-0200-000015000000}">
      <text>
        <r>
          <rPr>
            <b/>
            <sz val="12"/>
            <color indexed="81"/>
            <rFont val="Tahoma"/>
            <family val="2"/>
          </rPr>
          <t>Stanislav:</t>
        </r>
        <r>
          <rPr>
            <sz val="12"/>
            <color indexed="81"/>
            <rFont val="Tahoma"/>
            <family val="2"/>
          </rPr>
          <t xml:space="preserve">
2x3000- отпред на SCNF
</t>
        </r>
      </text>
    </comment>
    <comment ref="D19" authorId="0" shapeId="0" xr:uid="{00000000-0006-0000-0200-000016000000}">
      <text>
        <r>
          <rPr>
            <b/>
            <sz val="12"/>
            <color indexed="81"/>
            <rFont val="Tahoma"/>
            <family val="2"/>
          </rPr>
          <t>Stanislav:</t>
        </r>
        <r>
          <rPr>
            <sz val="12"/>
            <color indexed="81"/>
            <rFont val="Tahoma"/>
            <family val="2"/>
          </rPr>
          <t xml:space="preserve">
2x3000- отпред на SCNF
</t>
        </r>
      </text>
    </comment>
    <comment ref="C20" authorId="0" shapeId="0" xr:uid="{00000000-0006-0000-0200-000017000000}">
      <text>
        <r>
          <rPr>
            <b/>
            <sz val="9"/>
            <color indexed="81"/>
            <rFont val="Tahoma"/>
            <family val="2"/>
            <charset val="204"/>
          </rPr>
          <t>Stanislav:</t>
        </r>
        <r>
          <rPr>
            <sz val="9"/>
            <color indexed="81"/>
            <rFont val="Tahoma"/>
            <family val="2"/>
            <charset val="204"/>
          </rPr>
          <t xml:space="preserve">
4300-  FRONT OF FR NR
</t>
        </r>
      </text>
    </comment>
    <comment ref="D20" authorId="0" shapeId="0" xr:uid="{00000000-0006-0000-0200-000018000000}">
      <text>
        <r>
          <rPr>
            <b/>
            <sz val="14"/>
            <color indexed="81"/>
            <rFont val="Tahoma"/>
            <family val="2"/>
            <charset val="204"/>
          </rPr>
          <t>Stanislav:</t>
        </r>
        <r>
          <rPr>
            <sz val="14"/>
            <color indexed="81"/>
            <rFont val="Tahoma"/>
            <family val="2"/>
            <charset val="204"/>
          </rPr>
          <t xml:space="preserve">
- MIDDLE BAR OF FR NR
</t>
        </r>
      </text>
    </comment>
    <comment ref="E20" authorId="0" shapeId="0" xr:uid="{00000000-0006-0000-0200-000019000000}">
      <text>
        <r>
          <rPr>
            <b/>
            <sz val="14"/>
            <color indexed="81"/>
            <rFont val="Tahoma"/>
            <family val="2"/>
            <charset val="204"/>
          </rPr>
          <t>Stanislav:</t>
        </r>
        <r>
          <rPr>
            <sz val="14"/>
            <color indexed="81"/>
            <rFont val="Tahoma"/>
            <family val="2"/>
            <charset val="204"/>
          </rPr>
          <t xml:space="preserve">
- MIDDLE BAR OF FR NR
променено на 4300 30.10.23 за да е днакво с на Робин</t>
        </r>
      </text>
    </comment>
    <comment ref="H42" authorId="0" shapeId="0" xr:uid="{00000000-0006-0000-0200-00001A000000}">
      <text>
        <r>
          <rPr>
            <b/>
            <sz val="14"/>
            <color indexed="81"/>
            <rFont val="Tahoma"/>
            <family val="2"/>
            <charset val="204"/>
          </rPr>
          <t>Stanislav:</t>
        </r>
        <r>
          <rPr>
            <sz val="14"/>
            <color indexed="81"/>
            <rFont val="Tahoma"/>
            <family val="2"/>
            <charset val="204"/>
          </rPr>
          <t xml:space="preserve">
СЕЛЕКТИРА СЕ ДО ADS-a</t>
        </r>
      </text>
    </comment>
    <comment ref="H47" authorId="0" shapeId="0" xr:uid="{00000000-0006-0000-0200-00001B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Stanislav:
СЕЛЕКТИРА СЕ ДО ADS-a</t>
        </r>
      </text>
    </comment>
    <comment ref="AN167" authorId="0" shapeId="0" xr:uid="{00000000-0006-0000-0200-00001C000000}">
      <text>
        <r>
          <rPr>
            <b/>
            <sz val="14"/>
            <color indexed="81"/>
            <rFont val="Tahoma"/>
            <family val="2"/>
            <charset val="204"/>
          </rPr>
          <t>Stanislav:</t>
        </r>
        <r>
          <rPr>
            <sz val="14"/>
            <color indexed="81"/>
            <rFont val="Tahoma"/>
            <family val="2"/>
            <charset val="204"/>
          </rPr>
          <t xml:space="preserve">
421- расстояние между горната и долната точка на SC 2F
69- височина на FR NR
смята се от върха на най- горния фрейм- така изчисленията съвпадат с ease focus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Stanislav</author>
  </authors>
  <commentList>
    <comment ref="C2" authorId="0" shapeId="0" xr:uid="{00000000-0006-0000-0300-000001000000}">
      <text>
        <r>
          <rPr>
            <b/>
            <sz val="11"/>
            <color indexed="81"/>
            <rFont val="Tahoma"/>
            <family val="2"/>
          </rPr>
          <t>Stanislav:</t>
        </r>
        <r>
          <rPr>
            <sz val="11"/>
            <color indexed="81"/>
            <rFont val="Tahoma"/>
            <family val="2"/>
          </rPr>
          <t xml:space="preserve">
</t>
        </r>
        <r>
          <rPr>
            <sz val="18"/>
            <color indexed="81"/>
            <rFont val="Tahoma"/>
            <family val="2"/>
            <charset val="204"/>
          </rPr>
          <t xml:space="preserve">разстояние между двата крайни отвора на FR NR с ЕXBAR в средата  </t>
        </r>
      </text>
    </comment>
    <comment ref="D2" authorId="0" shapeId="0" xr:uid="{00000000-0006-0000-0300-000002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разстояние между  крайните отвори на наклонения фрейм.
С EXBAR в средата</t>
        </r>
      </text>
    </comment>
    <comment ref="E2" authorId="0" shapeId="0" xr:uid="{00000000-0006-0000-0300-000003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проектитрано разстояние между два  отвора на EXBAR N- 28 mm</t>
        </r>
      </text>
    </comment>
    <comment ref="F2" authorId="0" shapeId="0" xr:uid="{00000000-0006-0000-0300-000004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проектитрано разстояние между първия отвор на фрейма и началото на координатната система в която смята центъра на тежеста.
 константи за FR AR</t>
        </r>
      </text>
    </comment>
    <comment ref="C3" authorId="0" shapeId="0" xr:uid="{00000000-0006-0000-0300-000005000000}">
      <text>
        <r>
          <rPr>
            <sz val="12"/>
            <color indexed="81"/>
            <rFont val="Tahoma"/>
            <family val="2"/>
          </rPr>
          <t>разстояние от центъра на тежеста на системата до първия отвор за шегел</t>
        </r>
      </text>
    </comment>
    <comment ref="D3" authorId="0" shapeId="0" xr:uid="{00000000-0006-0000-0300-000006000000}">
      <text>
        <r>
          <rPr>
            <sz val="12"/>
            <color indexed="81"/>
            <rFont val="Tahoma"/>
            <family val="2"/>
          </rPr>
          <t>разстояние от центъра на тежеста на системата до първия отвор за шегел при накланяне на фрейма.
Това разстояние се ползва за пресмятане на силите при EXBAR ОТЗАД!</t>
        </r>
      </text>
    </comment>
    <comment ref="C4" authorId="0" shapeId="0" xr:uid="{00000000-0006-0000-0300-000007000000}">
      <text>
        <r>
          <rPr>
            <sz val="12"/>
            <color indexed="81"/>
            <rFont val="Tahoma"/>
            <family val="2"/>
          </rPr>
          <t>разстояние от първия отвор на EXBAR N до последния отвор на FR NR (ADS)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0" shapeId="0" xr:uid="{00000000-0006-0000-0300-000008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разстояние между  крайните отвори на наклонения фрейм+ EXBAR</t>
        </r>
      </text>
    </comment>
    <comment ref="C5" authorId="0" shapeId="0" xr:uid="{00000000-0006-0000-0300-000009000000}">
      <text>
        <r>
          <rPr>
            <b/>
            <sz val="12"/>
            <color indexed="81"/>
            <rFont val="Tahoma"/>
            <family val="2"/>
          </rPr>
          <t>разтояние на центъра на тежеста на системат до първия отвор на EXBAR N</t>
        </r>
      </text>
    </comment>
    <comment ref="D5" authorId="0" shapeId="0" xr:uid="{00000000-0006-0000-0300-00000A000000}">
      <text>
        <r>
          <rPr>
            <b/>
            <sz val="12"/>
            <color indexed="81"/>
            <rFont val="Tahoma"/>
            <family val="2"/>
          </rPr>
          <t xml:space="preserve">разтояние на центъра на тежеста на системат до първия отвор на EXBAR N , който е отпред ПРИ НАКЛОНЕНА СИ-МА
</t>
        </r>
      </text>
    </comment>
    <comment ref="C7" authorId="0" shapeId="0" xr:uid="{00000000-0006-0000-0300-00000B000000}">
      <text>
        <r>
          <rPr>
            <b/>
            <sz val="14"/>
            <color indexed="81"/>
            <rFont val="Tahoma"/>
            <family val="2"/>
          </rPr>
          <t>тегло на цялата система + кабели</t>
        </r>
      </text>
    </comment>
    <comment ref="C9" authorId="0" shapeId="0" xr:uid="{00000000-0006-0000-0300-00000C000000}">
      <text>
        <r>
          <rPr>
            <b/>
            <sz val="14"/>
            <color indexed="81"/>
            <rFont val="Tahoma"/>
            <family val="2"/>
          </rPr>
          <t>център на тежест на системата спрямо предната точка на окачване</t>
        </r>
      </text>
    </comment>
    <comment ref="H9" authorId="0" shapeId="0" xr:uid="{00000000-0006-0000-0300-00000D000000}">
      <text>
        <r>
          <rPr>
            <b/>
            <sz val="9"/>
            <color indexed="81"/>
            <rFont val="Tahoma"/>
            <family val="2"/>
            <charset val="204"/>
          </rPr>
          <t>Stanislav: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4"/>
            <color indexed="81"/>
            <rFont val="Tahoma"/>
            <family val="2"/>
            <charset val="204"/>
          </rPr>
          <t>РАЗЛИЧНА ОТ FR AR</t>
        </r>
      </text>
    </comment>
    <comment ref="C11" authorId="0" shapeId="0" xr:uid="{00000000-0006-0000-0300-00000E000000}">
      <text>
        <r>
          <rPr>
            <b/>
            <sz val="14"/>
            <color indexed="81"/>
            <rFont val="Tahoma"/>
            <family val="2"/>
          </rPr>
          <t>Stanislav:</t>
        </r>
        <r>
          <rPr>
            <sz val="14"/>
            <color indexed="81"/>
            <rFont val="Tahoma"/>
            <family val="2"/>
          </rPr>
          <t xml:space="preserve">
тегло на SCN-F</t>
        </r>
      </text>
    </comment>
    <comment ref="H11" authorId="0" shapeId="0" xr:uid="{00000000-0006-0000-0300-00000F000000}">
      <text>
        <r>
          <rPr>
            <b/>
            <sz val="9"/>
            <color indexed="81"/>
            <rFont val="Tahoma"/>
            <family val="2"/>
            <charset val="204"/>
          </rPr>
          <t>Stanislav: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4"/>
            <color indexed="81"/>
            <rFont val="Tahoma"/>
            <family val="2"/>
            <charset val="204"/>
          </rPr>
          <t>различно от FR AR</t>
        </r>
      </text>
    </comment>
    <comment ref="C12" authorId="0" shapeId="0" xr:uid="{00000000-0006-0000-0300-000010000000}">
      <text>
        <r>
          <rPr>
            <b/>
            <sz val="14"/>
            <color indexed="81"/>
            <rFont val="Tahoma"/>
            <family val="2"/>
          </rPr>
          <t>разстояние между предното и задното окачване на SCN-F</t>
        </r>
      </text>
    </comment>
    <comment ref="C15" authorId="0" shapeId="0" xr:uid="{00000000-0006-0000-0300-000011000000}">
      <text>
        <r>
          <rPr>
            <sz val="12"/>
            <color indexed="81"/>
            <rFont val="Tahoma"/>
            <family val="2"/>
          </rPr>
          <t xml:space="preserve">разстояние  между точките на предното и задното окачване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6" authorId="0" shapeId="0" xr:uid="{00000000-0006-0000-0300-000012000000}">
      <text>
        <r>
          <rPr>
            <b/>
            <sz val="11"/>
            <color indexed="81"/>
            <rFont val="Tahoma"/>
            <family val="2"/>
            <charset val="204"/>
          </rPr>
          <t>Stanislav:</t>
        </r>
        <r>
          <rPr>
            <sz val="11"/>
            <color indexed="81"/>
            <rFont val="Tahoma"/>
            <family val="2"/>
            <charset val="204"/>
          </rPr>
          <t xml:space="preserve">
РАЗЛИЧНО ОТ FR AR</t>
        </r>
      </text>
    </comment>
    <comment ref="C18" authorId="0" shapeId="0" xr:uid="{00000000-0006-0000-0300-000013000000}">
      <text>
        <r>
          <rPr>
            <b/>
            <sz val="12"/>
            <color indexed="81"/>
            <rFont val="Tahoma"/>
            <family val="2"/>
          </rPr>
          <t>Stanislav:</t>
        </r>
        <r>
          <rPr>
            <sz val="12"/>
            <color indexed="81"/>
            <rFont val="Tahoma"/>
            <family val="2"/>
          </rPr>
          <t xml:space="preserve">
2x4000- отпред на NRAY
</t>
        </r>
      </text>
    </comment>
    <comment ref="D18" authorId="0" shapeId="0" xr:uid="{00000000-0006-0000-0300-000014000000}">
      <text>
        <r>
          <rPr>
            <b/>
            <sz val="16"/>
            <color indexed="81"/>
            <rFont val="Tahoma"/>
            <family val="2"/>
          </rPr>
          <t>4400- задно NRAY</t>
        </r>
      </text>
    </comment>
    <comment ref="C19" authorId="0" shapeId="0" xr:uid="{00000000-0006-0000-0300-000015000000}">
      <text>
        <r>
          <rPr>
            <b/>
            <sz val="12"/>
            <color indexed="81"/>
            <rFont val="Tahoma"/>
            <family val="2"/>
          </rPr>
          <t>Stanislav:</t>
        </r>
        <r>
          <rPr>
            <sz val="12"/>
            <color indexed="81"/>
            <rFont val="Tahoma"/>
            <family val="2"/>
          </rPr>
          <t xml:space="preserve">
2x3000- отпред на SCNF
</t>
        </r>
      </text>
    </comment>
    <comment ref="D19" authorId="0" shapeId="0" xr:uid="{00000000-0006-0000-0300-000016000000}">
      <text>
        <r>
          <rPr>
            <b/>
            <sz val="12"/>
            <color indexed="81"/>
            <rFont val="Tahoma"/>
            <family val="2"/>
          </rPr>
          <t>Stanislav:</t>
        </r>
        <r>
          <rPr>
            <sz val="12"/>
            <color indexed="81"/>
            <rFont val="Tahoma"/>
            <family val="2"/>
          </rPr>
          <t xml:space="preserve">
2x3000- отпред на SCNF
</t>
        </r>
      </text>
    </comment>
    <comment ref="C20" authorId="0" shapeId="0" xr:uid="{00000000-0006-0000-0300-000017000000}">
      <text>
        <r>
          <rPr>
            <b/>
            <sz val="9"/>
            <color indexed="81"/>
            <rFont val="Tahoma"/>
            <family val="2"/>
            <charset val="204"/>
          </rPr>
          <t>Stanislav:</t>
        </r>
        <r>
          <rPr>
            <sz val="9"/>
            <color indexed="81"/>
            <rFont val="Tahoma"/>
            <family val="2"/>
            <charset val="204"/>
          </rPr>
          <t xml:space="preserve">
4300-  FRONT OF FR NR
</t>
        </r>
      </text>
    </comment>
    <comment ref="D20" authorId="0" shapeId="0" xr:uid="{00000000-0006-0000-0300-000018000000}">
      <text>
        <r>
          <rPr>
            <b/>
            <sz val="14"/>
            <color indexed="81"/>
            <rFont val="Tahoma"/>
            <family val="2"/>
            <charset val="204"/>
          </rPr>
          <t>Stanislav:</t>
        </r>
        <r>
          <rPr>
            <sz val="14"/>
            <color indexed="81"/>
            <rFont val="Tahoma"/>
            <family val="2"/>
            <charset val="204"/>
          </rPr>
          <t xml:space="preserve">
- MIDDLE BAR OF FR NR
</t>
        </r>
      </text>
    </comment>
    <comment ref="E20" authorId="0" shapeId="0" xr:uid="{00000000-0006-0000-0300-000019000000}">
      <text>
        <r>
          <rPr>
            <b/>
            <sz val="14"/>
            <color indexed="81"/>
            <rFont val="Tahoma"/>
            <family val="2"/>
            <charset val="204"/>
          </rPr>
          <t>Stanislav:</t>
        </r>
        <r>
          <rPr>
            <sz val="14"/>
            <color indexed="81"/>
            <rFont val="Tahoma"/>
            <family val="2"/>
            <charset val="204"/>
          </rPr>
          <t xml:space="preserve">
- MIDDLE BAR OF FR NR
променено на 4300 30.10.23 за да е днакво с на Робин</t>
        </r>
      </text>
    </comment>
    <comment ref="H42" authorId="0" shapeId="0" xr:uid="{00000000-0006-0000-0300-00001A000000}">
      <text>
        <r>
          <rPr>
            <b/>
            <sz val="14"/>
            <color indexed="81"/>
            <rFont val="Tahoma"/>
            <family val="2"/>
            <charset val="204"/>
          </rPr>
          <t>Stanislav:</t>
        </r>
        <r>
          <rPr>
            <sz val="14"/>
            <color indexed="81"/>
            <rFont val="Tahoma"/>
            <family val="2"/>
            <charset val="204"/>
          </rPr>
          <t xml:space="preserve">
СЕЛЕКТИРА СЕ ДО ADS-a</t>
        </r>
      </text>
    </comment>
    <comment ref="H47" authorId="0" shapeId="0" xr:uid="{00000000-0006-0000-0300-00001B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Stanislav:
СЕЛЕКТИРА СЕ ДО ADS-a</t>
        </r>
      </text>
    </comment>
    <comment ref="AO172" authorId="0" shapeId="0" xr:uid="{00000000-0006-0000-0300-00001C000000}">
      <text>
        <r>
          <rPr>
            <b/>
            <sz val="14"/>
            <color indexed="81"/>
            <rFont val="Tahoma"/>
            <family val="2"/>
            <charset val="204"/>
          </rPr>
          <t>Stanislav:</t>
        </r>
        <r>
          <rPr>
            <sz val="14"/>
            <color indexed="81"/>
            <rFont val="Tahoma"/>
            <family val="2"/>
            <charset val="204"/>
          </rPr>
          <t xml:space="preserve">
193.7277797 - разстояние между горната и долната точка на NRAY
69- височина на FR NR
смята се от върха на най- горния фрейм- така изчисленията съвпадат с ease focus</t>
        </r>
      </text>
    </comment>
    <comment ref="C180" authorId="0" shapeId="0" xr:uid="{00000000-0006-0000-0300-00001D000000}">
      <text>
        <r>
          <rPr>
            <b/>
            <sz val="14"/>
            <color indexed="81"/>
            <rFont val="Tahoma"/>
            <family val="2"/>
          </rPr>
          <t>формулат ае различна за 2 системи които се огъват</t>
        </r>
      </text>
    </comment>
    <comment ref="AO197" authorId="0" shapeId="0" xr:uid="{00000000-0006-0000-0300-00001E000000}">
      <text>
        <r>
          <rPr>
            <b/>
            <sz val="14"/>
            <color indexed="81"/>
            <rFont val="Tahoma"/>
            <family val="2"/>
            <charset val="204"/>
          </rPr>
          <t>Stanislav:</t>
        </r>
        <r>
          <rPr>
            <sz val="14"/>
            <color indexed="81"/>
            <rFont val="Tahoma"/>
            <family val="2"/>
            <charset val="204"/>
          </rPr>
          <t xml:space="preserve">
193.7277797 - разстояние между горната и долната точка на NRAY
69- височина на FR NR
смята се от върха на най- горния фрейм- така изчисленията съвпадат с ease focus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Stanislav</author>
  </authors>
  <commentList>
    <comment ref="C2" authorId="0" shapeId="0" xr:uid="{00000000-0006-0000-0400-000001000000}">
      <text>
        <r>
          <rPr>
            <b/>
            <sz val="11"/>
            <color indexed="81"/>
            <rFont val="Tahoma"/>
            <family val="2"/>
          </rPr>
          <t>Stanislav:</t>
        </r>
        <r>
          <rPr>
            <sz val="11"/>
            <color indexed="81"/>
            <rFont val="Tahoma"/>
            <family val="2"/>
          </rPr>
          <t xml:space="preserve">
</t>
        </r>
        <r>
          <rPr>
            <sz val="18"/>
            <color indexed="81"/>
            <rFont val="Tahoma"/>
            <family val="2"/>
            <charset val="204"/>
          </rPr>
          <t xml:space="preserve">разстояние между двата крайни отвора на FR NR с ЕXBAR в средата  </t>
        </r>
      </text>
    </comment>
    <comment ref="D2" authorId="0" shapeId="0" xr:uid="{00000000-0006-0000-0400-000002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разстояние между  крайните отвори на наклонения фрейм.
С EXBAR в средата</t>
        </r>
      </text>
    </comment>
    <comment ref="E2" authorId="0" shapeId="0" xr:uid="{00000000-0006-0000-0400-000003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проектитрано разстояние между два  отвора на EXBAR N- 28 mm</t>
        </r>
      </text>
    </comment>
    <comment ref="F2" authorId="0" shapeId="0" xr:uid="{00000000-0006-0000-0400-000004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проектитрано разстояние между първия отвор на фрейма и началото на координатната система в която смята центъра на тежеста.
 константи за FR AR</t>
        </r>
      </text>
    </comment>
    <comment ref="C3" authorId="0" shapeId="0" xr:uid="{00000000-0006-0000-0400-000005000000}">
      <text>
        <r>
          <rPr>
            <sz val="12"/>
            <color indexed="81"/>
            <rFont val="Tahoma"/>
            <family val="2"/>
          </rPr>
          <t>разстояние от центъра на тежеста на системата до първия отвор за шегел</t>
        </r>
      </text>
    </comment>
    <comment ref="D3" authorId="0" shapeId="0" xr:uid="{00000000-0006-0000-0400-000006000000}">
      <text>
        <r>
          <rPr>
            <sz val="12"/>
            <color indexed="81"/>
            <rFont val="Tahoma"/>
            <family val="2"/>
          </rPr>
          <t>разстояние от центъра на тежеста на системата до първия отвор за шегел при накланяне на фрейма.
Това разстояние се ползва за пресмятане на силите при EXBAR ОТЗАД!</t>
        </r>
      </text>
    </comment>
    <comment ref="C4" authorId="0" shapeId="0" xr:uid="{00000000-0006-0000-0400-000007000000}">
      <text>
        <r>
          <rPr>
            <sz val="12"/>
            <color indexed="81"/>
            <rFont val="Tahoma"/>
            <family val="2"/>
          </rPr>
          <t>разстояние от първия отвор на EXBAR N до последния отвор на FR NR (ADS)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0" shapeId="0" xr:uid="{00000000-0006-0000-0400-000008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разстояние между  крайните отвори на наклонения фрейм+ EXBAR</t>
        </r>
      </text>
    </comment>
    <comment ref="C5" authorId="0" shapeId="0" xr:uid="{00000000-0006-0000-0400-000009000000}">
      <text>
        <r>
          <rPr>
            <b/>
            <sz val="12"/>
            <color indexed="81"/>
            <rFont val="Tahoma"/>
            <family val="2"/>
          </rPr>
          <t>разтояние на центъра на тежеста на системат до първия отвор на EXBAR N</t>
        </r>
      </text>
    </comment>
    <comment ref="D5" authorId="0" shapeId="0" xr:uid="{00000000-0006-0000-0400-00000A000000}">
      <text>
        <r>
          <rPr>
            <b/>
            <sz val="12"/>
            <color indexed="81"/>
            <rFont val="Tahoma"/>
            <family val="2"/>
          </rPr>
          <t xml:space="preserve">разтояние на центъра на тежеста на системат до първия отвор на EXBAR N , който е отпред ПРИ НАКЛОНЕНА СИ-МА
</t>
        </r>
      </text>
    </comment>
    <comment ref="C7" authorId="0" shapeId="0" xr:uid="{00000000-0006-0000-0400-00000B000000}">
      <text>
        <r>
          <rPr>
            <b/>
            <sz val="14"/>
            <color indexed="81"/>
            <rFont val="Tahoma"/>
            <family val="2"/>
          </rPr>
          <t>тегло на цялата система + кабели + EXBAR VR</t>
        </r>
      </text>
    </comment>
    <comment ref="C9" authorId="0" shapeId="0" xr:uid="{00000000-0006-0000-0400-00000C000000}">
      <text>
        <r>
          <rPr>
            <b/>
            <sz val="14"/>
            <color indexed="81"/>
            <rFont val="Tahoma"/>
            <family val="2"/>
          </rPr>
          <t>център на тежест на системата спрямо предната точка на окачване</t>
        </r>
      </text>
    </comment>
    <comment ref="H9" authorId="0" shapeId="0" xr:uid="{00000000-0006-0000-0400-00000D000000}">
      <text>
        <r>
          <rPr>
            <b/>
            <sz val="9"/>
            <color indexed="81"/>
            <rFont val="Tahoma"/>
            <family val="2"/>
            <charset val="204"/>
          </rPr>
          <t>Stanislav: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4"/>
            <color indexed="81"/>
            <rFont val="Tahoma"/>
            <family val="2"/>
            <charset val="204"/>
          </rPr>
          <t>РАЗЛИЧНА ОТ FR AR</t>
        </r>
      </text>
    </comment>
    <comment ref="C10" authorId="0" shapeId="0" xr:uid="{00000000-0006-0000-0400-00000E000000}">
      <text>
        <r>
          <rPr>
            <b/>
            <sz val="14"/>
            <color indexed="81"/>
            <rFont val="Tahoma"/>
            <family val="2"/>
          </rPr>
          <t>Stanislav:</t>
        </r>
        <r>
          <rPr>
            <sz val="14"/>
            <color indexed="81"/>
            <rFont val="Tahoma"/>
            <family val="2"/>
          </rPr>
          <t xml:space="preserve">
тегло на SCV F системата SCV F
+ FR VR</t>
        </r>
      </text>
    </comment>
    <comment ref="C11" authorId="0" shapeId="0" xr:uid="{00000000-0006-0000-0400-00000F000000}">
      <text>
        <r>
          <rPr>
            <b/>
            <sz val="14"/>
            <color indexed="81"/>
            <rFont val="Tahoma"/>
            <family val="2"/>
          </rPr>
          <t>разстояние между предното и задното окачване на SCN-F</t>
        </r>
      </text>
    </comment>
    <comment ref="H11" authorId="0" shapeId="0" xr:uid="{00000000-0006-0000-0400-000010000000}">
      <text>
        <r>
          <rPr>
            <b/>
            <sz val="9"/>
            <color indexed="81"/>
            <rFont val="Tahoma"/>
            <family val="2"/>
            <charset val="204"/>
          </rPr>
          <t>Stanislav: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4"/>
            <color indexed="81"/>
            <rFont val="Tahoma"/>
            <family val="2"/>
            <charset val="204"/>
          </rPr>
          <t>различно от FR AR</t>
        </r>
      </text>
    </comment>
    <comment ref="C13" authorId="0" shapeId="0" xr:uid="{00000000-0006-0000-0400-000011000000}">
      <text>
        <r>
          <rPr>
            <sz val="14"/>
            <color indexed="81"/>
            <rFont val="Tahoma"/>
            <family val="2"/>
          </rPr>
          <t>тегло на системаат  ViRAY + FR VF</t>
        </r>
      </text>
    </comment>
    <comment ref="C14" authorId="0" shapeId="0" xr:uid="{00000000-0006-0000-0400-000012000000}">
      <text>
        <r>
          <rPr>
            <sz val="12"/>
            <color indexed="81"/>
            <rFont val="Tahoma"/>
            <family val="2"/>
          </rPr>
          <t xml:space="preserve">разстояние  между точките на предното и задното окачване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6" authorId="0" shapeId="0" xr:uid="{00000000-0006-0000-0400-000013000000}">
      <text>
        <r>
          <rPr>
            <b/>
            <sz val="11"/>
            <color indexed="81"/>
            <rFont val="Tahoma"/>
            <family val="2"/>
            <charset val="204"/>
          </rPr>
          <t>Stanislav:</t>
        </r>
        <r>
          <rPr>
            <sz val="11"/>
            <color indexed="81"/>
            <rFont val="Tahoma"/>
            <family val="2"/>
            <charset val="204"/>
          </rPr>
          <t xml:space="preserve">
РАЗЛИЧНО ОТ FR AR</t>
        </r>
      </text>
    </comment>
    <comment ref="C17" authorId="0" shapeId="0" xr:uid="{00000000-0006-0000-0400-000014000000}">
      <text>
        <r>
          <rPr>
            <b/>
            <sz val="12"/>
            <color indexed="81"/>
            <rFont val="Tahoma"/>
            <family val="2"/>
          </rPr>
          <t>Stanislav:</t>
        </r>
        <r>
          <rPr>
            <sz val="12"/>
            <color indexed="81"/>
            <rFont val="Tahoma"/>
            <family val="2"/>
          </rPr>
          <t xml:space="preserve">
2x4000- отпред на NRAY
</t>
        </r>
      </text>
    </comment>
    <comment ref="D17" authorId="0" shapeId="0" xr:uid="{00000000-0006-0000-0400-000015000000}">
      <text>
        <r>
          <rPr>
            <b/>
            <sz val="16"/>
            <color indexed="81"/>
            <rFont val="Tahoma"/>
            <family val="2"/>
          </rPr>
          <t>4400- задно NRAY</t>
        </r>
      </text>
    </comment>
    <comment ref="C18" authorId="0" shapeId="0" xr:uid="{00000000-0006-0000-0400-000016000000}">
      <text>
        <r>
          <rPr>
            <b/>
            <sz val="12"/>
            <color indexed="81"/>
            <rFont val="Tahoma"/>
            <family val="2"/>
          </rPr>
          <t>Stanislav:</t>
        </r>
        <r>
          <rPr>
            <sz val="12"/>
            <color indexed="81"/>
            <rFont val="Tahoma"/>
            <family val="2"/>
          </rPr>
          <t xml:space="preserve">
2x3000- отпред на SCNF
</t>
        </r>
      </text>
    </comment>
    <comment ref="D18" authorId="0" shapeId="0" xr:uid="{00000000-0006-0000-0400-000017000000}">
      <text>
        <r>
          <rPr>
            <b/>
            <sz val="12"/>
            <color indexed="81"/>
            <rFont val="Tahoma"/>
            <family val="2"/>
          </rPr>
          <t>Stanislav:</t>
        </r>
        <r>
          <rPr>
            <sz val="12"/>
            <color indexed="81"/>
            <rFont val="Tahoma"/>
            <family val="2"/>
          </rPr>
          <t xml:space="preserve">
2x3000- отпред на SCNF
</t>
        </r>
      </text>
    </comment>
    <comment ref="H42" authorId="0" shapeId="0" xr:uid="{00000000-0006-0000-0400-000018000000}">
      <text>
        <r>
          <rPr>
            <b/>
            <sz val="14"/>
            <color indexed="81"/>
            <rFont val="Tahoma"/>
            <family val="2"/>
            <charset val="204"/>
          </rPr>
          <t>Stanislav:</t>
        </r>
        <r>
          <rPr>
            <sz val="14"/>
            <color indexed="81"/>
            <rFont val="Tahoma"/>
            <family val="2"/>
            <charset val="204"/>
          </rPr>
          <t xml:space="preserve">
СЕЛЕКТИРА СЕ ДО ADS-a</t>
        </r>
      </text>
    </comment>
    <comment ref="H47" authorId="0" shapeId="0" xr:uid="{00000000-0006-0000-0400-000019000000}">
      <text>
        <r>
          <rPr>
            <b/>
            <sz val="12"/>
            <color indexed="81"/>
            <rFont val="Tahoma"/>
            <family val="2"/>
            <charset val="204"/>
          </rPr>
          <t>Stanislav:</t>
        </r>
        <r>
          <rPr>
            <sz val="12"/>
            <color indexed="81"/>
            <rFont val="Tahoma"/>
            <family val="2"/>
            <charset val="204"/>
          </rPr>
          <t xml:space="preserve">
Stanislav:
СЕЛЕКТИРА СЕ ДО ADS-a</t>
        </r>
      </text>
    </comment>
    <comment ref="C50" authorId="0" shapeId="0" xr:uid="{00000000-0006-0000-0400-00001A000000}">
      <text>
        <r>
          <rPr>
            <b/>
            <sz val="9"/>
            <color indexed="81"/>
            <rFont val="Tahoma"/>
            <family val="2"/>
            <charset val="204"/>
          </rPr>
          <t>Stanislav:</t>
        </r>
        <r>
          <rPr>
            <sz val="9"/>
            <color indexed="81"/>
            <rFont val="Tahoma"/>
            <family val="2"/>
            <charset val="204"/>
          </rPr>
          <t xml:space="preserve">
4300-  FRONT OF FR NR
</t>
        </r>
      </text>
    </comment>
    <comment ref="D50" authorId="0" shapeId="0" xr:uid="{00000000-0006-0000-0400-00001B000000}">
      <text>
        <r>
          <rPr>
            <b/>
            <sz val="14"/>
            <color indexed="81"/>
            <rFont val="Tahoma"/>
            <family val="2"/>
            <charset val="204"/>
          </rPr>
          <t>Stanislav:</t>
        </r>
        <r>
          <rPr>
            <sz val="14"/>
            <color indexed="81"/>
            <rFont val="Tahoma"/>
            <family val="2"/>
            <charset val="204"/>
          </rPr>
          <t xml:space="preserve">
- MIDDLE BAR OF FR NR
</t>
        </r>
      </text>
    </comment>
    <comment ref="E50" authorId="0" shapeId="0" xr:uid="{00000000-0006-0000-0400-00001C000000}">
      <text>
        <r>
          <rPr>
            <b/>
            <sz val="14"/>
            <color indexed="81"/>
            <rFont val="Tahoma"/>
            <family val="2"/>
            <charset val="204"/>
          </rPr>
          <t>Stanislav:</t>
        </r>
        <r>
          <rPr>
            <sz val="14"/>
            <color indexed="81"/>
            <rFont val="Tahoma"/>
            <family val="2"/>
            <charset val="204"/>
          </rPr>
          <t xml:space="preserve">
- MIDDLE BAR OF FR NR
променено на 4300 30.10.23 за да е днакво с на Робин</t>
        </r>
      </text>
    </comment>
  </commentList>
</comments>
</file>

<file path=xl/sharedStrings.xml><?xml version="1.0" encoding="utf-8"?>
<sst xmlns="http://schemas.openxmlformats.org/spreadsheetml/2006/main" count="1445" uniqueCount="239">
  <si>
    <t>b</t>
  </si>
  <si>
    <t>k</t>
  </si>
  <si>
    <t>b/2</t>
  </si>
  <si>
    <t>sin b/2</t>
  </si>
  <si>
    <t>d</t>
  </si>
  <si>
    <t>2c</t>
  </si>
  <si>
    <t>e=a/2</t>
  </si>
  <si>
    <t>sin(e)</t>
  </si>
  <si>
    <t>c=sin(b/2)*d</t>
  </si>
  <si>
    <t>f=sin(e)*2c</t>
  </si>
  <si>
    <t>g center of  mass -x</t>
  </si>
  <si>
    <t>h=g+f</t>
  </si>
  <si>
    <t>center of mass X</t>
  </si>
  <si>
    <t>a-angle</t>
  </si>
  <si>
    <t>a</t>
  </si>
  <si>
    <t>L</t>
  </si>
  <si>
    <t>G</t>
  </si>
  <si>
    <t>kg</t>
  </si>
  <si>
    <t xml:space="preserve">G </t>
  </si>
  <si>
    <t xml:space="preserve">L </t>
  </si>
  <si>
    <t>Fa=((L-a)/L)*G</t>
  </si>
  <si>
    <t>Fb=(a/L)*G</t>
  </si>
  <si>
    <t>enter the value of a-angle</t>
  </si>
  <si>
    <t>front</t>
  </si>
  <si>
    <t>rear</t>
  </si>
  <si>
    <t>Weight total:</t>
  </si>
  <si>
    <t>L(2motors)=</t>
  </si>
  <si>
    <t>2 motors, kg</t>
  </si>
  <si>
    <t>front motor</t>
  </si>
  <si>
    <t>rear motor</t>
  </si>
  <si>
    <t>enter the number of cabinets from 1 up to 12</t>
  </si>
  <si>
    <t>a - общ ъгъл</t>
  </si>
  <si>
    <t>sin t</t>
  </si>
  <si>
    <t>m= sin t *n(const)</t>
  </si>
  <si>
    <t>sin r</t>
  </si>
  <si>
    <t>p= sin r *q(const)</t>
  </si>
  <si>
    <t xml:space="preserve">g - тегло на боксожете под тази </t>
  </si>
  <si>
    <t>L=m+n</t>
  </si>
  <si>
    <t>z- център на тежест на боксовете след него спрямо първата колона</t>
  </si>
  <si>
    <t>J=x-p</t>
  </si>
  <si>
    <t>A=z-J</t>
  </si>
  <si>
    <t>Fa=((L-A)/L)*G</t>
  </si>
  <si>
    <t>Fb=(A/L)*G</t>
  </si>
  <si>
    <t>от тук на долу, ако AJ е отрицателно стойността на клетката да е 0.3, ако е положително да е нула</t>
  </si>
  <si>
    <t>синьо</t>
  </si>
  <si>
    <t>the real angle between the cabinets when pining in the groundstacking hole</t>
  </si>
  <si>
    <t>L=m+p</t>
  </si>
  <si>
    <t xml:space="preserve">x= (SUM Gi*xi)/G
</t>
  </si>
  <si>
    <t>Asc8=z-J</t>
  </si>
  <si>
    <t>Asc8+la12 =x-J</t>
  </si>
  <si>
    <t>k - safety factor</t>
  </si>
  <si>
    <t>G,kg</t>
  </si>
  <si>
    <t>L,mm</t>
  </si>
  <si>
    <t>a,mm</t>
  </si>
  <si>
    <t>center  om mass от R напред</t>
  </si>
  <si>
    <t>center  om mass от А назад</t>
  </si>
  <si>
    <t>kg.</t>
  </si>
  <si>
    <t>x ViRAY</t>
  </si>
  <si>
    <t>A SCV F=z-J</t>
  </si>
  <si>
    <t>J=x-m</t>
  </si>
  <si>
    <t>b=k+a</t>
  </si>
  <si>
    <t>ОБЩ ЪГЪЛ</t>
  </si>
  <si>
    <t>n</t>
  </si>
  <si>
    <t>kn</t>
  </si>
  <si>
    <t>kn-a</t>
  </si>
  <si>
    <t>cos(kn-a)</t>
  </si>
  <si>
    <t>x=cos(kn-a)*n</t>
  </si>
  <si>
    <t>h=x</t>
  </si>
  <si>
    <t>пресмятане на отместването  на център на тежеста на следващата система(за да се сумират двете системи)</t>
  </si>
  <si>
    <t>ъгъл</t>
  </si>
  <si>
    <t>j=cosv*n</t>
  </si>
  <si>
    <t>q=z-j</t>
  </si>
  <si>
    <t>най-долната колона</t>
  </si>
  <si>
    <t>j=cosv*d</t>
  </si>
  <si>
    <t>z- център на тежест на боксовете след него спрямо първата колона от горния array(началото на ккординатната система)</t>
  </si>
  <si>
    <t>z- център на тежест на боксовете след него спрямо първата колона от най -горния array(началото на ккординатната система)</t>
  </si>
  <si>
    <t>Lx</t>
  </si>
  <si>
    <t>Lo</t>
  </si>
  <si>
    <t>Ao</t>
  </si>
  <si>
    <t>пресмятане на разстоянието между центъра на тежеста спрямо първия отвор за шегел на фрейма</t>
  </si>
  <si>
    <t>1 motor - 1 point</t>
  </si>
  <si>
    <t>x AiRAY</t>
  </si>
  <si>
    <t>САМО ЗА SCV F И AiRAY</t>
  </si>
  <si>
    <t>G
g SCV F - тегло на боксожете под тази +AiRAY</t>
  </si>
  <si>
    <t>d AiRAY</t>
  </si>
  <si>
    <t>ONLY 0</t>
  </si>
  <si>
    <t>enter the number of cabinets from 1 up to 24</t>
  </si>
  <si>
    <t>k- const</t>
  </si>
  <si>
    <t>f-ъгъл</t>
  </si>
  <si>
    <t>cos(f)</t>
  </si>
  <si>
    <t>изчисляване на центъра на тежеста на системата FR AR и АiRAY</t>
  </si>
  <si>
    <t>x= (SUM Gi*xi)/G</t>
  </si>
  <si>
    <t>EASE Focus Index</t>
  </si>
  <si>
    <t>РАЗСТОЯНИЕ</t>
  </si>
  <si>
    <t>sin(a)</t>
  </si>
  <si>
    <t>a- общ ъгъл</t>
  </si>
  <si>
    <t>a(2motors)=a1-8</t>
  </si>
  <si>
    <t>L(2motors) 
with exbar in front or at the back andN ADS</t>
  </si>
  <si>
    <t>a(2motors)with 
exbar in front =a+300</t>
  </si>
  <si>
    <t>destroying force, kg NRAY</t>
  </si>
  <si>
    <t>enter the angle of frame FR NR</t>
  </si>
  <si>
    <t>N-RAY</t>
  </si>
  <si>
    <t>fr-nr set - 9.4 kg</t>
  </si>
  <si>
    <t>from -6 to 6</t>
  </si>
  <si>
    <t>t= 74.85-a</t>
  </si>
  <si>
    <t>r= 56.78+a</t>
  </si>
  <si>
    <t>изчисляване на центъра на тежеста на FR NR</t>
  </si>
  <si>
    <t>изчисляване на центъра на тежеста на системата FR NR и NRAY</t>
  </si>
  <si>
    <t>x=cos(f)*n(const)
n=273.33076 за FR NR</t>
  </si>
  <si>
    <t>ТЕГЛОТО НА ФРЕЙМА!!! 9.4 кг</t>
  </si>
  <si>
    <t>safety factor of FR NR</t>
  </si>
  <si>
    <t>Total weight includes: N-RAY, FR-NR,set ( 9.4 kg), Main LS Cables (10 kg)</t>
  </si>
  <si>
    <t>with EXBAR-N at the front and ADS-N</t>
  </si>
  <si>
    <t>with ADS-N and EXBAR-N at the back</t>
  </si>
  <si>
    <t>with EXBAR-N in the middle</t>
  </si>
  <si>
    <t>1 motor- 2 points
with EXBAR-N in the middle</t>
  </si>
  <si>
    <t>ТУК ИМА КОНСТАНТА</t>
  </si>
  <si>
    <t>destroying force FR NR</t>
  </si>
  <si>
    <t>destroying force, kg SCN-F</t>
  </si>
  <si>
    <t>enter the angle of frame FR-NR</t>
  </si>
  <si>
    <t>SCN-F</t>
  </si>
  <si>
    <t>0; 1; 2; 3; 4; 5; 6; 7; 8;10;12</t>
  </si>
  <si>
    <t>да се оправят възможните градуси в колона D</t>
  </si>
  <si>
    <t>enter 0 or 2 or 5</t>
  </si>
  <si>
    <t>t= 48.34+a</t>
  </si>
  <si>
    <t>r= 55.90-a</t>
  </si>
  <si>
    <t>Total weight includes: SCN-F, FR-NR,set ( 9.4 kg), Main LS Cables (10 kg)</t>
  </si>
  <si>
    <t>G , SCN-F</t>
  </si>
  <si>
    <t>L , SCN-F</t>
  </si>
  <si>
    <t xml:space="preserve"> + тегло на FR NR без exbar</t>
  </si>
  <si>
    <t>G , NRAY</t>
  </si>
  <si>
    <t>L, NRAY</t>
  </si>
  <si>
    <t>да се оправи цвета</t>
  </si>
  <si>
    <t>v, SCN-F</t>
  </si>
  <si>
    <t>n SCN-F</t>
  </si>
  <si>
    <t xml:space="preserve">g SCN-F - тегло на боксожете под тази </t>
  </si>
  <si>
    <t>G
g SCNF - тегло на боксожете под тази +NRAY</t>
  </si>
  <si>
    <t xml:space="preserve"> 7.5kg- тегло на FR NR без exbar</t>
  </si>
  <si>
    <t>Ascnf+nray =x-J</t>
  </si>
  <si>
    <t>изчисляване на центъра на тежеста на FR nr спрямо най- горния FR nr - началото на координатната си-ма</t>
  </si>
  <si>
    <t>n=sin(a)*((броя на колоните *421)+69+69)
n=273.33076 за FR NR</t>
  </si>
  <si>
    <t>x NRAY</t>
  </si>
  <si>
    <t>изчисляване на центъра на тежеста на FR NR спрямо неговата нула</t>
  </si>
  <si>
    <t>Total weight includes: SCN-F, N-RAY, FR-NR set ( 9.4 kg), FR-NR (7.5 kg), Main LS Cables (10 kg)</t>
  </si>
  <si>
    <t>v, NRAY</t>
  </si>
  <si>
    <r>
      <t xml:space="preserve"> + 2 x тегло на FR NR без exbar(7.5), </t>
    </r>
    <r>
      <rPr>
        <sz val="16"/>
        <color rgb="FFFF0000"/>
        <rFont val="Arial"/>
        <family val="2"/>
        <charset val="204"/>
      </rPr>
      <t>тегло SA NR???</t>
    </r>
  </si>
  <si>
    <t>G-NRAY+SCNF - тегло на боксожете под тази + 2FR NR без exbar+sanr</t>
  </si>
  <si>
    <t>да оправя теглото на sa nr</t>
  </si>
  <si>
    <t>A NRAY+SCN F+NRAY =x-J</t>
  </si>
  <si>
    <t>САМО ЗА SCVN F И NRAY</t>
  </si>
  <si>
    <t>изчисляване на центъра на тежеста на ВТОРИЯ FR NR спрямо неговата нула</t>
  </si>
  <si>
    <t>изчисляване на центъра на тежеста на ВТОРИЯ  FR AR спрямо най- горния FR NR</t>
  </si>
  <si>
    <t>n=sin(a)*((броя на колоните *193.7277797)+69+69)
n=273.33076 за FR NR</t>
  </si>
  <si>
    <t>САМО ЗА SCN-F И NRAY</t>
  </si>
  <si>
    <t>G
g SCN-F + NRAY - тегло на боксожете под тази+ 1x FR NR</t>
  </si>
  <si>
    <t>A NRAY+SCN F =x-J</t>
  </si>
  <si>
    <t>изчисляване на центъра на тежеста на ТРЕТИЯ FR NR спрямо неговата нула</t>
  </si>
  <si>
    <t>изчисляване на центъра на тежеста на ТРЕТИЯ  FR NR спрямо най- горния FR NR</t>
  </si>
  <si>
    <t>n=sin(a)*((броя на колоните N-RAY*193.72)+(броя на колоните SCN-F*421)+69+69+69)
n=378.71303 за FR AR</t>
  </si>
  <si>
    <t>Total weight includes: N-RAY, SCN-F, FR-NR set ( 9.4 kg), 2xFR-NR (7.5 kg),SA NR,  Main LS Cables (10 kg)</t>
  </si>
  <si>
    <t>да се оправи цвета защото е променено от 20 на 24 възможните колони</t>
  </si>
  <si>
    <t>NR LINK-1 kg</t>
  </si>
  <si>
    <t>0; 1; 2; 3; 4; 5; 6; 7; 8;10</t>
  </si>
  <si>
    <t>Total weight includes: SCN-F, N-RAY, FR-NR set ( 9.4 kg), NR-LINK (1 kg), Main LS Cables (10 kg)</t>
  </si>
  <si>
    <t>1 motor -2 points
with EXBAR-N and ADS-N</t>
  </si>
  <si>
    <t>k-safety factor</t>
  </si>
  <si>
    <t>enter : from -8 to 6</t>
  </si>
  <si>
    <t>enter the number of cabinets from 1 up to 9</t>
  </si>
  <si>
    <t>1.Изчисляване на силата при ексбар отпред и  ADS отзад</t>
  </si>
  <si>
    <t>F  пин1</t>
  </si>
  <si>
    <t>F  пин2</t>
  </si>
  <si>
    <t>F  пин4 (ADS)</t>
  </si>
  <si>
    <t>сила, кг</t>
  </si>
  <si>
    <t>safety според силата в пина</t>
  </si>
  <si>
    <t>safety според огъването на middle bar</t>
  </si>
  <si>
    <t>2.Изчисляване на силата при ексбар отзад и  ADS отпред</t>
  </si>
  <si>
    <t>F  пин1 (ADS)</t>
  </si>
  <si>
    <t>F  пин3</t>
  </si>
  <si>
    <t>F  пин4</t>
  </si>
  <si>
    <t>5,6</t>
  </si>
  <si>
    <t>sas- разстояние</t>
  </si>
  <si>
    <t>6.Изчисляване на силата при ексбар отзад  когато и двете точки са на EXBARA</t>
  </si>
  <si>
    <t>61.Изчисляване на силата при ексбар отПРЕД, когато и двете точки са на EXBARA</t>
  </si>
  <si>
    <t>отпред</t>
  </si>
  <si>
    <t>62.Изчисляване на силата при ексбар отПРЕД, когато 1 точкa e на EXBARA</t>
  </si>
  <si>
    <t>БРОЙ  ОТВОРИ -1</t>
  </si>
  <si>
    <t>F  пин4(ADS)</t>
  </si>
  <si>
    <t>НОМЕР НА ОТВОР</t>
  </si>
  <si>
    <t>отзад</t>
  </si>
  <si>
    <t>63.Изчисляване на силата при ексбар ОТЗАД когато 1 точкa e на EXBARA</t>
  </si>
  <si>
    <t>F  пин1(ADS)</t>
  </si>
  <si>
    <t>64.Изчисляване на силата при ADS отпред и ADS отзад</t>
  </si>
  <si>
    <t>махнати кавичките на числата от 5</t>
  </si>
  <si>
    <t>ПРИ 2 ТОЧКИ НА EXBARA
ОТЗАД</t>
  </si>
  <si>
    <t>ПРИ 2 ТОЧКИ НА EXBAR ОТПРЕД</t>
  </si>
  <si>
    <t>ПРИ 1 ТОЧКИ НА EXBAR ОТПРЕД И ADS ОТЗАД</t>
  </si>
  <si>
    <t>ПРИ 1 ТОЧКИ НА EXBAR ОТЗАД И ADS ОТПРЕД</t>
  </si>
  <si>
    <t>ПРИ ADS отпред и ADS отзад</t>
  </si>
  <si>
    <t>safety factor of FR A
от 1 до 17</t>
  </si>
  <si>
    <t>safety factor of FR A
от 17 до 1</t>
  </si>
  <si>
    <t>safety factor of FR AR</t>
  </si>
  <si>
    <t>махнати кавичките на числата от 6</t>
  </si>
  <si>
    <t>WWL на EXBAR пина FR NR</t>
  </si>
  <si>
    <t>коеф ex (за EXBAR NR)-oi</t>
  </si>
  <si>
    <t>коеф ex (за EXBAR NR) между пиновете</t>
  </si>
  <si>
    <t>конста за NR(LT)</t>
  </si>
  <si>
    <t>конста за NR(ER)</t>
  </si>
  <si>
    <t>конста за NR - между 2 ADS- A - за 64</t>
  </si>
  <si>
    <t>w за 1и 2 и 5 (за EXBAR NR)</t>
  </si>
  <si>
    <t>a pin ex за 1,2,5 (за EXBAR NR)</t>
  </si>
  <si>
    <t>ПРОВЕРЕНО + -</t>
  </si>
  <si>
    <t>Lo ex за 1 (за EXBAR NR)</t>
  </si>
  <si>
    <t>Lo ex за 2 (за EXBAR NR)</t>
  </si>
  <si>
    <t>Lo ex за 5 (за EXBAR NR отпред)</t>
  </si>
  <si>
    <t>Lo ex за 5 (за EXBAR NR отзад)</t>
  </si>
  <si>
    <t>Lo ex за 6 (за EXBAR NR отпред)</t>
  </si>
  <si>
    <t>Lo ex за 6 (за EXBAR NR отзад)</t>
  </si>
  <si>
    <t>2 и 18</t>
  </si>
  <si>
    <t>3 остава</t>
  </si>
  <si>
    <t>4 остава</t>
  </si>
  <si>
    <t>safety factor of FR NR
от 20 до 10</t>
  </si>
  <si>
    <t>safety factor of FR NR
от 1до 20</t>
  </si>
  <si>
    <t>safety factor of FR NR
от 11 до 20</t>
  </si>
  <si>
    <t>трябва да се промени името на "8 ADS-N"</t>
  </si>
  <si>
    <t>5.Изчисляване на силата при ексбар отпред отвори от 20 до 10</t>
  </si>
  <si>
    <t>51.Изчисляване на силата при ексбар отзад отвори от 11 до 20</t>
  </si>
  <si>
    <t>safety според точките на окачване</t>
  </si>
  <si>
    <t>от моторите</t>
  </si>
  <si>
    <t>общото тегло</t>
  </si>
  <si>
    <t>* 2</t>
  </si>
  <si>
    <t>ИЗВАЖДАМ ТЕГЛОТО НА ВТОРИЯ ГРЕЙМ , ЗАЩОТО ВЕЧЕ Е ДОБАВЕН В ОБЩОТО ТЕГЛО</t>
  </si>
  <si>
    <t>ИЗВАЖДАМ ТЕГЛАТА НА ВТОРИЯ И ТРЕТИЯ ГРЕЙМ , ЗАЩОТО ВЕЧЕ СА ДОБАВЕНИ В ОБЩОТО ТЕГЛО</t>
  </si>
  <si>
    <t>ТЕГЛОТО НА ФРЕЙМ set!!! 9.4 кг</t>
  </si>
  <si>
    <t xml:space="preserve">ъгъл константа </t>
  </si>
  <si>
    <t>sin(39.325+a)</t>
  </si>
  <si>
    <t>R=Fy/sin(39.325-a)</t>
  </si>
  <si>
    <t>изчисляване на NR LINK</t>
  </si>
  <si>
    <t>WLL NR LINK- вертикално</t>
  </si>
  <si>
    <t>WLL NR LINK- R-сила по направление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</si>
</sst>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6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4"/>
      <name val="Arial Narrow"/>
      <family val="2"/>
      <charset val="204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 Narrow"/>
      <family val="2"/>
    </font>
    <font>
      <sz val="10"/>
      <name val="Arial"/>
      <family val="2"/>
    </font>
    <font>
      <sz val="11"/>
      <name val="Arial"/>
      <family val="2"/>
    </font>
    <font>
      <b/>
      <sz val="12"/>
      <color indexed="10"/>
      <name val="Arial"/>
      <family val="2"/>
    </font>
    <font>
      <b/>
      <sz val="14"/>
      <name val="Arial Narrow"/>
      <family val="2"/>
    </font>
    <font>
      <b/>
      <sz val="10"/>
      <color indexed="12"/>
      <name val="Arial"/>
      <family val="2"/>
    </font>
    <font>
      <b/>
      <sz val="12"/>
      <color indexed="12"/>
      <name val="Arial"/>
      <family val="2"/>
    </font>
    <font>
      <b/>
      <sz val="20"/>
      <name val="Arial Narrow"/>
      <family val="2"/>
    </font>
    <font>
      <b/>
      <sz val="12"/>
      <name val="Arial"/>
      <family val="2"/>
    </font>
    <font>
      <b/>
      <sz val="12"/>
      <color indexed="11"/>
      <name val="Arial"/>
      <family val="2"/>
    </font>
    <font>
      <sz val="6"/>
      <name val="Arial"/>
      <family val="2"/>
    </font>
    <font>
      <b/>
      <sz val="12"/>
      <color indexed="57"/>
      <name val="Arial"/>
      <family val="2"/>
    </font>
    <font>
      <sz val="10"/>
      <color indexed="57"/>
      <name val="Arial"/>
      <family val="2"/>
    </font>
    <font>
      <b/>
      <sz val="10"/>
      <color indexed="57"/>
      <name val="Arial"/>
      <family val="2"/>
    </font>
    <font>
      <sz val="10"/>
      <color indexed="9"/>
      <name val="Arial"/>
      <family val="2"/>
    </font>
    <font>
      <b/>
      <sz val="12"/>
      <color indexed="57"/>
      <name val="Arial Narrow"/>
      <family val="2"/>
    </font>
    <font>
      <b/>
      <sz val="12"/>
      <color indexed="17"/>
      <name val="Arial"/>
      <family val="2"/>
    </font>
    <font>
      <sz val="10"/>
      <color indexed="17"/>
      <name val="Arial"/>
      <family val="2"/>
    </font>
    <font>
      <sz val="12"/>
      <color indexed="11"/>
      <name val="Arial"/>
      <family val="2"/>
    </font>
    <font>
      <sz val="14"/>
      <name val="Arial"/>
      <family val="2"/>
    </font>
    <font>
      <b/>
      <sz val="10"/>
      <color indexed="10"/>
      <name val="Arial"/>
      <family val="2"/>
    </font>
    <font>
      <b/>
      <sz val="24"/>
      <name val="Arial Narrow"/>
      <family val="2"/>
    </font>
    <font>
      <sz val="24"/>
      <name val="Arial"/>
      <family val="2"/>
    </font>
    <font>
      <b/>
      <sz val="14"/>
      <color indexed="9"/>
      <name val="Arial Narrow"/>
      <family val="2"/>
    </font>
    <font>
      <sz val="10"/>
      <color indexed="9"/>
      <name val="Arial"/>
      <family val="2"/>
    </font>
    <font>
      <b/>
      <sz val="16"/>
      <name val="Arial"/>
      <family val="2"/>
    </font>
    <font>
      <b/>
      <sz val="16"/>
      <name val="Arial Narrow"/>
      <family val="2"/>
    </font>
    <font>
      <sz val="12"/>
      <color indexed="10"/>
      <name val="Arial"/>
      <family val="2"/>
    </font>
    <font>
      <b/>
      <sz val="12"/>
      <color indexed="16"/>
      <name val="Arial"/>
      <family val="2"/>
    </font>
    <font>
      <b/>
      <sz val="10"/>
      <color indexed="48"/>
      <name val="Arial"/>
      <family val="2"/>
    </font>
    <font>
      <b/>
      <sz val="12"/>
      <color indexed="30"/>
      <name val="Arial"/>
      <family val="2"/>
    </font>
    <font>
      <sz val="10"/>
      <color indexed="10"/>
      <name val="Arial"/>
      <family val="2"/>
    </font>
    <font>
      <b/>
      <sz val="12"/>
      <color indexed="4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0"/>
      <name val="Arial"/>
      <family val="2"/>
    </font>
    <font>
      <b/>
      <u/>
      <sz val="14"/>
      <name val="Arial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sz val="9"/>
      <color indexed="81"/>
      <name val="Tahoma"/>
      <family val="2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sz val="16"/>
      <name val="Arial"/>
      <family val="2"/>
    </font>
    <font>
      <b/>
      <sz val="16"/>
      <color indexed="17"/>
      <name val="Arial"/>
      <family val="2"/>
    </font>
    <font>
      <b/>
      <sz val="16"/>
      <color indexed="17"/>
      <name val="Arial Narrow"/>
      <family val="2"/>
    </font>
    <font>
      <b/>
      <sz val="16"/>
      <color indexed="12"/>
      <name val="Arial"/>
      <family val="2"/>
    </font>
    <font>
      <b/>
      <sz val="16"/>
      <color indexed="12"/>
      <name val="Arial Narrow"/>
      <family val="2"/>
    </font>
    <font>
      <b/>
      <sz val="16"/>
      <color indexed="57"/>
      <name val="Arial"/>
      <family val="2"/>
    </font>
    <font>
      <b/>
      <sz val="16"/>
      <color indexed="53"/>
      <name val="Arial"/>
      <family val="2"/>
    </font>
    <font>
      <b/>
      <sz val="16"/>
      <color indexed="53"/>
      <name val="Arial Narrow"/>
      <family val="2"/>
    </font>
    <font>
      <b/>
      <sz val="16"/>
      <color indexed="11"/>
      <name val="Arial"/>
      <family val="2"/>
    </font>
    <font>
      <b/>
      <sz val="12"/>
      <name val="Arial Black"/>
      <family val="2"/>
    </font>
    <font>
      <b/>
      <sz val="14"/>
      <color indexed="12"/>
      <name val="Arial"/>
      <family val="2"/>
    </font>
    <font>
      <b/>
      <sz val="14"/>
      <color indexed="57"/>
      <name val="Arial"/>
      <family val="2"/>
    </font>
    <font>
      <b/>
      <sz val="14"/>
      <color indexed="10"/>
      <name val="Arial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4"/>
      <color indexed="10"/>
      <name val="Arial"/>
      <family val="2"/>
    </font>
    <font>
      <b/>
      <sz val="14"/>
      <color indexed="48"/>
      <name val="Arial"/>
      <family val="2"/>
    </font>
    <font>
      <b/>
      <sz val="14"/>
      <color indexed="16"/>
      <name val="Arial"/>
      <family val="2"/>
    </font>
    <font>
      <b/>
      <sz val="16"/>
      <color indexed="10"/>
      <name val="Arial"/>
      <family val="2"/>
    </font>
    <font>
      <b/>
      <u/>
      <sz val="16"/>
      <name val="Arial"/>
      <family val="2"/>
    </font>
    <font>
      <b/>
      <sz val="16"/>
      <color indexed="81"/>
      <name val="Tahoma"/>
      <family val="2"/>
    </font>
    <font>
      <b/>
      <sz val="16"/>
      <color indexed="14"/>
      <name val="Arial"/>
      <family val="2"/>
    </font>
    <font>
      <b/>
      <sz val="10"/>
      <color indexed="14"/>
      <name val="Arial"/>
      <family val="2"/>
    </font>
    <font>
      <b/>
      <sz val="12"/>
      <color indexed="81"/>
      <name val="Tahoma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b/>
      <sz val="14"/>
      <color theme="1" tint="0.34998626667073579"/>
      <name val="Arial"/>
      <family val="2"/>
    </font>
    <font>
      <sz val="14"/>
      <color theme="0" tint="-0.499984740745262"/>
      <name val="Arial"/>
      <family val="2"/>
    </font>
    <font>
      <b/>
      <sz val="12"/>
      <color theme="0" tint="-0.499984740745262"/>
      <name val="Arial"/>
      <family val="2"/>
    </font>
    <font>
      <b/>
      <sz val="14"/>
      <color theme="0" tint="-0.499984740745262"/>
      <name val="Arial"/>
      <family val="2"/>
    </font>
    <font>
      <sz val="12"/>
      <color theme="0" tint="-0.499984740745262"/>
      <name val="Arial"/>
      <family val="2"/>
    </font>
    <font>
      <b/>
      <sz val="12"/>
      <color rgb="FF0000FF"/>
      <name val="Arial"/>
      <family val="2"/>
    </font>
    <font>
      <sz val="14"/>
      <name val="Arial"/>
      <family val="2"/>
      <charset val="204"/>
    </font>
    <font>
      <sz val="12"/>
      <color indexed="81"/>
      <name val="Tahoma"/>
      <family val="2"/>
      <charset val="204"/>
    </font>
    <font>
      <b/>
      <sz val="16"/>
      <name val="Arial"/>
      <family val="2"/>
      <charset val="204"/>
    </font>
    <font>
      <b/>
      <sz val="18"/>
      <color theme="0" tint="-4.9989318521683403E-2"/>
      <name val="Arial"/>
      <family val="2"/>
    </font>
    <font>
      <sz val="18"/>
      <name val="Arial"/>
      <family val="2"/>
    </font>
    <font>
      <b/>
      <sz val="18"/>
      <name val="Arial"/>
      <family val="2"/>
      <charset val="204"/>
    </font>
    <font>
      <sz val="18"/>
      <color indexed="81"/>
      <name val="Tahoma"/>
      <family val="2"/>
      <charset val="204"/>
    </font>
    <font>
      <b/>
      <u/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indexed="16"/>
      <name val="Arial"/>
      <family val="2"/>
      <charset val="204"/>
    </font>
    <font>
      <sz val="16"/>
      <name val="Arial"/>
      <family val="2"/>
      <charset val="204"/>
    </font>
    <font>
      <b/>
      <sz val="16"/>
      <color rgb="FF00B0F0"/>
      <name val="Arial"/>
      <family val="2"/>
    </font>
    <font>
      <b/>
      <sz val="14"/>
      <color rgb="FFFF0000"/>
      <name val="Arial"/>
      <family val="2"/>
    </font>
    <font>
      <b/>
      <sz val="18"/>
      <name val="Arial"/>
      <family val="2"/>
    </font>
    <font>
      <sz val="12"/>
      <name val="Arial"/>
      <family val="2"/>
      <charset val="204"/>
    </font>
    <font>
      <b/>
      <sz val="12"/>
      <color rgb="FFC00000"/>
      <name val="Arial"/>
      <family val="2"/>
    </font>
    <font>
      <b/>
      <sz val="18"/>
      <name val="Arial Narrow"/>
      <family val="2"/>
    </font>
    <font>
      <b/>
      <sz val="18"/>
      <color rgb="FF00B050"/>
      <name val="Arial"/>
      <family val="2"/>
    </font>
    <font>
      <b/>
      <sz val="16"/>
      <color rgb="FFFF0000"/>
      <name val="Arial Narrow"/>
      <family val="2"/>
    </font>
    <font>
      <b/>
      <sz val="18"/>
      <color rgb="FFFF0000"/>
      <name val="Arial"/>
      <family val="2"/>
    </font>
    <font>
      <b/>
      <sz val="16"/>
      <color rgb="FF00B0F0"/>
      <name val="Arial Narrow"/>
      <family val="2"/>
    </font>
    <font>
      <b/>
      <sz val="18"/>
      <color rgb="FF00B0F0"/>
      <name val="Arial"/>
      <family val="2"/>
    </font>
    <font>
      <b/>
      <sz val="16"/>
      <color rgb="FF00B050"/>
      <name val="Arial"/>
      <family val="2"/>
    </font>
    <font>
      <b/>
      <sz val="16"/>
      <color rgb="FF00B050"/>
      <name val="Arial Narrow"/>
      <family val="2"/>
    </font>
    <font>
      <sz val="16"/>
      <color rgb="FF00B050"/>
      <name val="Arial"/>
      <family val="2"/>
    </font>
    <font>
      <b/>
      <sz val="16"/>
      <color rgb="FFFF0000"/>
      <name val="Arial"/>
      <family val="2"/>
    </font>
    <font>
      <b/>
      <sz val="16"/>
      <color theme="1"/>
      <name val="Arial"/>
      <family val="2"/>
    </font>
    <font>
      <b/>
      <sz val="16"/>
      <color indexed="9"/>
      <name val="Arial Narrow"/>
      <family val="2"/>
    </font>
    <font>
      <b/>
      <sz val="18"/>
      <color rgb="FFFF0000"/>
      <name val="Arial Narrow"/>
      <family val="2"/>
    </font>
    <font>
      <b/>
      <sz val="18"/>
      <color rgb="FFFF0000"/>
      <name val="Arial"/>
      <family val="2"/>
      <charset val="204"/>
    </font>
    <font>
      <b/>
      <sz val="22"/>
      <name val="Arial Narrow"/>
      <family val="2"/>
    </font>
    <font>
      <b/>
      <sz val="22"/>
      <color indexed="9"/>
      <name val="Arial Narrow"/>
      <family val="2"/>
    </font>
    <font>
      <b/>
      <sz val="22"/>
      <color rgb="FFFF0000"/>
      <name val="Arial Narrow"/>
      <family val="2"/>
    </font>
    <font>
      <sz val="22"/>
      <name val="Arial"/>
      <family val="2"/>
    </font>
    <font>
      <b/>
      <sz val="18"/>
      <color indexed="9"/>
      <name val="Arial Narrow"/>
      <family val="2"/>
    </font>
    <font>
      <b/>
      <sz val="14"/>
      <color indexed="81"/>
      <name val="Tahoma"/>
      <family val="2"/>
      <charset val="204"/>
    </font>
    <font>
      <sz val="14"/>
      <color indexed="81"/>
      <name val="Tahoma"/>
      <family val="2"/>
      <charset val="204"/>
    </font>
    <font>
      <u/>
      <sz val="14"/>
      <name val="Arial"/>
      <family val="2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rgb="FFFF0000"/>
      <name val="Arial"/>
      <family val="2"/>
    </font>
    <font>
      <sz val="16"/>
      <color rgb="FFFF0000"/>
      <name val="Arial"/>
      <family val="2"/>
    </font>
    <font>
      <b/>
      <sz val="18"/>
      <color theme="2"/>
      <name val="Arial"/>
      <family val="2"/>
    </font>
    <font>
      <b/>
      <sz val="12"/>
      <color theme="2"/>
      <name val="Arial"/>
      <family val="2"/>
    </font>
    <font>
      <b/>
      <u/>
      <sz val="16"/>
      <color indexed="10"/>
      <name val="Arial"/>
      <family val="2"/>
    </font>
    <font>
      <sz val="18"/>
      <name val="Arial"/>
      <family val="2"/>
      <charset val="204"/>
    </font>
    <font>
      <b/>
      <sz val="18"/>
      <color indexed="57"/>
      <name val="Arial"/>
      <family val="2"/>
    </font>
    <font>
      <b/>
      <u/>
      <sz val="18"/>
      <name val="Arial"/>
      <family val="2"/>
    </font>
    <font>
      <sz val="20"/>
      <name val="Arial"/>
      <family val="2"/>
    </font>
    <font>
      <b/>
      <u/>
      <sz val="18"/>
      <color rgb="FFFF0000"/>
      <name val="Arial"/>
      <family val="2"/>
    </font>
    <font>
      <sz val="18"/>
      <color rgb="FFFF0000"/>
      <name val="Arial"/>
      <family val="2"/>
    </font>
    <font>
      <u/>
      <sz val="16"/>
      <name val="Arial"/>
      <family val="2"/>
    </font>
    <font>
      <sz val="20"/>
      <name val="Arial"/>
      <family val="2"/>
      <charset val="204"/>
    </font>
    <font>
      <b/>
      <sz val="20"/>
      <name val="Arial Black"/>
      <family val="2"/>
    </font>
    <font>
      <sz val="16"/>
      <color rgb="FFFF0000"/>
      <name val="Arial"/>
      <family val="2"/>
      <charset val="204"/>
    </font>
    <font>
      <sz val="20"/>
      <color rgb="FFFF0000"/>
      <name val="Arial"/>
      <family val="2"/>
    </font>
    <font>
      <b/>
      <sz val="16"/>
      <name val="Arial Black"/>
      <family val="2"/>
    </font>
    <font>
      <sz val="22"/>
      <name val="Arial"/>
      <family val="2"/>
      <charset val="204"/>
    </font>
    <font>
      <b/>
      <sz val="22"/>
      <name val="Arial"/>
      <family val="2"/>
    </font>
    <font>
      <b/>
      <sz val="22"/>
      <name val="Arial Black"/>
      <family val="2"/>
    </font>
    <font>
      <b/>
      <sz val="16"/>
      <color theme="0"/>
      <name val="Arial"/>
      <family val="2"/>
    </font>
    <font>
      <sz val="10"/>
      <color theme="0"/>
      <name val="Arial"/>
      <family val="2"/>
    </font>
    <font>
      <b/>
      <sz val="12"/>
      <name val="Arial Narrow"/>
      <family val="2"/>
      <charset val="204"/>
    </font>
    <font>
      <sz val="11"/>
      <name val="Arial"/>
      <family val="2"/>
      <charset val="204"/>
    </font>
    <font>
      <sz val="11"/>
      <color indexed="81"/>
      <name val="Tahoma"/>
      <family val="2"/>
      <charset val="204"/>
    </font>
    <font>
      <b/>
      <sz val="11"/>
      <color indexed="81"/>
      <name val="Tahoma"/>
      <family val="2"/>
      <charset val="204"/>
    </font>
    <font>
      <u/>
      <sz val="16"/>
      <name val="Arial"/>
      <family val="2"/>
      <charset val="204"/>
    </font>
    <font>
      <b/>
      <u/>
      <sz val="16"/>
      <name val="Arial"/>
      <family val="2"/>
      <charset val="204"/>
    </font>
    <font>
      <b/>
      <sz val="18"/>
      <color rgb="FFC00000"/>
      <name val="Arial"/>
      <family val="2"/>
    </font>
    <font>
      <b/>
      <sz val="18"/>
      <color rgb="FFC00000"/>
      <name val="Arial Narrow"/>
      <family val="2"/>
    </font>
    <font>
      <b/>
      <sz val="18"/>
      <color rgb="FFC00000"/>
      <name val="Arial"/>
      <family val="2"/>
      <charset val="204"/>
    </font>
    <font>
      <b/>
      <sz val="16"/>
      <color rgb="FFC00000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sz val="16"/>
      <color indexed="81"/>
      <name val="Tahoma"/>
      <family val="2"/>
      <charset val="204"/>
    </font>
    <font>
      <sz val="16"/>
      <color indexed="81"/>
      <name val="Tahoma"/>
      <family val="2"/>
      <charset val="204"/>
    </font>
    <font>
      <b/>
      <sz val="22"/>
      <color rgb="FFFF0000"/>
      <name val="Arial"/>
      <family val="2"/>
      <charset val="204"/>
    </font>
    <font>
      <sz val="16"/>
      <color theme="1" tint="0.249977111117893"/>
      <name val="Arial"/>
      <family val="2"/>
      <charset val="204"/>
    </font>
    <font>
      <sz val="24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sz val="14"/>
      <color theme="7" tint="-0.499984740745262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lightUp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499984740745262"/>
        <bgColor indexed="64"/>
      </patternFill>
    </fill>
  </fills>
  <borders count="1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50"/>
      </top>
      <bottom style="medium">
        <color rgb="FF00B050"/>
      </bottom>
      <diagonal/>
    </border>
    <border>
      <left/>
      <right style="medium">
        <color rgb="FF00B050"/>
      </right>
      <top style="medium">
        <color rgb="FF00B050"/>
      </top>
      <bottom style="medium">
        <color rgb="FF00B050"/>
      </bottom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66CCFF"/>
      </left>
      <right/>
      <top style="medium">
        <color rgb="FF66CCFF"/>
      </top>
      <bottom/>
      <diagonal/>
    </border>
    <border>
      <left/>
      <right/>
      <top style="medium">
        <color rgb="FF66CCFF"/>
      </top>
      <bottom/>
      <diagonal/>
    </border>
    <border>
      <left/>
      <right style="medium">
        <color rgb="FF66CCFF"/>
      </right>
      <top style="medium">
        <color rgb="FF66CCFF"/>
      </top>
      <bottom/>
      <diagonal/>
    </border>
    <border>
      <left/>
      <right/>
      <top/>
      <bottom style="medium">
        <color rgb="FF66CCFF"/>
      </bottom>
      <diagonal/>
    </border>
    <border>
      <left/>
      <right style="medium">
        <color rgb="FF66CCFF"/>
      </right>
      <top/>
      <bottom style="medium">
        <color rgb="FF66CCFF"/>
      </bottom>
      <diagonal/>
    </border>
    <border>
      <left style="medium">
        <color theme="6"/>
      </left>
      <right/>
      <top style="medium">
        <color theme="6"/>
      </top>
      <bottom/>
      <diagonal/>
    </border>
    <border>
      <left/>
      <right/>
      <top style="medium">
        <color theme="6"/>
      </top>
      <bottom/>
      <diagonal/>
    </border>
    <border>
      <left/>
      <right style="medium">
        <color theme="6"/>
      </right>
      <top style="medium">
        <color theme="6"/>
      </top>
      <bottom/>
      <diagonal/>
    </border>
    <border>
      <left style="medium">
        <color theme="6"/>
      </left>
      <right/>
      <top/>
      <bottom style="medium">
        <color theme="6"/>
      </bottom>
      <diagonal/>
    </border>
    <border>
      <left/>
      <right/>
      <top/>
      <bottom style="medium">
        <color theme="6"/>
      </bottom>
      <diagonal/>
    </border>
    <border>
      <left/>
      <right style="medium">
        <color theme="6"/>
      </right>
      <top/>
      <bottom style="medium">
        <color theme="6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indexed="64"/>
      </top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rgb="FF92D050"/>
      </left>
      <right/>
      <top style="medium">
        <color rgb="FF92D050"/>
      </top>
      <bottom/>
      <diagonal/>
    </border>
    <border>
      <left/>
      <right/>
      <top style="medium">
        <color rgb="FF92D050"/>
      </top>
      <bottom/>
      <diagonal/>
    </border>
    <border>
      <left/>
      <right style="medium">
        <color rgb="FF92D050"/>
      </right>
      <top style="medium">
        <color rgb="FF92D050"/>
      </top>
      <bottom/>
      <diagonal/>
    </border>
    <border>
      <left style="medium">
        <color rgb="FF92D050"/>
      </left>
      <right/>
      <top/>
      <bottom style="medium">
        <color rgb="FF92D050"/>
      </bottom>
      <diagonal/>
    </border>
    <border>
      <left/>
      <right/>
      <top/>
      <bottom style="medium">
        <color rgb="FF92D050"/>
      </bottom>
      <diagonal/>
    </border>
    <border>
      <left/>
      <right style="medium">
        <color rgb="FF92D050"/>
      </right>
      <top/>
      <bottom style="medium">
        <color rgb="FF92D050"/>
      </bottom>
      <diagonal/>
    </border>
    <border>
      <left style="medium">
        <color theme="8"/>
      </left>
      <right/>
      <top style="medium">
        <color theme="8"/>
      </top>
      <bottom/>
      <diagonal/>
    </border>
    <border>
      <left/>
      <right/>
      <top style="medium">
        <color theme="8"/>
      </top>
      <bottom/>
      <diagonal/>
    </border>
    <border>
      <left/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/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rgb="FF92D050"/>
      </left>
      <right/>
      <top style="medium">
        <color rgb="FF92D050"/>
      </top>
      <bottom style="medium">
        <color rgb="FF92D050"/>
      </bottom>
      <diagonal/>
    </border>
    <border>
      <left/>
      <right/>
      <top style="medium">
        <color rgb="FF92D050"/>
      </top>
      <bottom style="medium">
        <color rgb="FF92D050"/>
      </bottom>
      <diagonal/>
    </border>
    <border>
      <left/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 style="medium">
        <color rgb="FF66CCFF"/>
      </left>
      <right/>
      <top/>
      <bottom style="medium">
        <color rgb="FF66CCFF"/>
      </bottom>
      <diagonal/>
    </border>
    <border>
      <left style="medium">
        <color rgb="FFFF3300"/>
      </left>
      <right/>
      <top style="medium">
        <color rgb="FFFF3300"/>
      </top>
      <bottom/>
      <diagonal/>
    </border>
    <border>
      <left/>
      <right/>
      <top style="medium">
        <color rgb="FFFF3300"/>
      </top>
      <bottom/>
      <diagonal/>
    </border>
    <border>
      <left/>
      <right style="medium">
        <color rgb="FFFF3300"/>
      </right>
      <top style="medium">
        <color rgb="FFFF3300"/>
      </top>
      <bottom/>
      <diagonal/>
    </border>
    <border>
      <left style="medium">
        <color rgb="FFFF3300"/>
      </left>
      <right/>
      <top/>
      <bottom style="medium">
        <color rgb="FFFF3300"/>
      </bottom>
      <diagonal/>
    </border>
    <border>
      <left/>
      <right/>
      <top/>
      <bottom style="medium">
        <color rgb="FFFF3300"/>
      </bottom>
      <diagonal/>
    </border>
    <border>
      <left/>
      <right style="medium">
        <color rgb="FFFF3300"/>
      </right>
      <top/>
      <bottom style="medium">
        <color rgb="FFFF3300"/>
      </bottom>
      <diagonal/>
    </border>
    <border>
      <left style="medium">
        <color theme="3" tint="0.39997558519241921"/>
      </left>
      <right style="thin">
        <color indexed="64"/>
      </right>
      <top style="medium">
        <color theme="3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 tint="0.39997558519241921"/>
      </top>
      <bottom style="thin">
        <color indexed="64"/>
      </bottom>
      <diagonal/>
    </border>
    <border>
      <left/>
      <right/>
      <top style="medium">
        <color theme="3" tint="0.39997558519241921"/>
      </top>
      <bottom/>
      <diagonal/>
    </border>
    <border>
      <left/>
      <right style="medium">
        <color theme="3" tint="0.39997558519241921"/>
      </right>
      <top style="medium">
        <color theme="3" tint="0.39997558519241921"/>
      </top>
      <bottom/>
      <diagonal/>
    </border>
    <border>
      <left style="medium">
        <color theme="3" tint="0.399975585192419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3" tint="0.39997558519241921"/>
      </right>
      <top/>
      <bottom/>
      <diagonal/>
    </border>
    <border>
      <left style="medium">
        <color theme="3" tint="0.39997558519241921"/>
      </left>
      <right/>
      <top/>
      <bottom/>
      <diagonal/>
    </border>
    <border>
      <left style="medium">
        <color theme="3" tint="0.39997558519241921"/>
      </left>
      <right/>
      <top/>
      <bottom style="medium">
        <color theme="3" tint="0.39997558519241921"/>
      </bottom>
      <diagonal/>
    </border>
    <border>
      <left/>
      <right/>
      <top/>
      <bottom style="medium">
        <color theme="3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 tint="0.39997558519241921"/>
      </bottom>
      <diagonal/>
    </border>
    <border>
      <left/>
      <right style="medium">
        <color theme="3" tint="0.39997558519241921"/>
      </right>
      <top/>
      <bottom style="medium">
        <color theme="3" tint="0.39997558519241921"/>
      </bottom>
      <diagonal/>
    </border>
    <border>
      <left style="thick">
        <color rgb="FF00B050"/>
      </left>
      <right/>
      <top style="medium">
        <color rgb="FF00B0F0"/>
      </top>
      <bottom style="medium">
        <color rgb="FF00B0F0"/>
      </bottom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/>
      <top style="medium">
        <color rgb="FF00B050"/>
      </top>
      <bottom style="medium">
        <color rgb="FF00B050"/>
      </bottom>
      <diagonal/>
    </border>
    <border>
      <left/>
      <right/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rgb="FF00B050"/>
      </left>
      <right style="medium">
        <color rgb="FF00B050"/>
      </right>
      <top style="medium">
        <color rgb="FF00B050"/>
      </top>
      <bottom style="medium">
        <color rgb="FF00B050"/>
      </bottom>
      <diagonal/>
    </border>
    <border>
      <left style="medium">
        <color rgb="FF66CCFF"/>
      </left>
      <right style="medium">
        <color rgb="FF66CCFF"/>
      </right>
      <top style="medium">
        <color rgb="FF66CCFF"/>
      </top>
      <bottom style="medium">
        <color rgb="FF66CCFF"/>
      </bottom>
      <diagonal/>
    </border>
  </borders>
  <cellStyleXfs count="3">
    <xf numFmtId="0" fontId="0" fillId="0" borderId="0"/>
    <xf numFmtId="0" fontId="1" fillId="0" borderId="0"/>
    <xf numFmtId="0" fontId="77" fillId="0" borderId="0"/>
  </cellStyleXfs>
  <cellXfs count="1036">
    <xf numFmtId="0" fontId="0" fillId="0" borderId="0" xfId="0"/>
    <xf numFmtId="0" fontId="4" fillId="5" borderId="24" xfId="0" applyFont="1" applyFill="1" applyBorder="1" applyAlignment="1" applyProtection="1">
      <alignment horizontal="center"/>
      <protection locked="0"/>
    </xf>
    <xf numFmtId="0" fontId="4" fillId="5" borderId="5" xfId="0" applyFont="1" applyFill="1" applyBorder="1" applyAlignment="1" applyProtection="1">
      <alignment horizontal="center"/>
      <protection locked="0"/>
    </xf>
    <xf numFmtId="0" fontId="4" fillId="5" borderId="5" xfId="0" applyFont="1" applyFill="1" applyBorder="1" applyAlignment="1" applyProtection="1">
      <alignment horizontal="center" vertical="center"/>
      <protection locked="0"/>
    </xf>
    <xf numFmtId="0" fontId="88" fillId="12" borderId="0" xfId="1" applyFont="1" applyFill="1"/>
    <xf numFmtId="0" fontId="88" fillId="0" borderId="0" xfId="1" applyFont="1"/>
    <xf numFmtId="0" fontId="78" fillId="0" borderId="0" xfId="2" applyFont="1" applyAlignment="1">
      <alignment horizontal="center" vertical="center"/>
    </xf>
    <xf numFmtId="2" fontId="62" fillId="0" borderId="0" xfId="1" applyNumberFormat="1" applyFont="1" applyAlignment="1">
      <alignment horizontal="center" vertical="center"/>
    </xf>
    <xf numFmtId="0" fontId="42" fillId="0" borderId="0" xfId="2" applyFont="1" applyAlignment="1">
      <alignment horizontal="center" vertical="center"/>
    </xf>
    <xf numFmtId="2" fontId="42" fillId="0" borderId="0" xfId="1" applyNumberFormat="1" applyFont="1" applyAlignment="1">
      <alignment horizontal="center" vertical="center"/>
    </xf>
    <xf numFmtId="0" fontId="8" fillId="2" borderId="5" xfId="0" applyFont="1" applyFill="1" applyBorder="1" applyAlignment="1" applyProtection="1">
      <alignment horizontal="center"/>
      <protection locked="0"/>
    </xf>
    <xf numFmtId="0" fontId="4" fillId="15" borderId="5" xfId="0" applyFont="1" applyFill="1" applyBorder="1" applyAlignment="1" applyProtection="1">
      <alignment horizontal="center" vertical="center"/>
      <protection locked="0"/>
    </xf>
    <xf numFmtId="0" fontId="82" fillId="2" borderId="5" xfId="0" applyFont="1" applyFill="1" applyBorder="1" applyAlignment="1" applyProtection="1">
      <alignment horizontal="center"/>
      <protection locked="0"/>
    </xf>
    <xf numFmtId="0" fontId="101" fillId="2" borderId="5" xfId="0" applyFont="1" applyFill="1" applyBorder="1" applyAlignment="1" applyProtection="1">
      <alignment horizontal="center"/>
      <protection locked="0"/>
    </xf>
    <xf numFmtId="0" fontId="4" fillId="21" borderId="5" xfId="0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84" fillId="18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84" fillId="18" borderId="8" xfId="0" applyFont="1" applyFill="1" applyBorder="1" applyAlignment="1">
      <alignment horizontal="center"/>
    </xf>
    <xf numFmtId="0" fontId="45" fillId="0" borderId="0" xfId="0" applyFont="1" applyAlignment="1">
      <alignment wrapText="1"/>
    </xf>
    <xf numFmtId="0" fontId="45" fillId="0" borderId="0" xfId="0" applyFont="1" applyAlignment="1">
      <alignment horizontal="center"/>
    </xf>
    <xf numFmtId="0" fontId="28" fillId="12" borderId="8" xfId="0" applyFont="1" applyFill="1" applyBorder="1" applyAlignment="1">
      <alignment horizontal="center" wrapText="1"/>
    </xf>
    <xf numFmtId="0" fontId="77" fillId="0" borderId="0" xfId="0" applyFont="1"/>
    <xf numFmtId="0" fontId="46" fillId="0" borderId="0" xfId="0" applyFont="1" applyAlignment="1">
      <alignment wrapText="1"/>
    </xf>
    <xf numFmtId="0" fontId="46" fillId="0" borderId="0" xfId="0" applyFont="1" applyAlignment="1">
      <alignment horizontal="center"/>
    </xf>
    <xf numFmtId="0" fontId="7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/>
    <xf numFmtId="0" fontId="42" fillId="0" borderId="0" xfId="1" applyFont="1" applyAlignment="1">
      <alignment wrapText="1"/>
    </xf>
    <xf numFmtId="0" fontId="28" fillId="0" borderId="0" xfId="1" applyFont="1"/>
    <xf numFmtId="0" fontId="30" fillId="0" borderId="0" xfId="0" applyFont="1" applyAlignment="1">
      <alignment horizontal="center"/>
    </xf>
    <xf numFmtId="0" fontId="30" fillId="0" borderId="0" xfId="1" applyFont="1" applyAlignment="1">
      <alignment horizontal="center" vertical="center"/>
    </xf>
    <xf numFmtId="2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vertical="center"/>
    </xf>
    <xf numFmtId="2" fontId="42" fillId="0" borderId="0" xfId="0" applyNumberFormat="1" applyFont="1" applyAlignment="1">
      <alignment vertical="center"/>
    </xf>
    <xf numFmtId="2" fontId="42" fillId="0" borderId="0" xfId="0" applyNumberFormat="1" applyFont="1"/>
    <xf numFmtId="0" fontId="42" fillId="0" borderId="0" xfId="0" applyFont="1"/>
    <xf numFmtId="0" fontId="43" fillId="0" borderId="0" xfId="0" applyFont="1"/>
    <xf numFmtId="0" fontId="34" fillId="0" borderId="0" xfId="0" applyFont="1"/>
    <xf numFmtId="0" fontId="34" fillId="0" borderId="0" xfId="0" applyFont="1" applyAlignment="1">
      <alignment horizontal="left"/>
    </xf>
    <xf numFmtId="0" fontId="52" fillId="0" borderId="0" xfId="0" applyFont="1"/>
    <xf numFmtId="0" fontId="30" fillId="0" borderId="0" xfId="0" applyFont="1" applyAlignment="1">
      <alignment vertical="center"/>
    </xf>
    <xf numFmtId="0" fontId="16" fillId="3" borderId="0" xfId="0" applyFont="1" applyFill="1" applyAlignment="1">
      <alignment horizontal="center"/>
    </xf>
    <xf numFmtId="0" fontId="35" fillId="3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30" fillId="3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0" fillId="0" borderId="0" xfId="0" applyAlignment="1">
      <alignment vertical="center"/>
    </xf>
    <xf numFmtId="0" fontId="53" fillId="0" borderId="0" xfId="0" applyFont="1"/>
    <xf numFmtId="1" fontId="54" fillId="0" borderId="0" xfId="0" applyNumberFormat="1" applyFont="1"/>
    <xf numFmtId="0" fontId="55" fillId="0" borderId="0" xfId="0" applyFont="1" applyAlignment="1">
      <alignment horizontal="center"/>
    </xf>
    <xf numFmtId="0" fontId="0" fillId="0" borderId="2" xfId="0" applyBorder="1"/>
    <xf numFmtId="1" fontId="56" fillId="0" borderId="0" xfId="0" applyNumberFormat="1" applyFont="1" applyAlignment="1">
      <alignment horizontal="right"/>
    </xf>
    <xf numFmtId="0" fontId="55" fillId="0" borderId="0" xfId="0" applyFont="1" applyAlignment="1">
      <alignment wrapText="1"/>
    </xf>
    <xf numFmtId="1" fontId="56" fillId="0" borderId="0" xfId="0" applyNumberFormat="1" applyFont="1" applyAlignment="1">
      <alignment horizontal="left"/>
    </xf>
    <xf numFmtId="0" fontId="52" fillId="0" borderId="0" xfId="0" applyFont="1" applyAlignment="1">
      <alignment horizontal="center"/>
    </xf>
    <xf numFmtId="0" fontId="44" fillId="0" borderId="0" xfId="0" applyFont="1" applyAlignment="1">
      <alignment horizontal="right"/>
    </xf>
    <xf numFmtId="0" fontId="55" fillId="10" borderId="0" xfId="0" applyFont="1" applyFill="1" applyAlignment="1">
      <alignment horizontal="center"/>
    </xf>
    <xf numFmtId="0" fontId="34" fillId="12" borderId="5" xfId="0" applyFont="1" applyFill="1" applyBorder="1"/>
    <xf numFmtId="1" fontId="56" fillId="12" borderId="14" xfId="0" applyNumberFormat="1" applyFont="1" applyFill="1" applyBorder="1" applyAlignment="1">
      <alignment horizontal="right"/>
    </xf>
    <xf numFmtId="0" fontId="34" fillId="12" borderId="18" xfId="0" applyFont="1" applyFill="1" applyBorder="1"/>
    <xf numFmtId="0" fontId="23" fillId="0" borderId="0" xfId="0" applyFont="1"/>
    <xf numFmtId="0" fontId="55" fillId="0" borderId="0" xfId="0" applyFont="1"/>
    <xf numFmtId="1" fontId="56" fillId="0" borderId="0" xfId="0" applyNumberFormat="1" applyFont="1"/>
    <xf numFmtId="0" fontId="52" fillId="12" borderId="14" xfId="0" applyFont="1" applyFill="1" applyBorder="1"/>
    <xf numFmtId="1" fontId="56" fillId="12" borderId="14" xfId="0" applyNumberFormat="1" applyFont="1" applyFill="1" applyBorder="1"/>
    <xf numFmtId="0" fontId="13" fillId="3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34" fillId="12" borderId="7" xfId="0" applyFont="1" applyFill="1" applyBorder="1"/>
    <xf numFmtId="0" fontId="0" fillId="12" borderId="14" xfId="0" applyFill="1" applyBorder="1"/>
    <xf numFmtId="0" fontId="34" fillId="12" borderId="14" xfId="0" applyFont="1" applyFill="1" applyBorder="1"/>
    <xf numFmtId="0" fontId="34" fillId="12" borderId="6" xfId="0" applyFont="1" applyFill="1" applyBorder="1"/>
    <xf numFmtId="0" fontId="52" fillId="12" borderId="2" xfId="0" applyFont="1" applyFill="1" applyBorder="1"/>
    <xf numFmtId="0" fontId="0" fillId="12" borderId="2" xfId="0" applyFill="1" applyBorder="1"/>
    <xf numFmtId="0" fontId="34" fillId="12" borderId="2" xfId="0" applyFont="1" applyFill="1" applyBorder="1"/>
    <xf numFmtId="0" fontId="34" fillId="12" borderId="3" xfId="0" applyFont="1" applyFill="1" applyBorder="1"/>
    <xf numFmtId="0" fontId="3" fillId="6" borderId="0" xfId="0" applyFont="1" applyFill="1"/>
    <xf numFmtId="0" fontId="3" fillId="0" borderId="0" xfId="0" applyFont="1"/>
    <xf numFmtId="0" fontId="21" fillId="0" borderId="0" xfId="0" applyFont="1" applyAlignment="1">
      <alignment horizontal="center"/>
    </xf>
    <xf numFmtId="0" fontId="29" fillId="2" borderId="0" xfId="0" applyFont="1" applyFill="1" applyAlignment="1">
      <alignment horizontal="center"/>
    </xf>
    <xf numFmtId="0" fontId="7" fillId="0" borderId="0" xfId="0" applyFont="1"/>
    <xf numFmtId="2" fontId="0" fillId="0" borderId="0" xfId="0" applyNumberFormat="1"/>
    <xf numFmtId="0" fontId="52" fillId="0" borderId="14" xfId="0" applyFont="1" applyBorder="1"/>
    <xf numFmtId="0" fontId="34" fillId="0" borderId="14" xfId="0" applyFont="1" applyBorder="1"/>
    <xf numFmtId="0" fontId="0" fillId="0" borderId="14" xfId="0" applyBorder="1"/>
    <xf numFmtId="0" fontId="14" fillId="0" borderId="0" xfId="0" applyFont="1" applyAlignment="1">
      <alignment horizontal="center" vertical="center" wrapText="1"/>
    </xf>
    <xf numFmtId="2" fontId="15" fillId="0" borderId="0" xfId="0" applyNumberFormat="1" applyFont="1"/>
    <xf numFmtId="0" fontId="34" fillId="12" borderId="9" xfId="0" applyFont="1" applyFill="1" applyBorder="1"/>
    <xf numFmtId="0" fontId="34" fillId="12" borderId="1" xfId="0" applyFont="1" applyFill="1" applyBorder="1"/>
    <xf numFmtId="0" fontId="0" fillId="12" borderId="1" xfId="0" applyFill="1" applyBorder="1"/>
    <xf numFmtId="0" fontId="52" fillId="12" borderId="1" xfId="0" applyFont="1" applyFill="1" applyBorder="1"/>
    <xf numFmtId="0" fontId="34" fillId="12" borderId="23" xfId="0" applyFont="1" applyFill="1" applyBorder="1"/>
    <xf numFmtId="0" fontId="34" fillId="0" borderId="2" xfId="0" applyFont="1" applyBorder="1"/>
    <xf numFmtId="0" fontId="34" fillId="4" borderId="0" xfId="0" applyFont="1" applyFill="1"/>
    <xf numFmtId="0" fontId="34" fillId="12" borderId="10" xfId="0" applyFont="1" applyFill="1" applyBorder="1"/>
    <xf numFmtId="0" fontId="34" fillId="12" borderId="0" xfId="0" applyFont="1" applyFill="1"/>
    <xf numFmtId="0" fontId="34" fillId="12" borderId="4" xfId="0" applyFont="1" applyFill="1" applyBorder="1"/>
    <xf numFmtId="0" fontId="52" fillId="0" borderId="0" xfId="0" applyFont="1" applyAlignment="1">
      <alignment wrapText="1"/>
    </xf>
    <xf numFmtId="0" fontId="57" fillId="0" borderId="8" xfId="0" applyFont="1" applyBorder="1"/>
    <xf numFmtId="0" fontId="57" fillId="0" borderId="0" xfId="0" applyFont="1"/>
    <xf numFmtId="0" fontId="58" fillId="0" borderId="0" xfId="0" applyFont="1"/>
    <xf numFmtId="1" fontId="59" fillId="0" borderId="0" xfId="0" applyNumberFormat="1" applyFont="1"/>
    <xf numFmtId="1" fontId="59" fillId="0" borderId="0" xfId="0" applyNumberFormat="1" applyFont="1" applyAlignment="1">
      <alignment horizontal="left"/>
    </xf>
    <xf numFmtId="0" fontId="58" fillId="0" borderId="0" xfId="0" applyFont="1" applyAlignment="1">
      <alignment horizontal="center"/>
    </xf>
    <xf numFmtId="1" fontId="59" fillId="0" borderId="0" xfId="0" applyNumberFormat="1" applyFont="1" applyAlignment="1">
      <alignment horizontal="right"/>
    </xf>
    <xf numFmtId="0" fontId="96" fillId="0" borderId="0" xfId="0" applyFont="1"/>
    <xf numFmtId="0" fontId="55" fillId="12" borderId="14" xfId="0" applyFont="1" applyFill="1" applyBorder="1" applyAlignment="1">
      <alignment horizontal="center"/>
    </xf>
    <xf numFmtId="0" fontId="55" fillId="12" borderId="2" xfId="0" applyFont="1" applyFill="1" applyBorder="1" applyAlignment="1">
      <alignment horizontal="center"/>
    </xf>
    <xf numFmtId="0" fontId="58" fillId="12" borderId="14" xfId="0" applyFont="1" applyFill="1" applyBorder="1"/>
    <xf numFmtId="0" fontId="58" fillId="12" borderId="2" xfId="0" applyFont="1" applyFill="1" applyBorder="1"/>
    <xf numFmtId="0" fontId="44" fillId="0" borderId="0" xfId="0" applyFont="1"/>
    <xf numFmtId="2" fontId="0" fillId="0" borderId="0" xfId="0" applyNumberFormat="1" applyAlignment="1">
      <alignment vertical="center"/>
    </xf>
    <xf numFmtId="0" fontId="55" fillId="10" borderId="7" xfId="0" applyFont="1" applyFill="1" applyBorder="1"/>
    <xf numFmtId="0" fontId="55" fillId="10" borderId="14" xfId="0" applyFont="1" applyFill="1" applyBorder="1"/>
    <xf numFmtId="0" fontId="55" fillId="10" borderId="14" xfId="0" applyFont="1" applyFill="1" applyBorder="1" applyAlignment="1">
      <alignment horizontal="center"/>
    </xf>
    <xf numFmtId="0" fontId="55" fillId="10" borderId="18" xfId="0" applyFont="1" applyFill="1" applyBorder="1" applyAlignment="1">
      <alignment horizontal="center"/>
    </xf>
    <xf numFmtId="0" fontId="34" fillId="0" borderId="0" xfId="0" applyFont="1" applyAlignment="1">
      <alignment wrapText="1"/>
    </xf>
    <xf numFmtId="0" fontId="60" fillId="0" borderId="8" xfId="0" applyFont="1" applyBorder="1" applyAlignment="1">
      <alignment horizontal="center"/>
    </xf>
    <xf numFmtId="0" fontId="60" fillId="0" borderId="0" xfId="0" applyFont="1" applyAlignment="1">
      <alignment horizontal="center"/>
    </xf>
    <xf numFmtId="0" fontId="34" fillId="0" borderId="7" xfId="0" applyFont="1" applyBorder="1" applyAlignment="1">
      <alignment vertical="center"/>
    </xf>
    <xf numFmtId="0" fontId="34" fillId="0" borderId="0" xfId="0" applyFont="1" applyAlignment="1">
      <alignment horizontal="center"/>
    </xf>
    <xf numFmtId="0" fontId="16" fillId="0" borderId="0" xfId="0" applyFont="1"/>
    <xf numFmtId="0" fontId="31" fillId="0" borderId="0" xfId="0" applyFont="1" applyAlignment="1">
      <alignment vertical="center"/>
    </xf>
    <xf numFmtId="0" fontId="60" fillId="0" borderId="0" xfId="0" applyFont="1"/>
    <xf numFmtId="0" fontId="18" fillId="0" borderId="0" xfId="0" applyFont="1"/>
    <xf numFmtId="0" fontId="44" fillId="12" borderId="8" xfId="0" applyFont="1" applyFill="1" applyBorder="1"/>
    <xf numFmtId="49" fontId="99" fillId="21" borderId="2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102" fillId="6" borderId="5" xfId="0" applyFont="1" applyFill="1" applyBorder="1" applyAlignment="1">
      <alignment horizontal="center" wrapText="1"/>
    </xf>
    <xf numFmtId="0" fontId="35" fillId="0" borderId="0" xfId="0" applyFont="1" applyAlignment="1">
      <alignment horizontal="center" wrapText="1"/>
    </xf>
    <xf numFmtId="0" fontId="13" fillId="0" borderId="0" xfId="0" applyFont="1"/>
    <xf numFmtId="0" fontId="32" fillId="0" borderId="0" xfId="0" applyFont="1"/>
    <xf numFmtId="0" fontId="1" fillId="0" borderId="0" xfId="0" applyFont="1"/>
    <xf numFmtId="0" fontId="28" fillId="0" borderId="0" xfId="0" applyFont="1" applyAlignment="1">
      <alignment horizontal="right"/>
    </xf>
    <xf numFmtId="49" fontId="5" fillId="18" borderId="0" xfId="0" applyNumberFormat="1" applyFont="1" applyFill="1" applyAlignment="1">
      <alignment horizontal="center" wrapText="1"/>
    </xf>
    <xf numFmtId="0" fontId="61" fillId="0" borderId="0" xfId="0" applyFont="1" applyAlignment="1">
      <alignment horizontal="left"/>
    </xf>
    <xf numFmtId="0" fontId="102" fillId="6" borderId="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4" borderId="0" xfId="0" applyFont="1" applyFill="1"/>
    <xf numFmtId="0" fontId="4" fillId="4" borderId="2" xfId="0" applyFont="1" applyFill="1" applyBorder="1"/>
    <xf numFmtId="0" fontId="0" fillId="0" borderId="10" xfId="0" applyBorder="1"/>
    <xf numFmtId="2" fontId="5" fillId="0" borderId="10" xfId="0" applyNumberFormat="1" applyFont="1" applyBorder="1"/>
    <xf numFmtId="2" fontId="5" fillId="0" borderId="0" xfId="0" applyNumberFormat="1" applyFont="1"/>
    <xf numFmtId="0" fontId="0" fillId="12" borderId="44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93" fillId="11" borderId="17" xfId="0" applyFont="1" applyFill="1" applyBorder="1"/>
    <xf numFmtId="0" fontId="8" fillId="0" borderId="0" xfId="0" applyFont="1"/>
    <xf numFmtId="0" fontId="5" fillId="11" borderId="0" xfId="0" applyFont="1" applyFill="1"/>
    <xf numFmtId="0" fontId="8" fillId="0" borderId="4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center" wrapText="1"/>
    </xf>
    <xf numFmtId="0" fontId="0" fillId="0" borderId="10" xfId="0" applyBorder="1" applyAlignment="1">
      <alignment vertical="center"/>
    </xf>
    <xf numFmtId="0" fontId="0" fillId="0" borderId="4" xfId="0" applyBorder="1" applyAlignment="1">
      <alignment vertical="center"/>
    </xf>
    <xf numFmtId="0" fontId="10" fillId="0" borderId="0" xfId="0" applyFont="1"/>
    <xf numFmtId="0" fontId="3" fillId="0" borderId="0" xfId="0" applyFont="1" applyAlignment="1">
      <alignment horizontal="center"/>
    </xf>
    <xf numFmtId="2" fontId="5" fillId="0" borderId="9" xfId="0" applyNumberFormat="1" applyFont="1" applyBorder="1"/>
    <xf numFmtId="49" fontId="5" fillId="4" borderId="9" xfId="0" applyNumberFormat="1" applyFont="1" applyFill="1" applyBorder="1" applyAlignment="1">
      <alignment horizontal="center" wrapText="1"/>
    </xf>
    <xf numFmtId="49" fontId="5" fillId="12" borderId="45" xfId="0" applyNumberFormat="1" applyFont="1" applyFill="1" applyBorder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0" fontId="92" fillId="0" borderId="21" xfId="0" applyFont="1" applyBorder="1"/>
    <xf numFmtId="0" fontId="92" fillId="0" borderId="22" xfId="0" applyFont="1" applyBorder="1"/>
    <xf numFmtId="0" fontId="0" fillId="0" borderId="4" xfId="0" applyBorder="1" applyAlignment="1">
      <alignment horizontal="center" wrapText="1"/>
    </xf>
    <xf numFmtId="0" fontId="0" fillId="7" borderId="0" xfId="0" applyFill="1" applyAlignment="1">
      <alignment horizontal="center" wrapText="1"/>
    </xf>
    <xf numFmtId="0" fontId="5" fillId="11" borderId="13" xfId="0" applyFont="1" applyFill="1" applyBorder="1" applyAlignment="1">
      <alignment horizontal="center" wrapText="1"/>
    </xf>
    <xf numFmtId="0" fontId="0" fillId="7" borderId="0" xfId="0" applyFill="1"/>
    <xf numFmtId="0" fontId="93" fillId="11" borderId="13" xfId="0" applyFont="1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8" fillId="11" borderId="13" xfId="0" applyFont="1" applyFill="1" applyBorder="1" applyAlignment="1">
      <alignment horizontal="center" wrapText="1"/>
    </xf>
    <xf numFmtId="0" fontId="0" fillId="11" borderId="13" xfId="0" applyFill="1" applyBorder="1" applyAlignment="1">
      <alignment horizontal="center" wrapText="1"/>
    </xf>
    <xf numFmtId="0" fontId="3" fillId="8" borderId="0" xfId="0" applyFont="1" applyFill="1"/>
    <xf numFmtId="2" fontId="38" fillId="0" borderId="0" xfId="0" applyNumberFormat="1" applyFont="1" applyAlignment="1">
      <alignment horizontal="center"/>
    </xf>
    <xf numFmtId="2" fontId="41" fillId="0" borderId="24" xfId="0" applyNumberFormat="1" applyFont="1" applyBorder="1" applyAlignment="1">
      <alignment horizontal="center" vertical="center"/>
    </xf>
    <xf numFmtId="2" fontId="9" fillId="0" borderId="0" xfId="0" applyNumberFormat="1" applyFont="1"/>
    <xf numFmtId="0" fontId="5" fillId="2" borderId="5" xfId="0" applyFont="1" applyFill="1" applyBorder="1"/>
    <xf numFmtId="0" fontId="5" fillId="0" borderId="7" xfId="0" applyFont="1" applyBorder="1"/>
    <xf numFmtId="0" fontId="5" fillId="2" borderId="18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94" fillId="11" borderId="25" xfId="0" applyFont="1" applyFill="1" applyBorder="1"/>
    <xf numFmtId="0" fontId="94" fillId="11" borderId="26" xfId="0" applyFont="1" applyFill="1" applyBorder="1"/>
    <xf numFmtId="0" fontId="5" fillId="11" borderId="14" xfId="0" applyFont="1" applyFill="1" applyBorder="1"/>
    <xf numFmtId="0" fontId="0" fillId="0" borderId="18" xfId="0" applyBorder="1"/>
    <xf numFmtId="0" fontId="12" fillId="0" borderId="1" xfId="0" applyFont="1" applyBorder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36" fillId="7" borderId="1" xfId="0" applyFont="1" applyFill="1" applyBorder="1"/>
    <xf numFmtId="0" fontId="95" fillId="11" borderId="1" xfId="0" applyFont="1" applyFill="1" applyBorder="1" applyAlignment="1">
      <alignment horizontal="center"/>
    </xf>
    <xf numFmtId="0" fontId="36" fillId="2" borderId="1" xfId="0" applyFont="1" applyFill="1" applyBorder="1"/>
    <xf numFmtId="0" fontId="37" fillId="11" borderId="1" xfId="0" applyFont="1" applyFill="1" applyBorder="1" applyAlignment="1">
      <alignment horizontal="center"/>
    </xf>
    <xf numFmtId="0" fontId="37" fillId="13" borderId="1" xfId="0" applyFont="1" applyFill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7" fillId="8" borderId="1" xfId="0" applyFont="1" applyFill="1" applyBorder="1" applyAlignment="1">
      <alignment horizontal="center"/>
    </xf>
    <xf numFmtId="2" fontId="39" fillId="2" borderId="5" xfId="0" applyNumberFormat="1" applyFont="1" applyFill="1" applyBorder="1" applyAlignment="1">
      <alignment horizontal="center"/>
    </xf>
    <xf numFmtId="2" fontId="39" fillId="2" borderId="7" xfId="0" applyNumberFormat="1" applyFont="1" applyFill="1" applyBorder="1" applyAlignment="1">
      <alignment horizontal="center"/>
    </xf>
    <xf numFmtId="2" fontId="39" fillId="7" borderId="5" xfId="0" applyNumberFormat="1" applyFont="1" applyFill="1" applyBorder="1" applyAlignment="1">
      <alignment horizontal="center"/>
    </xf>
    <xf numFmtId="0" fontId="6" fillId="0" borderId="0" xfId="0" applyFont="1"/>
    <xf numFmtId="0" fontId="5" fillId="2" borderId="6" xfId="0" applyFont="1" applyFill="1" applyBorder="1"/>
    <xf numFmtId="0" fontId="5" fillId="0" borderId="6" xfId="0" applyFont="1" applyBorder="1"/>
    <xf numFmtId="0" fontId="9" fillId="2" borderId="18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94" fillId="11" borderId="19" xfId="0" applyFont="1" applyFill="1" applyBorder="1"/>
    <xf numFmtId="0" fontId="94" fillId="11" borderId="20" xfId="0" applyFont="1" applyFill="1" applyBorder="1"/>
    <xf numFmtId="0" fontId="0" fillId="0" borderId="3" xfId="0" applyBorder="1"/>
    <xf numFmtId="0" fontId="12" fillId="0" borderId="0" xfId="0" applyFont="1" applyAlignment="1">
      <alignment horizontal="center"/>
    </xf>
    <xf numFmtId="0" fontId="12" fillId="7" borderId="0" xfId="0" applyFont="1" applyFill="1" applyAlignment="1">
      <alignment horizontal="center"/>
    </xf>
    <xf numFmtId="0" fontId="5" fillId="11" borderId="0" xfId="0" applyFont="1" applyFill="1" applyAlignment="1">
      <alignment horizontal="center"/>
    </xf>
    <xf numFmtId="0" fontId="36" fillId="7" borderId="0" xfId="0" applyFont="1" applyFill="1"/>
    <xf numFmtId="0" fontId="95" fillId="11" borderId="0" xfId="0" applyFont="1" applyFill="1" applyAlignment="1">
      <alignment horizontal="center"/>
    </xf>
    <xf numFmtId="0" fontId="36" fillId="2" borderId="0" xfId="0" applyFont="1" applyFill="1"/>
    <xf numFmtId="0" fontId="37" fillId="11" borderId="0" xfId="0" applyFont="1" applyFill="1" applyAlignment="1">
      <alignment horizontal="center"/>
    </xf>
    <xf numFmtId="0" fontId="37" fillId="0" borderId="0" xfId="0" applyFont="1" applyAlignment="1">
      <alignment horizontal="center"/>
    </xf>
    <xf numFmtId="0" fontId="37" fillId="8" borderId="0" xfId="0" applyFont="1" applyFill="1" applyAlignment="1">
      <alignment horizontal="center"/>
    </xf>
    <xf numFmtId="2" fontId="39" fillId="22" borderId="5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84" fillId="13" borderId="8" xfId="0" applyFont="1" applyFill="1" applyBorder="1" applyAlignment="1">
      <alignment horizontal="center"/>
    </xf>
    <xf numFmtId="0" fontId="8" fillId="13" borderId="8" xfId="0" applyFont="1" applyFill="1" applyBorder="1"/>
    <xf numFmtId="0" fontId="8" fillId="0" borderId="8" xfId="0" applyFont="1" applyBorder="1"/>
    <xf numFmtId="0" fontId="8" fillId="18" borderId="8" xfId="0" applyFont="1" applyFill="1" applyBorder="1"/>
    <xf numFmtId="0" fontId="3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22" fillId="0" borderId="0" xfId="0" applyFont="1"/>
    <xf numFmtId="0" fontId="20" fillId="0" borderId="0" xfId="0" applyFont="1"/>
    <xf numFmtId="0" fontId="27" fillId="0" borderId="0" xfId="0" applyFont="1"/>
    <xf numFmtId="0" fontId="28" fillId="0" borderId="8" xfId="0" applyFont="1" applyBorder="1"/>
    <xf numFmtId="0" fontId="0" fillId="0" borderId="11" xfId="0" applyBorder="1"/>
    <xf numFmtId="0" fontId="20" fillId="0" borderId="11" xfId="0" applyFont="1" applyBorder="1"/>
    <xf numFmtId="0" fontId="20" fillId="0" borderId="12" xfId="0" applyFont="1" applyBorder="1"/>
    <xf numFmtId="0" fontId="11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11" xfId="0" applyFont="1" applyBorder="1"/>
    <xf numFmtId="0" fontId="18" fillId="0" borderId="12" xfId="0" applyFont="1" applyBorder="1"/>
    <xf numFmtId="49" fontId="34" fillId="0" borderId="0" xfId="0" applyNumberFormat="1" applyFont="1" applyAlignment="1">
      <alignment horizontal="center" wrapText="1"/>
    </xf>
    <xf numFmtId="0" fontId="30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2" fontId="62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2" fontId="15" fillId="0" borderId="0" xfId="0" applyNumberFormat="1" applyFont="1" applyAlignment="1">
      <alignment horizontal="center" vertical="center"/>
    </xf>
    <xf numFmtId="2" fontId="62" fillId="0" borderId="0" xfId="0" applyNumberFormat="1" applyFont="1" applyAlignment="1">
      <alignment vertical="center"/>
    </xf>
    <xf numFmtId="0" fontId="35" fillId="6" borderId="5" xfId="0" applyFont="1" applyFill="1" applyBorder="1" applyAlignment="1">
      <alignment horizontal="center" vertical="center" wrapText="1"/>
    </xf>
    <xf numFmtId="49" fontId="42" fillId="16" borderId="0" xfId="0" applyNumberFormat="1" applyFont="1" applyFill="1" applyAlignment="1">
      <alignment horizontal="center" wrapText="1"/>
    </xf>
    <xf numFmtId="0" fontId="33" fillId="0" borderId="0" xfId="0" applyFont="1"/>
    <xf numFmtId="0" fontId="0" fillId="0" borderId="16" xfId="0" applyBorder="1"/>
    <xf numFmtId="49" fontId="34" fillId="15" borderId="5" xfId="0" applyNumberFormat="1" applyFont="1" applyFill="1" applyBorder="1" applyAlignment="1">
      <alignment horizontal="center" wrapText="1"/>
    </xf>
    <xf numFmtId="49" fontId="3" fillId="4" borderId="0" xfId="0" applyNumberFormat="1" applyFont="1" applyFill="1" applyAlignment="1">
      <alignment horizontal="center" wrapText="1"/>
    </xf>
    <xf numFmtId="0" fontId="4" fillId="12" borderId="14" xfId="0" applyFont="1" applyFill="1" applyBorder="1" applyAlignment="1">
      <alignment horizontal="center"/>
    </xf>
    <xf numFmtId="49" fontId="5" fillId="12" borderId="5" xfId="0" applyNumberFormat="1" applyFont="1" applyFill="1" applyBorder="1" applyAlignment="1">
      <alignment horizontal="center" wrapText="1"/>
    </xf>
    <xf numFmtId="0" fontId="40" fillId="0" borderId="0" xfId="0" applyFont="1"/>
    <xf numFmtId="2" fontId="41" fillId="0" borderId="5" xfId="0" applyNumberFormat="1" applyFont="1" applyBorder="1" applyAlignment="1">
      <alignment horizontal="center"/>
    </xf>
    <xf numFmtId="0" fontId="5" fillId="12" borderId="0" xfId="0" applyFont="1" applyFill="1"/>
    <xf numFmtId="0" fontId="5" fillId="12" borderId="1" xfId="0" applyFont="1" applyFill="1" applyBorder="1"/>
    <xf numFmtId="0" fontId="0" fillId="12" borderId="24" xfId="0" applyFill="1" applyBorder="1"/>
    <xf numFmtId="0" fontId="0" fillId="12" borderId="0" xfId="0" applyFill="1"/>
    <xf numFmtId="0" fontId="28" fillId="11" borderId="8" xfId="0" applyFont="1" applyFill="1" applyBorder="1"/>
    <xf numFmtId="0" fontId="5" fillId="13" borderId="8" xfId="0" applyFont="1" applyFill="1" applyBorder="1"/>
    <xf numFmtId="0" fontId="8" fillId="0" borderId="8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2" fontId="5" fillId="12" borderId="3" xfId="0" applyNumberFormat="1" applyFont="1" applyFill="1" applyBorder="1"/>
    <xf numFmtId="2" fontId="5" fillId="12" borderId="7" xfId="0" applyNumberFormat="1" applyFont="1" applyFill="1" applyBorder="1"/>
    <xf numFmtId="0" fontId="0" fillId="12" borderId="28" xfId="0" applyFill="1" applyBorder="1"/>
    <xf numFmtId="49" fontId="34" fillId="12" borderId="18" xfId="0" applyNumberFormat="1" applyFont="1" applyFill="1" applyBorder="1" applyAlignment="1">
      <alignment horizontal="center" wrapText="1"/>
    </xf>
    <xf numFmtId="0" fontId="8" fillId="7" borderId="0" xfId="0" applyFont="1" applyFill="1" applyAlignment="1">
      <alignment horizontal="center" wrapText="1"/>
    </xf>
    <xf numFmtId="0" fontId="8" fillId="11" borderId="0" xfId="0" applyFont="1" applyFill="1" applyAlignment="1">
      <alignment horizontal="center" wrapText="1"/>
    </xf>
    <xf numFmtId="0" fontId="8" fillId="7" borderId="0" xfId="0" applyFont="1" applyFill="1"/>
    <xf numFmtId="0" fontId="28" fillId="11" borderId="0" xfId="0" applyFont="1" applyFill="1" applyAlignment="1">
      <alignment horizontal="center" wrapText="1"/>
    </xf>
    <xf numFmtId="0" fontId="5" fillId="11" borderId="8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8" fillId="13" borderId="0" xfId="0" applyFont="1" applyFill="1" applyAlignment="1">
      <alignment horizontal="center" wrapText="1"/>
    </xf>
    <xf numFmtId="0" fontId="5" fillId="8" borderId="0" xfId="0" applyFont="1" applyFill="1"/>
    <xf numFmtId="2" fontId="41" fillId="0" borderId="0" xfId="0" applyNumberFormat="1" applyFont="1" applyAlignment="1">
      <alignment horizontal="center"/>
    </xf>
    <xf numFmtId="0" fontId="5" fillId="12" borderId="5" xfId="0" applyFont="1" applyFill="1" applyBorder="1"/>
    <xf numFmtId="0" fontId="5" fillId="12" borderId="7" xfId="0" applyFont="1" applyFill="1" applyBorder="1"/>
    <xf numFmtId="0" fontId="5" fillId="12" borderId="18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8" fillId="13" borderId="8" xfId="0" applyFont="1" applyFill="1" applyBorder="1"/>
    <xf numFmtId="0" fontId="5" fillId="0" borderId="5" xfId="0" applyFont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44" fillId="11" borderId="8" xfId="0" applyFont="1" applyFill="1" applyBorder="1" applyAlignment="1">
      <alignment horizontal="center"/>
    </xf>
    <xf numFmtId="0" fontId="8" fillId="7" borderId="8" xfId="0" applyFont="1" applyFill="1" applyBorder="1"/>
    <xf numFmtId="0" fontId="69" fillId="11" borderId="8" xfId="0" applyFont="1" applyFill="1" applyBorder="1" applyAlignment="1">
      <alignment horizontal="center"/>
    </xf>
    <xf numFmtId="0" fontId="36" fillId="2" borderId="8" xfId="0" applyFont="1" applyFill="1" applyBorder="1"/>
    <xf numFmtId="0" fontId="37" fillId="0" borderId="8" xfId="0" applyFont="1" applyBorder="1" applyAlignment="1">
      <alignment horizontal="center"/>
    </xf>
    <xf numFmtId="2" fontId="5" fillId="7" borderId="5" xfId="0" applyNumberFormat="1" applyFont="1" applyFill="1" applyBorder="1" applyAlignment="1">
      <alignment horizontal="center"/>
    </xf>
    <xf numFmtId="0" fontId="5" fillId="12" borderId="6" xfId="0" applyFont="1" applyFill="1" applyBorder="1"/>
    <xf numFmtId="0" fontId="5" fillId="0" borderId="6" xfId="0" applyFont="1" applyBorder="1" applyAlignment="1">
      <alignment horizontal="center"/>
    </xf>
    <xf numFmtId="0" fontId="17" fillId="0" borderId="0" xfId="0" applyFont="1"/>
    <xf numFmtId="0" fontId="63" fillId="0" borderId="8" xfId="0" applyFont="1" applyBorder="1"/>
    <xf numFmtId="0" fontId="29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6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62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25" fillId="0" borderId="0" xfId="0" applyFont="1"/>
    <xf numFmtId="0" fontId="26" fillId="0" borderId="0" xfId="0" applyFont="1"/>
    <xf numFmtId="49" fontId="5" fillId="0" borderId="0" xfId="0" applyNumberFormat="1" applyFont="1" applyAlignment="1">
      <alignment horizontal="center"/>
    </xf>
    <xf numFmtId="0" fontId="35" fillId="6" borderId="5" xfId="0" applyFont="1" applyFill="1" applyBorder="1" applyAlignment="1">
      <alignment horizontal="center" wrapText="1"/>
    </xf>
    <xf numFmtId="0" fontId="44" fillId="0" borderId="0" xfId="0" applyFont="1" applyAlignment="1">
      <alignment horizontal="center" vertical="center" wrapText="1"/>
    </xf>
    <xf numFmtId="49" fontId="34" fillId="15" borderId="5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wrapText="1"/>
    </xf>
    <xf numFmtId="49" fontId="4" fillId="12" borderId="5" xfId="0" applyNumberFormat="1" applyFont="1" applyFill="1" applyBorder="1" applyAlignment="1">
      <alignment horizontal="center" vertical="center" wrapText="1"/>
    </xf>
    <xf numFmtId="49" fontId="44" fillId="0" borderId="0" xfId="0" applyNumberFormat="1" applyFont="1" applyAlignment="1">
      <alignment horizontal="center" wrapText="1"/>
    </xf>
    <xf numFmtId="0" fontId="67" fillId="0" borderId="0" xfId="0" applyFont="1"/>
    <xf numFmtId="0" fontId="5" fillId="0" borderId="1" xfId="0" applyFont="1" applyBorder="1"/>
    <xf numFmtId="0" fontId="52" fillId="12" borderId="24" xfId="0" applyFont="1" applyFill="1" applyBorder="1"/>
    <xf numFmtId="0" fontId="28" fillId="0" borderId="8" xfId="0" applyFont="1" applyBorder="1" applyAlignment="1">
      <alignment horizontal="center" wrapText="1"/>
    </xf>
    <xf numFmtId="0" fontId="28" fillId="16" borderId="8" xfId="0" applyFont="1" applyFill="1" applyBorder="1"/>
    <xf numFmtId="0" fontId="28" fillId="0" borderId="0" xfId="0" applyFont="1" applyAlignment="1">
      <alignment horizontal="center" wrapText="1"/>
    </xf>
    <xf numFmtId="2" fontId="5" fillId="0" borderId="3" xfId="0" applyNumberFormat="1" applyFont="1" applyBorder="1"/>
    <xf numFmtId="2" fontId="5" fillId="0" borderId="7" xfId="0" applyNumberFormat="1" applyFont="1" applyBorder="1"/>
    <xf numFmtId="0" fontId="42" fillId="15" borderId="8" xfId="0" applyFont="1" applyFill="1" applyBorder="1" applyAlignment="1">
      <alignment horizontal="center" wrapText="1"/>
    </xf>
    <xf numFmtId="0" fontId="28" fillId="15" borderId="8" xfId="0" applyFont="1" applyFill="1" applyBorder="1" applyAlignment="1">
      <alignment horizontal="center" wrapText="1"/>
    </xf>
    <xf numFmtId="0" fontId="28" fillId="7" borderId="0" xfId="0" applyFont="1" applyFill="1" applyAlignment="1">
      <alignment horizontal="center" wrapText="1"/>
    </xf>
    <xf numFmtId="0" fontId="28" fillId="7" borderId="0" xfId="0" applyFont="1" applyFill="1"/>
    <xf numFmtId="0" fontId="28" fillId="2" borderId="0" xfId="0" applyFont="1" applyFill="1" applyAlignment="1">
      <alignment horizontal="center" wrapText="1"/>
    </xf>
    <xf numFmtId="0" fontId="28" fillId="9" borderId="0" xfId="0" applyFont="1" applyFill="1" applyAlignment="1">
      <alignment horizontal="center" wrapText="1"/>
    </xf>
    <xf numFmtId="0" fontId="44" fillId="8" borderId="0" xfId="0" applyFont="1" applyFill="1"/>
    <xf numFmtId="2" fontId="68" fillId="0" borderId="0" xfId="0" applyNumberFormat="1" applyFont="1" applyAlignment="1">
      <alignment horizontal="center"/>
    </xf>
    <xf numFmtId="2" fontId="68" fillId="0" borderId="5" xfId="0" applyNumberFormat="1" applyFont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16" borderId="7" xfId="0" applyFont="1" applyFill="1" applyBorder="1" applyAlignment="1">
      <alignment horizontal="center"/>
    </xf>
    <xf numFmtId="0" fontId="5" fillId="14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64" fillId="0" borderId="0" xfId="0" applyFont="1" applyAlignment="1">
      <alignment horizontal="center"/>
    </xf>
    <xf numFmtId="0" fontId="64" fillId="7" borderId="8" xfId="0" applyFont="1" applyFill="1" applyBorder="1" applyAlignment="1">
      <alignment horizontal="center"/>
    </xf>
    <xf numFmtId="0" fontId="5" fillId="13" borderId="0" xfId="0" applyFont="1" applyFill="1" applyAlignment="1">
      <alignment horizontal="center"/>
    </xf>
    <xf numFmtId="0" fontId="67" fillId="7" borderId="8" xfId="0" applyFont="1" applyFill="1" applyBorder="1"/>
    <xf numFmtId="0" fontId="67" fillId="2" borderId="8" xfId="0" applyFont="1" applyFill="1" applyBorder="1"/>
    <xf numFmtId="0" fontId="69" fillId="9" borderId="8" xfId="0" applyFont="1" applyFill="1" applyBorder="1" applyAlignment="1">
      <alignment horizontal="center"/>
    </xf>
    <xf numFmtId="0" fontId="69" fillId="0" borderId="8" xfId="0" applyFont="1" applyBorder="1" applyAlignment="1">
      <alignment horizontal="center"/>
    </xf>
    <xf numFmtId="0" fontId="69" fillId="0" borderId="0" xfId="0" applyFont="1" applyAlignment="1">
      <alignment horizontal="center"/>
    </xf>
    <xf numFmtId="0" fontId="69" fillId="9" borderId="0" xfId="0" applyFont="1" applyFill="1" applyAlignment="1">
      <alignment horizontal="center"/>
    </xf>
    <xf numFmtId="0" fontId="69" fillId="8" borderId="0" xfId="0" applyFont="1" applyFill="1" applyAlignment="1">
      <alignment horizontal="center"/>
    </xf>
    <xf numFmtId="2" fontId="44" fillId="2" borderId="5" xfId="0" applyNumberFormat="1" applyFont="1" applyFill="1" applyBorder="1" applyAlignment="1">
      <alignment horizontal="center"/>
    </xf>
    <xf numFmtId="2" fontId="44" fillId="7" borderId="15" xfId="0" applyNumberFormat="1" applyFont="1" applyFill="1" applyBorder="1" applyAlignment="1">
      <alignment horizontal="center"/>
    </xf>
    <xf numFmtId="0" fontId="64" fillId="7" borderId="0" xfId="0" applyFont="1" applyFill="1" applyAlignment="1">
      <alignment horizontal="center"/>
    </xf>
    <xf numFmtId="2" fontId="44" fillId="7" borderId="5" xfId="0" applyNumberFormat="1" applyFont="1" applyFill="1" applyBorder="1" applyAlignment="1">
      <alignment horizontal="center"/>
    </xf>
    <xf numFmtId="0" fontId="74" fillId="0" borderId="7" xfId="0" applyFont="1" applyBorder="1"/>
    <xf numFmtId="0" fontId="5" fillId="13" borderId="18" xfId="0" applyFont="1" applyFill="1" applyBorder="1" applyAlignment="1">
      <alignment horizontal="center"/>
    </xf>
    <xf numFmtId="49" fontId="3" fillId="4" borderId="18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8" fillId="0" borderId="1" xfId="0" applyFont="1" applyBorder="1"/>
    <xf numFmtId="0" fontId="28" fillId="12" borderId="8" xfId="0" applyFont="1" applyFill="1" applyBorder="1"/>
    <xf numFmtId="2" fontId="14" fillId="0" borderId="0" xfId="0" applyNumberFormat="1" applyFont="1" applyAlignment="1">
      <alignment horizontal="center"/>
    </xf>
    <xf numFmtId="49" fontId="44" fillId="4" borderId="18" xfId="0" applyNumberFormat="1" applyFont="1" applyFill="1" applyBorder="1" applyAlignment="1">
      <alignment horizontal="center" wrapText="1"/>
    </xf>
    <xf numFmtId="49" fontId="44" fillId="4" borderId="5" xfId="0" applyNumberFormat="1" applyFont="1" applyFill="1" applyBorder="1" applyAlignment="1">
      <alignment horizontal="center" wrapText="1"/>
    </xf>
    <xf numFmtId="49" fontId="44" fillId="4" borderId="15" xfId="0" applyNumberFormat="1" applyFont="1" applyFill="1" applyBorder="1" applyAlignment="1">
      <alignment horizontal="center" wrapText="1"/>
    </xf>
    <xf numFmtId="49" fontId="44" fillId="4" borderId="6" xfId="0" applyNumberFormat="1" applyFont="1" applyFill="1" applyBorder="1" applyAlignment="1">
      <alignment horizontal="center" wrapText="1"/>
    </xf>
    <xf numFmtId="0" fontId="44" fillId="0" borderId="0" xfId="0" applyFont="1" applyAlignment="1">
      <alignment horizontal="center"/>
    </xf>
    <xf numFmtId="0" fontId="44" fillId="11" borderId="17" xfId="0" applyFont="1" applyFill="1" applyBorder="1"/>
    <xf numFmtId="0" fontId="44" fillId="11" borderId="0" xfId="0" applyFont="1" applyFill="1"/>
    <xf numFmtId="0" fontId="28" fillId="0" borderId="23" xfId="0" applyFont="1" applyBorder="1" applyAlignment="1">
      <alignment horizontal="center" wrapText="1"/>
    </xf>
    <xf numFmtId="49" fontId="5" fillId="4" borderId="5" xfId="0" applyNumberFormat="1" applyFont="1" applyFill="1" applyBorder="1" applyAlignment="1">
      <alignment horizontal="center" wrapText="1"/>
    </xf>
    <xf numFmtId="0" fontId="28" fillId="11" borderId="21" xfId="0" applyFont="1" applyFill="1" applyBorder="1"/>
    <xf numFmtId="0" fontId="28" fillId="11" borderId="22" xfId="0" applyFont="1" applyFill="1" applyBorder="1"/>
    <xf numFmtId="0" fontId="28" fillId="0" borderId="4" xfId="0" applyFont="1" applyBorder="1" applyAlignment="1">
      <alignment horizontal="center" wrapText="1"/>
    </xf>
    <xf numFmtId="0" fontId="0" fillId="11" borderId="8" xfId="0" applyFill="1" applyBorder="1" applyAlignment="1">
      <alignment horizontal="center" wrapText="1"/>
    </xf>
    <xf numFmtId="0" fontId="28" fillId="0" borderId="2" xfId="0" applyFont="1" applyBorder="1"/>
    <xf numFmtId="0" fontId="28" fillId="0" borderId="3" xfId="0" applyFont="1" applyBorder="1"/>
    <xf numFmtId="0" fontId="44" fillId="2" borderId="5" xfId="0" applyFont="1" applyFill="1" applyBorder="1" applyAlignment="1">
      <alignment horizontal="center"/>
    </xf>
    <xf numFmtId="0" fontId="44" fillId="2" borderId="0" xfId="0" applyFont="1" applyFill="1" applyAlignment="1">
      <alignment horizontal="center"/>
    </xf>
    <xf numFmtId="0" fontId="69" fillId="2" borderId="8" xfId="0" applyFont="1" applyFill="1" applyBorder="1" applyAlignment="1">
      <alignment horizontal="center"/>
    </xf>
    <xf numFmtId="0" fontId="37" fillId="13" borderId="0" xfId="0" applyFont="1" applyFill="1" applyAlignment="1">
      <alignment horizontal="center"/>
    </xf>
    <xf numFmtId="0" fontId="9" fillId="0" borderId="0" xfId="0" applyFont="1"/>
    <xf numFmtId="0" fontId="84" fillId="0" borderId="0" xfId="0" applyFont="1" applyAlignment="1">
      <alignment horizontal="center"/>
    </xf>
    <xf numFmtId="0" fontId="42" fillId="12" borderId="8" xfId="0" applyFont="1" applyFill="1" applyBorder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83" fillId="0" borderId="0" xfId="0" applyFont="1" applyAlignment="1">
      <alignment vertical="center"/>
    </xf>
    <xf numFmtId="2" fontId="62" fillId="0" borderId="0" xfId="0" applyNumberFormat="1" applyFont="1" applyAlignment="1">
      <alignment horizontal="center"/>
    </xf>
    <xf numFmtId="0" fontId="64" fillId="0" borderId="0" xfId="0" applyFont="1" applyAlignment="1">
      <alignment wrapText="1"/>
    </xf>
    <xf numFmtId="0" fontId="62" fillId="0" borderId="0" xfId="0" applyFont="1"/>
    <xf numFmtId="0" fontId="62" fillId="0" borderId="0" xfId="0" applyFont="1" applyAlignment="1">
      <alignment horizontal="center"/>
    </xf>
    <xf numFmtId="2" fontId="62" fillId="0" borderId="0" xfId="0" applyNumberFormat="1" applyFont="1"/>
    <xf numFmtId="0" fontId="4" fillId="2" borderId="14" xfId="0" applyFont="1" applyFill="1" applyBorder="1" applyAlignment="1">
      <alignment horizontal="center" vertical="center"/>
    </xf>
    <xf numFmtId="49" fontId="44" fillId="4" borderId="18" xfId="0" applyNumberFormat="1" applyFont="1" applyFill="1" applyBorder="1" applyAlignment="1">
      <alignment horizontal="center" vertical="center" wrapText="1"/>
    </xf>
    <xf numFmtId="49" fontId="44" fillId="4" borderId="5" xfId="0" applyNumberFormat="1" applyFont="1" applyFill="1" applyBorder="1" applyAlignment="1">
      <alignment horizontal="center" vertical="center" wrapText="1"/>
    </xf>
    <xf numFmtId="49" fontId="44" fillId="4" borderId="15" xfId="0" applyNumberFormat="1" applyFont="1" applyFill="1" applyBorder="1" applyAlignment="1">
      <alignment horizontal="center" vertical="center" wrapText="1"/>
    </xf>
    <xf numFmtId="49" fontId="44" fillId="4" borderId="6" xfId="0" applyNumberFormat="1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2" fillId="11" borderId="17" xfId="0" applyFont="1" applyFill="1" applyBorder="1"/>
    <xf numFmtId="2" fontId="5" fillId="0" borderId="4" xfId="0" applyNumberFormat="1" applyFont="1" applyBorder="1"/>
    <xf numFmtId="49" fontId="5" fillId="12" borderId="24" xfId="0" applyNumberFormat="1" applyFont="1" applyFill="1" applyBorder="1" applyAlignment="1">
      <alignment horizontal="center" wrapText="1"/>
    </xf>
    <xf numFmtId="49" fontId="5" fillId="4" borderId="24" xfId="0" applyNumberFormat="1" applyFont="1" applyFill="1" applyBorder="1" applyAlignment="1">
      <alignment horizontal="center" wrapText="1"/>
    </xf>
    <xf numFmtId="0" fontId="28" fillId="12" borderId="13" xfId="0" applyFont="1" applyFill="1" applyBorder="1" applyAlignment="1">
      <alignment horizontal="center" wrapText="1"/>
    </xf>
    <xf numFmtId="2" fontId="68" fillId="0" borderId="24" xfId="0" applyNumberFormat="1" applyFont="1" applyBorder="1" applyAlignment="1">
      <alignment horizontal="center" vertical="center"/>
    </xf>
    <xf numFmtId="0" fontId="42" fillId="11" borderId="19" xfId="0" applyFont="1" applyFill="1" applyBorder="1"/>
    <xf numFmtId="0" fontId="42" fillId="11" borderId="20" xfId="0" applyFont="1" applyFill="1" applyBorder="1"/>
    <xf numFmtId="0" fontId="28" fillId="0" borderId="14" xfId="0" applyFont="1" applyBorder="1"/>
    <xf numFmtId="0" fontId="42" fillId="11" borderId="2" xfId="0" applyFont="1" applyFill="1" applyBorder="1"/>
    <xf numFmtId="0" fontId="28" fillId="0" borderId="18" xfId="0" applyFont="1" applyBorder="1"/>
    <xf numFmtId="0" fontId="64" fillId="0" borderId="1" xfId="0" applyFont="1" applyBorder="1" applyAlignment="1">
      <alignment horizontal="center"/>
    </xf>
    <xf numFmtId="0" fontId="42" fillId="11" borderId="1" xfId="0" applyFont="1" applyFill="1" applyBorder="1" applyAlignment="1">
      <alignment horizontal="center"/>
    </xf>
    <xf numFmtId="0" fontId="76" fillId="14" borderId="0" xfId="0" applyFont="1" applyFill="1"/>
    <xf numFmtId="0" fontId="28" fillId="12" borderId="0" xfId="0" applyFont="1" applyFill="1"/>
    <xf numFmtId="0" fontId="64" fillId="7" borderId="1" xfId="0" applyFont="1" applyFill="1" applyBorder="1" applyAlignment="1">
      <alignment horizontal="center"/>
    </xf>
    <xf numFmtId="0" fontId="12" fillId="12" borderId="1" xfId="0" applyFont="1" applyFill="1" applyBorder="1" applyAlignment="1">
      <alignment horizontal="center"/>
    </xf>
    <xf numFmtId="0" fontId="67" fillId="7" borderId="27" xfId="0" applyFont="1" applyFill="1" applyBorder="1"/>
    <xf numFmtId="0" fontId="67" fillId="2" borderId="27" xfId="0" applyFont="1" applyFill="1" applyBorder="1"/>
    <xf numFmtId="0" fontId="69" fillId="9" borderId="27" xfId="0" applyFont="1" applyFill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" xfId="0" applyFont="1" applyBorder="1" applyAlignment="1">
      <alignment horizontal="center"/>
    </xf>
    <xf numFmtId="0" fontId="69" fillId="9" borderId="1" xfId="0" applyFont="1" applyFill="1" applyBorder="1" applyAlignment="1">
      <alignment horizontal="center"/>
    </xf>
    <xf numFmtId="0" fontId="69" fillId="8" borderId="1" xfId="0" applyFont="1" applyFill="1" applyBorder="1" applyAlignment="1">
      <alignment horizontal="center"/>
    </xf>
    <xf numFmtId="0" fontId="80" fillId="0" borderId="6" xfId="0" applyFont="1" applyBorder="1"/>
    <xf numFmtId="0" fontId="80" fillId="2" borderId="5" xfId="0" applyFont="1" applyFill="1" applyBorder="1" applyAlignment="1">
      <alignment horizontal="center"/>
    </xf>
    <xf numFmtId="0" fontId="79" fillId="0" borderId="2" xfId="0" applyFont="1" applyBorder="1"/>
    <xf numFmtId="0" fontId="79" fillId="0" borderId="3" xfId="0" applyFont="1" applyBorder="1"/>
    <xf numFmtId="0" fontId="79" fillId="0" borderId="0" xfId="0" applyFont="1"/>
    <xf numFmtId="0" fontId="81" fillId="0" borderId="0" xfId="0" applyFont="1" applyAlignment="1">
      <alignment horizontal="center"/>
    </xf>
    <xf numFmtId="0" fontId="81" fillId="2" borderId="5" xfId="0" applyFont="1" applyFill="1" applyBorder="1" applyAlignment="1">
      <alignment horizontal="center"/>
    </xf>
    <xf numFmtId="0" fontId="79" fillId="12" borderId="0" xfId="0" applyFont="1" applyFill="1"/>
    <xf numFmtId="0" fontId="81" fillId="7" borderId="0" xfId="0" applyFont="1" applyFill="1" applyAlignment="1">
      <alignment horizontal="center"/>
    </xf>
    <xf numFmtId="0" fontId="80" fillId="12" borderId="1" xfId="0" applyFont="1" applyFill="1" applyBorder="1" applyAlignment="1">
      <alignment horizontal="center"/>
    </xf>
    <xf numFmtId="0" fontId="79" fillId="7" borderId="8" xfId="0" applyFont="1" applyFill="1" applyBorder="1"/>
    <xf numFmtId="0" fontId="79" fillId="2" borderId="8" xfId="0" applyFont="1" applyFill="1" applyBorder="1"/>
    <xf numFmtId="0" fontId="81" fillId="9" borderId="27" xfId="0" applyFont="1" applyFill="1" applyBorder="1" applyAlignment="1">
      <alignment horizontal="center"/>
    </xf>
    <xf numFmtId="0" fontId="81" fillId="9" borderId="8" xfId="0" applyFont="1" applyFill="1" applyBorder="1" applyAlignment="1">
      <alignment horizontal="center"/>
    </xf>
    <xf numFmtId="0" fontId="81" fillId="0" borderId="8" xfId="0" applyFont="1" applyBorder="1" applyAlignment="1">
      <alignment horizontal="center"/>
    </xf>
    <xf numFmtId="0" fontId="81" fillId="9" borderId="0" xfId="0" applyFont="1" applyFill="1" applyAlignment="1">
      <alignment horizontal="center"/>
    </xf>
    <xf numFmtId="0" fontId="81" fillId="8" borderId="0" xfId="0" applyFont="1" applyFill="1" applyAlignment="1">
      <alignment horizontal="center"/>
    </xf>
    <xf numFmtId="2" fontId="81" fillId="2" borderId="5" xfId="0" applyNumberFormat="1" applyFont="1" applyFill="1" applyBorder="1" applyAlignment="1">
      <alignment horizontal="center"/>
    </xf>
    <xf numFmtId="2" fontId="42" fillId="7" borderId="5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2" fontId="44" fillId="0" borderId="0" xfId="0" applyNumberFormat="1" applyFont="1" applyAlignment="1">
      <alignment horizontal="center"/>
    </xf>
    <xf numFmtId="0" fontId="19" fillId="0" borderId="0" xfId="0" applyFont="1"/>
    <xf numFmtId="0" fontId="73" fillId="0" borderId="7" xfId="0" applyFont="1" applyBorder="1" applyAlignment="1">
      <alignment wrapText="1"/>
    </xf>
    <xf numFmtId="0" fontId="73" fillId="0" borderId="18" xfId="0" applyFont="1" applyBorder="1" applyAlignment="1">
      <alignment horizontal="center"/>
    </xf>
    <xf numFmtId="0" fontId="52" fillId="0" borderId="24" xfId="0" applyFont="1" applyBorder="1"/>
    <xf numFmtId="49" fontId="5" fillId="12" borderId="5" xfId="0" applyNumberFormat="1" applyFont="1" applyFill="1" applyBorder="1" applyAlignment="1">
      <alignment horizontal="center" vertical="center" wrapText="1"/>
    </xf>
    <xf numFmtId="0" fontId="28" fillId="17" borderId="0" xfId="0" applyFont="1" applyFill="1" applyAlignment="1">
      <alignment horizontal="center" wrapText="1"/>
    </xf>
    <xf numFmtId="0" fontId="28" fillId="14" borderId="0" xfId="0" applyFont="1" applyFill="1" applyAlignment="1">
      <alignment horizontal="center" wrapText="1"/>
    </xf>
    <xf numFmtId="0" fontId="34" fillId="14" borderId="8" xfId="0" applyFont="1" applyFill="1" applyBorder="1" applyAlignment="1">
      <alignment wrapText="1"/>
    </xf>
    <xf numFmtId="0" fontId="34" fillId="14" borderId="8" xfId="0" applyFont="1" applyFill="1" applyBorder="1" applyAlignment="1">
      <alignment horizontal="center"/>
    </xf>
    <xf numFmtId="0" fontId="13" fillId="13" borderId="8" xfId="0" applyFont="1" applyFill="1" applyBorder="1"/>
    <xf numFmtId="164" fontId="93" fillId="0" borderId="0" xfId="0" applyNumberFormat="1" applyFont="1" applyAlignment="1">
      <alignment horizontal="center"/>
    </xf>
    <xf numFmtId="0" fontId="97" fillId="0" borderId="1" xfId="0" applyFont="1" applyBorder="1"/>
    <xf numFmtId="0" fontId="97" fillId="0" borderId="2" xfId="0" applyFont="1" applyBorder="1" applyAlignment="1">
      <alignment wrapText="1"/>
    </xf>
    <xf numFmtId="0" fontId="108" fillId="0" borderId="9" xfId="0" applyFont="1" applyBorder="1"/>
    <xf numFmtId="0" fontId="108" fillId="0" borderId="6" xfId="0" applyFont="1" applyBorder="1" applyAlignment="1">
      <alignment wrapText="1"/>
    </xf>
    <xf numFmtId="0" fontId="111" fillId="0" borderId="9" xfId="0" applyFont="1" applyBorder="1"/>
    <xf numFmtId="0" fontId="111" fillId="0" borderId="6" xfId="0" applyFont="1" applyBorder="1"/>
    <xf numFmtId="0" fontId="105" fillId="0" borderId="47" xfId="0" applyFont="1" applyBorder="1" applyAlignment="1">
      <alignment horizontal="center"/>
    </xf>
    <xf numFmtId="0" fontId="107" fillId="0" borderId="49" xfId="0" applyFont="1" applyBorder="1" applyAlignment="1">
      <alignment horizontal="center"/>
    </xf>
    <xf numFmtId="0" fontId="107" fillId="0" borderId="50" xfId="0" applyFont="1" applyBorder="1" applyAlignment="1">
      <alignment horizontal="center"/>
    </xf>
    <xf numFmtId="0" fontId="103" fillId="0" borderId="51" xfId="0" applyFont="1" applyBorder="1" applyAlignment="1">
      <alignment horizontal="center"/>
    </xf>
    <xf numFmtId="0" fontId="103" fillId="0" borderId="52" xfId="0" applyFont="1" applyBorder="1" applyAlignment="1">
      <alignment horizontal="center"/>
    </xf>
    <xf numFmtId="0" fontId="87" fillId="20" borderId="46" xfId="0" applyFont="1" applyFill="1" applyBorder="1" applyAlignment="1">
      <alignment horizontal="center"/>
    </xf>
    <xf numFmtId="0" fontId="87" fillId="20" borderId="47" xfId="0" applyFont="1" applyFill="1" applyBorder="1" applyAlignment="1">
      <alignment horizontal="center"/>
    </xf>
    <xf numFmtId="0" fontId="87" fillId="20" borderId="48" xfId="0" applyFont="1" applyFill="1" applyBorder="1" applyAlignment="1">
      <alignment horizontal="center"/>
    </xf>
    <xf numFmtId="0" fontId="110" fillId="0" borderId="54" xfId="0" applyFont="1" applyBorder="1"/>
    <xf numFmtId="0" fontId="108" fillId="0" borderId="55" xfId="0" applyFont="1" applyBorder="1" applyAlignment="1">
      <alignment horizontal="right"/>
    </xf>
    <xf numFmtId="0" fontId="108" fillId="0" borderId="53" xfId="0" applyFont="1" applyBorder="1" applyAlignment="1">
      <alignment horizontal="left"/>
    </xf>
    <xf numFmtId="0" fontId="108" fillId="0" borderId="54" xfId="0" applyFont="1" applyBorder="1"/>
    <xf numFmtId="0" fontId="34" fillId="0" borderId="62" xfId="0" applyFont="1" applyBorder="1" applyAlignment="1">
      <alignment horizontal="right"/>
    </xf>
    <xf numFmtId="0" fontId="112" fillId="0" borderId="30" xfId="0" applyFont="1" applyBorder="1" applyAlignment="1">
      <alignment horizontal="center"/>
    </xf>
    <xf numFmtId="0" fontId="112" fillId="0" borderId="63" xfId="0" applyFont="1" applyBorder="1" applyAlignment="1">
      <alignment horizontal="center"/>
    </xf>
    <xf numFmtId="164" fontId="86" fillId="0" borderId="8" xfId="0" applyNumberFormat="1" applyFont="1" applyBorder="1" applyAlignment="1">
      <alignment horizontal="center"/>
    </xf>
    <xf numFmtId="0" fontId="113" fillId="0" borderId="8" xfId="0" applyFont="1" applyBorder="1"/>
    <xf numFmtId="0" fontId="113" fillId="0" borderId="0" xfId="0" applyFont="1"/>
    <xf numFmtId="0" fontId="35" fillId="0" borderId="8" xfId="0" applyFont="1" applyBorder="1"/>
    <xf numFmtId="0" fontId="35" fillId="0" borderId="8" xfId="0" applyFont="1" applyBorder="1" applyAlignment="1">
      <alignment wrapText="1"/>
    </xf>
    <xf numFmtId="0" fontId="104" fillId="0" borderId="45" xfId="0" applyFont="1" applyBorder="1"/>
    <xf numFmtId="0" fontId="52" fillId="0" borderId="8" xfId="0" applyFont="1" applyBorder="1"/>
    <xf numFmtId="0" fontId="104" fillId="0" borderId="5" xfId="0" applyFont="1" applyBorder="1" applyAlignment="1">
      <alignment horizontal="left"/>
    </xf>
    <xf numFmtId="0" fontId="16" fillId="0" borderId="8" xfId="0" applyFont="1" applyBorder="1"/>
    <xf numFmtId="0" fontId="16" fillId="0" borderId="40" xfId="0" applyFont="1" applyBorder="1" applyAlignment="1">
      <alignment wrapText="1"/>
    </xf>
    <xf numFmtId="0" fontId="74" fillId="0" borderId="0" xfId="0" applyFont="1"/>
    <xf numFmtId="0" fontId="114" fillId="0" borderId="5" xfId="0" applyFont="1" applyBorder="1" applyAlignment="1">
      <alignment horizontal="left"/>
    </xf>
    <xf numFmtId="0" fontId="102" fillId="13" borderId="67" xfId="0" applyFont="1" applyFill="1" applyBorder="1"/>
    <xf numFmtId="0" fontId="102" fillId="0" borderId="17" xfId="0" applyFont="1" applyBorder="1"/>
    <xf numFmtId="0" fontId="102" fillId="0" borderId="17" xfId="0" applyFont="1" applyBorder="1" applyAlignment="1">
      <alignment wrapText="1"/>
    </xf>
    <xf numFmtId="0" fontId="114" fillId="0" borderId="28" xfId="0" applyFont="1" applyBorder="1"/>
    <xf numFmtId="0" fontId="102" fillId="13" borderId="68" xfId="0" applyFont="1" applyFill="1" applyBorder="1"/>
    <xf numFmtId="0" fontId="102" fillId="0" borderId="13" xfId="0" applyFont="1" applyBorder="1"/>
    <xf numFmtId="0" fontId="88" fillId="0" borderId="13" xfId="0" applyFont="1" applyBorder="1"/>
    <xf numFmtId="0" fontId="114" fillId="0" borderId="24" xfId="0" applyFont="1" applyBorder="1" applyAlignment="1">
      <alignment horizontal="left"/>
    </xf>
    <xf numFmtId="0" fontId="102" fillId="0" borderId="20" xfId="0" applyFont="1" applyBorder="1"/>
    <xf numFmtId="0" fontId="88" fillId="0" borderId="20" xfId="0" applyFont="1" applyBorder="1"/>
    <xf numFmtId="164" fontId="89" fillId="0" borderId="20" xfId="0" applyNumberFormat="1" applyFont="1" applyBorder="1" applyAlignment="1">
      <alignment horizontal="center"/>
    </xf>
    <xf numFmtId="164" fontId="115" fillId="12" borderId="43" xfId="0" applyNumberFormat="1" applyFont="1" applyFill="1" applyBorder="1" applyAlignment="1">
      <alignment horizontal="center"/>
    </xf>
    <xf numFmtId="0" fontId="117" fillId="0" borderId="8" xfId="0" applyFont="1" applyBorder="1"/>
    <xf numFmtId="0" fontId="102" fillId="0" borderId="8" xfId="0" applyFont="1" applyBorder="1"/>
    <xf numFmtId="0" fontId="120" fillId="0" borderId="8" xfId="0" applyFont="1" applyBorder="1"/>
    <xf numFmtId="0" fontId="102" fillId="0" borderId="40" xfId="0" applyFont="1" applyBorder="1" applyAlignment="1">
      <alignment wrapText="1"/>
    </xf>
    <xf numFmtId="0" fontId="102" fillId="13" borderId="8" xfId="0" applyFont="1" applyFill="1" applyBorder="1"/>
    <xf numFmtId="0" fontId="102" fillId="0" borderId="8" xfId="0" applyFont="1" applyBorder="1" applyAlignment="1">
      <alignment wrapText="1"/>
    </xf>
    <xf numFmtId="0" fontId="114" fillId="0" borderId="45" xfId="0" applyFont="1" applyBorder="1"/>
    <xf numFmtId="0" fontId="88" fillId="0" borderId="8" xfId="0" applyFont="1" applyBorder="1"/>
    <xf numFmtId="0" fontId="114" fillId="12" borderId="40" xfId="0" applyFont="1" applyFill="1" applyBorder="1" applyAlignment="1">
      <alignment horizontal="center" wrapText="1"/>
    </xf>
    <xf numFmtId="0" fontId="16" fillId="12" borderId="66" xfId="0" applyFont="1" applyFill="1" applyBorder="1"/>
    <xf numFmtId="0" fontId="16" fillId="18" borderId="66" xfId="0" applyFont="1" applyFill="1" applyBorder="1"/>
    <xf numFmtId="0" fontId="28" fillId="18" borderId="14" xfId="0" applyFont="1" applyFill="1" applyBorder="1"/>
    <xf numFmtId="0" fontId="28" fillId="18" borderId="18" xfId="0" applyFont="1" applyFill="1" applyBorder="1"/>
    <xf numFmtId="0" fontId="113" fillId="12" borderId="14" xfId="0" applyFont="1" applyFill="1" applyBorder="1"/>
    <xf numFmtId="0" fontId="16" fillId="12" borderId="18" xfId="0" applyFont="1" applyFill="1" applyBorder="1" applyAlignment="1">
      <alignment wrapText="1"/>
    </xf>
    <xf numFmtId="0" fontId="102" fillId="0" borderId="67" xfId="0" applyFont="1" applyBorder="1"/>
    <xf numFmtId="0" fontId="102" fillId="0" borderId="42" xfId="0" applyFont="1" applyBorder="1"/>
    <xf numFmtId="0" fontId="73" fillId="0" borderId="0" xfId="0" applyFont="1" applyAlignment="1">
      <alignment wrapText="1"/>
    </xf>
    <xf numFmtId="0" fontId="73" fillId="0" borderId="0" xfId="0" applyFont="1" applyAlignment="1">
      <alignment horizontal="center"/>
    </xf>
    <xf numFmtId="0" fontId="111" fillId="0" borderId="32" xfId="0" applyFont="1" applyBorder="1" applyAlignment="1">
      <alignment horizontal="left"/>
    </xf>
    <xf numFmtId="0" fontId="111" fillId="0" borderId="33" xfId="0" applyFont="1" applyBorder="1"/>
    <xf numFmtId="0" fontId="111" fillId="0" borderId="34" xfId="0" applyFont="1" applyBorder="1" applyAlignment="1">
      <alignment horizontal="right"/>
    </xf>
    <xf numFmtId="0" fontId="58" fillId="0" borderId="33" xfId="0" applyFont="1" applyBorder="1"/>
    <xf numFmtId="0" fontId="58" fillId="0" borderId="33" xfId="0" applyFont="1" applyBorder="1" applyAlignment="1">
      <alignment horizontal="right"/>
    </xf>
    <xf numFmtId="0" fontId="55" fillId="0" borderId="33" xfId="0" applyFont="1" applyBorder="1"/>
    <xf numFmtId="0" fontId="0" fillId="0" borderId="33" xfId="0" applyBorder="1"/>
    <xf numFmtId="0" fontId="58" fillId="0" borderId="70" xfId="0" applyFont="1" applyBorder="1" applyAlignment="1">
      <alignment horizontal="center"/>
    </xf>
    <xf numFmtId="0" fontId="0" fillId="0" borderId="70" xfId="0" applyBorder="1" applyAlignment="1">
      <alignment horizontal="center"/>
    </xf>
    <xf numFmtId="0" fontId="55" fillId="0" borderId="70" xfId="0" applyFont="1" applyBorder="1" applyAlignment="1">
      <alignment horizontal="center"/>
    </xf>
    <xf numFmtId="0" fontId="0" fillId="0" borderId="70" xfId="0" applyBorder="1"/>
    <xf numFmtId="0" fontId="55" fillId="0" borderId="70" xfId="0" applyFont="1" applyBorder="1"/>
    <xf numFmtId="0" fontId="105" fillId="0" borderId="46" xfId="0" applyFont="1" applyBorder="1" applyAlignment="1">
      <alignment horizontal="center"/>
    </xf>
    <xf numFmtId="0" fontId="105" fillId="0" borderId="48" xfId="0" applyFont="1" applyBorder="1" applyAlignment="1">
      <alignment horizontal="center"/>
    </xf>
    <xf numFmtId="0" fontId="91" fillId="23" borderId="8" xfId="0" applyFont="1" applyFill="1" applyBorder="1" applyAlignment="1">
      <alignment horizontal="center"/>
    </xf>
    <xf numFmtId="0" fontId="86" fillId="23" borderId="8" xfId="0" applyFont="1" applyFill="1" applyBorder="1" applyAlignment="1">
      <alignment horizontal="center"/>
    </xf>
    <xf numFmtId="0" fontId="46" fillId="23" borderId="8" xfId="0" applyFont="1" applyFill="1" applyBorder="1" applyAlignment="1">
      <alignment wrapText="1"/>
    </xf>
    <xf numFmtId="0" fontId="46" fillId="23" borderId="8" xfId="0" applyFont="1" applyFill="1" applyBorder="1" applyAlignment="1">
      <alignment horizontal="center"/>
    </xf>
    <xf numFmtId="0" fontId="46" fillId="23" borderId="8" xfId="0" applyFont="1" applyFill="1" applyBorder="1"/>
    <xf numFmtId="0" fontId="123" fillId="23" borderId="8" xfId="0" applyFont="1" applyFill="1" applyBorder="1" applyAlignment="1">
      <alignment horizontal="center"/>
    </xf>
    <xf numFmtId="0" fontId="28" fillId="23" borderId="8" xfId="0" applyFont="1" applyFill="1" applyBorder="1" applyAlignment="1">
      <alignment horizontal="center" wrapText="1"/>
    </xf>
    <xf numFmtId="0" fontId="28" fillId="23" borderId="8" xfId="0" applyFont="1" applyFill="1" applyBorder="1" applyAlignment="1">
      <alignment horizontal="center"/>
    </xf>
    <xf numFmtId="0" fontId="28" fillId="23" borderId="13" xfId="0" applyFont="1" applyFill="1" applyBorder="1" applyAlignment="1">
      <alignment horizontal="center"/>
    </xf>
    <xf numFmtId="0" fontId="28" fillId="23" borderId="31" xfId="0" applyFont="1" applyFill="1" applyBorder="1" applyAlignment="1">
      <alignment horizontal="center"/>
    </xf>
    <xf numFmtId="0" fontId="98" fillId="0" borderId="0" xfId="0" applyFont="1" applyAlignment="1">
      <alignment horizontal="left"/>
    </xf>
    <xf numFmtId="0" fontId="17" fillId="23" borderId="8" xfId="0" applyFont="1" applyFill="1" applyBorder="1"/>
    <xf numFmtId="0" fontId="55" fillId="10" borderId="1" xfId="0" applyFont="1" applyFill="1" applyBorder="1"/>
    <xf numFmtId="0" fontId="55" fillId="10" borderId="23" xfId="0" applyFont="1" applyFill="1" applyBorder="1"/>
    <xf numFmtId="0" fontId="55" fillId="10" borderId="2" xfId="0" applyFont="1" applyFill="1" applyBorder="1"/>
    <xf numFmtId="0" fontId="55" fillId="10" borderId="3" xfId="0" applyFont="1" applyFill="1" applyBorder="1"/>
    <xf numFmtId="0" fontId="97" fillId="0" borderId="72" xfId="0" applyFont="1" applyBorder="1" applyAlignment="1">
      <alignment horizontal="left"/>
    </xf>
    <xf numFmtId="0" fontId="97" fillId="0" borderId="73" xfId="0" applyFont="1" applyBorder="1"/>
    <xf numFmtId="0" fontId="53" fillId="0" borderId="73" xfId="0" applyFont="1" applyBorder="1"/>
    <xf numFmtId="0" fontId="53" fillId="0" borderId="73" xfId="0" applyFont="1" applyBorder="1" applyAlignment="1">
      <alignment horizontal="right"/>
    </xf>
    <xf numFmtId="0" fontId="34" fillId="0" borderId="73" xfId="0" applyFont="1" applyBorder="1"/>
    <xf numFmtId="0" fontId="0" fillId="0" borderId="73" xfId="0" applyBorder="1"/>
    <xf numFmtId="0" fontId="97" fillId="0" borderId="74" xfId="0" applyFont="1" applyBorder="1" applyAlignment="1">
      <alignment horizontal="right"/>
    </xf>
    <xf numFmtId="0" fontId="97" fillId="0" borderId="75" xfId="0" applyFont="1" applyBorder="1"/>
    <xf numFmtId="2" fontId="97" fillId="0" borderId="75" xfId="0" applyNumberFormat="1" applyFont="1" applyBorder="1"/>
    <xf numFmtId="0" fontId="53" fillId="0" borderId="75" xfId="0" applyFont="1" applyBorder="1" applyAlignment="1">
      <alignment horizontal="center"/>
    </xf>
    <xf numFmtId="0" fontId="0" fillId="0" borderId="75" xfId="0" applyBorder="1" applyAlignment="1">
      <alignment horizontal="center"/>
    </xf>
    <xf numFmtId="0" fontId="108" fillId="0" borderId="77" xfId="0" applyFont="1" applyBorder="1" applyAlignment="1">
      <alignment horizontal="left"/>
    </xf>
    <xf numFmtId="0" fontId="108" fillId="0" borderId="78" xfId="0" applyFont="1" applyBorder="1"/>
    <xf numFmtId="0" fontId="55" fillId="0" borderId="78" xfId="0" applyFont="1" applyBorder="1"/>
    <xf numFmtId="0" fontId="55" fillId="0" borderId="78" xfId="0" applyFont="1" applyBorder="1" applyAlignment="1">
      <alignment horizontal="right"/>
    </xf>
    <xf numFmtId="0" fontId="52" fillId="0" borderId="78" xfId="0" applyFont="1" applyBorder="1"/>
    <xf numFmtId="0" fontId="0" fillId="0" borderId="78" xfId="0" applyBorder="1"/>
    <xf numFmtId="0" fontId="110" fillId="0" borderId="78" xfId="0" applyFont="1" applyBorder="1"/>
    <xf numFmtId="0" fontId="108" fillId="0" borderId="79" xfId="0" applyFont="1" applyBorder="1" applyAlignment="1">
      <alignment horizontal="right"/>
    </xf>
    <xf numFmtId="1" fontId="109" fillId="0" borderId="80" xfId="0" applyNumberFormat="1" applyFont="1" applyBorder="1"/>
    <xf numFmtId="1" fontId="109" fillId="0" borderId="81" xfId="0" applyNumberFormat="1" applyFont="1" applyBorder="1"/>
    <xf numFmtId="0" fontId="55" fillId="0" borderId="81" xfId="0" applyFont="1" applyBorder="1" applyAlignment="1">
      <alignment horizontal="center"/>
    </xf>
    <xf numFmtId="0" fontId="0" fillId="0" borderId="81" xfId="0" applyBorder="1" applyAlignment="1">
      <alignment horizontal="center"/>
    </xf>
    <xf numFmtId="0" fontId="52" fillId="0" borderId="81" xfId="0" applyFont="1" applyBorder="1" applyAlignment="1">
      <alignment horizontal="center"/>
    </xf>
    <xf numFmtId="0" fontId="0" fillId="0" borderId="81" xfId="0" applyBorder="1"/>
    <xf numFmtId="1" fontId="56" fillId="0" borderId="81" xfId="0" applyNumberFormat="1" applyFont="1" applyBorder="1" applyAlignment="1">
      <alignment horizontal="right"/>
    </xf>
    <xf numFmtId="0" fontId="52" fillId="0" borderId="81" xfId="0" applyFont="1" applyBorder="1"/>
    <xf numFmtId="2" fontId="0" fillId="0" borderId="32" xfId="0" applyNumberFormat="1" applyBorder="1"/>
    <xf numFmtId="2" fontId="0" fillId="0" borderId="33" xfId="0" applyNumberFormat="1" applyBorder="1"/>
    <xf numFmtId="0" fontId="84" fillId="18" borderId="84" xfId="0" applyFont="1" applyFill="1" applyBorder="1" applyAlignment="1">
      <alignment horizontal="left"/>
    </xf>
    <xf numFmtId="2" fontId="0" fillId="0" borderId="34" xfId="0" applyNumberFormat="1" applyBorder="1"/>
    <xf numFmtId="0" fontId="61" fillId="0" borderId="85" xfId="0" applyFont="1" applyBorder="1" applyAlignment="1">
      <alignment horizontal="center"/>
    </xf>
    <xf numFmtId="0" fontId="61" fillId="0" borderId="86" xfId="0" applyFont="1" applyBorder="1" applyAlignment="1">
      <alignment horizontal="left"/>
    </xf>
    <xf numFmtId="0" fontId="61" fillId="0" borderId="64" xfId="0" applyFont="1" applyBorder="1" applyAlignment="1">
      <alignment horizontal="center"/>
    </xf>
    <xf numFmtId="0" fontId="61" fillId="0" borderId="65" xfId="0" applyFont="1" applyBorder="1" applyAlignment="1">
      <alignment horizontal="left"/>
    </xf>
    <xf numFmtId="0" fontId="61" fillId="0" borderId="36" xfId="0" applyFont="1" applyBorder="1" applyAlignment="1">
      <alignment horizontal="center"/>
    </xf>
    <xf numFmtId="0" fontId="17" fillId="23" borderId="37" xfId="0" applyFont="1" applyFill="1" applyBorder="1"/>
    <xf numFmtId="0" fontId="84" fillId="18" borderId="37" xfId="0" applyFont="1" applyFill="1" applyBorder="1" applyAlignment="1">
      <alignment horizontal="center"/>
    </xf>
    <xf numFmtId="0" fontId="8" fillId="13" borderId="37" xfId="0" applyFont="1" applyFill="1" applyBorder="1"/>
    <xf numFmtId="0" fontId="8" fillId="0" borderId="37" xfId="0" applyFont="1" applyBorder="1"/>
    <xf numFmtId="0" fontId="61" fillId="0" borderId="38" xfId="0" applyFont="1" applyBorder="1" applyAlignment="1">
      <alignment horizontal="left"/>
    </xf>
    <xf numFmtId="0" fontId="127" fillId="0" borderId="0" xfId="0" applyFont="1" applyAlignment="1">
      <alignment wrapText="1"/>
    </xf>
    <xf numFmtId="0" fontId="52" fillId="12" borderId="0" xfId="0" applyFont="1" applyFill="1"/>
    <xf numFmtId="0" fontId="111" fillId="0" borderId="0" xfId="0" applyFont="1" applyAlignment="1">
      <alignment horizontal="center"/>
    </xf>
    <xf numFmtId="49" fontId="126" fillId="23" borderId="0" xfId="0" applyNumberFormat="1" applyFont="1" applyFill="1" applyAlignment="1">
      <alignment horizontal="center" wrapText="1"/>
    </xf>
    <xf numFmtId="0" fontId="55" fillId="0" borderId="88" xfId="0" applyFont="1" applyBorder="1" applyAlignment="1">
      <alignment horizontal="center"/>
    </xf>
    <xf numFmtId="0" fontId="55" fillId="0" borderId="88" xfId="0" applyFont="1" applyBorder="1"/>
    <xf numFmtId="0" fontId="34" fillId="12" borderId="89" xfId="0" applyFont="1" applyFill="1" applyBorder="1"/>
    <xf numFmtId="0" fontId="34" fillId="12" borderId="90" xfId="0" applyFont="1" applyFill="1" applyBorder="1"/>
    <xf numFmtId="0" fontId="52" fillId="12" borderId="89" xfId="0" applyFont="1" applyFill="1" applyBorder="1"/>
    <xf numFmtId="0" fontId="52" fillId="12" borderId="90" xfId="0" applyFont="1" applyFill="1" applyBorder="1"/>
    <xf numFmtId="0" fontId="0" fillId="12" borderId="89" xfId="0" applyFill="1" applyBorder="1"/>
    <xf numFmtId="0" fontId="34" fillId="12" borderId="91" xfId="0" applyFont="1" applyFill="1" applyBorder="1"/>
    <xf numFmtId="0" fontId="34" fillId="0" borderId="90" xfId="0" applyFont="1" applyBorder="1"/>
    <xf numFmtId="0" fontId="34" fillId="0" borderId="89" xfId="0" applyFont="1" applyBorder="1"/>
    <xf numFmtId="0" fontId="0" fillId="0" borderId="88" xfId="0" applyBorder="1"/>
    <xf numFmtId="0" fontId="34" fillId="0" borderId="88" xfId="0" applyFont="1" applyBorder="1"/>
    <xf numFmtId="0" fontId="55" fillId="0" borderId="87" xfId="0" applyFont="1" applyBorder="1" applyAlignment="1">
      <alignment horizontal="center"/>
    </xf>
    <xf numFmtId="0" fontId="34" fillId="0" borderId="92" xfId="0" applyFont="1" applyBorder="1"/>
    <xf numFmtId="0" fontId="55" fillId="10" borderId="39" xfId="0" applyFont="1" applyFill="1" applyBorder="1" applyAlignment="1">
      <alignment horizontal="center"/>
    </xf>
    <xf numFmtId="0" fontId="55" fillId="10" borderId="1" xfId="0" applyFont="1" applyFill="1" applyBorder="1" applyAlignment="1">
      <alignment horizontal="center"/>
    </xf>
    <xf numFmtId="0" fontId="55" fillId="10" borderId="23" xfId="0" applyFont="1" applyFill="1" applyBorder="1" applyAlignment="1">
      <alignment horizontal="center"/>
    </xf>
    <xf numFmtId="0" fontId="55" fillId="10" borderId="35" xfId="0" applyFont="1" applyFill="1" applyBorder="1" applyAlignment="1">
      <alignment horizontal="center"/>
    </xf>
    <xf numFmtId="0" fontId="55" fillId="10" borderId="2" xfId="0" applyFont="1" applyFill="1" applyBorder="1" applyAlignment="1">
      <alignment horizontal="center"/>
    </xf>
    <xf numFmtId="0" fontId="55" fillId="10" borderId="3" xfId="0" applyFont="1" applyFill="1" applyBorder="1" applyAlignment="1">
      <alignment horizontal="center"/>
    </xf>
    <xf numFmtId="0" fontId="55" fillId="10" borderId="9" xfId="0" applyFont="1" applyFill="1" applyBorder="1" applyAlignment="1">
      <alignment horizontal="center"/>
    </xf>
    <xf numFmtId="0" fontId="55" fillId="10" borderId="6" xfId="0" applyFont="1" applyFill="1" applyBorder="1" applyAlignment="1">
      <alignment horizontal="center"/>
    </xf>
    <xf numFmtId="0" fontId="128" fillId="20" borderId="49" xfId="0" applyFont="1" applyFill="1" applyBorder="1" applyAlignment="1">
      <alignment horizontal="center"/>
    </xf>
    <xf numFmtId="0" fontId="128" fillId="20" borderId="50" xfId="0" applyFont="1" applyFill="1" applyBorder="1" applyAlignment="1">
      <alignment horizontal="center"/>
    </xf>
    <xf numFmtId="0" fontId="128" fillId="20" borderId="83" xfId="0" applyFont="1" applyFill="1" applyBorder="1" applyAlignment="1">
      <alignment horizontal="center"/>
    </xf>
    <xf numFmtId="0" fontId="128" fillId="20" borderId="51" xfId="0" applyFont="1" applyFill="1" applyBorder="1" applyAlignment="1">
      <alignment horizontal="center"/>
    </xf>
    <xf numFmtId="0" fontId="128" fillId="20" borderId="52" xfId="0" applyFont="1" applyFill="1" applyBorder="1" applyAlignment="1">
      <alignment horizontal="center"/>
    </xf>
    <xf numFmtId="0" fontId="100" fillId="18" borderId="8" xfId="0" applyFont="1" applyFill="1" applyBorder="1" applyAlignment="1">
      <alignment horizontal="center"/>
    </xf>
    <xf numFmtId="0" fontId="131" fillId="0" borderId="0" xfId="0" applyFont="1"/>
    <xf numFmtId="0" fontId="99" fillId="0" borderId="0" xfId="0" applyFont="1"/>
    <xf numFmtId="0" fontId="131" fillId="18" borderId="0" xfId="0" applyFont="1" applyFill="1" applyAlignment="1">
      <alignment horizontal="center"/>
    </xf>
    <xf numFmtId="0" fontId="132" fillId="0" borderId="8" xfId="0" applyFont="1" applyBorder="1"/>
    <xf numFmtId="0" fontId="88" fillId="0" borderId="0" xfId="0" applyFont="1"/>
    <xf numFmtId="0" fontId="99" fillId="19" borderId="8" xfId="0" applyFont="1" applyFill="1" applyBorder="1"/>
    <xf numFmtId="0" fontId="99" fillId="16" borderId="8" xfId="0" applyFont="1" applyFill="1" applyBorder="1"/>
    <xf numFmtId="0" fontId="99" fillId="16" borderId="8" xfId="0" applyFont="1" applyFill="1" applyBorder="1" applyAlignment="1">
      <alignment vertical="center"/>
    </xf>
    <xf numFmtId="0" fontId="99" fillId="16" borderId="29" xfId="0" applyFont="1" applyFill="1" applyBorder="1" applyAlignment="1">
      <alignment vertical="center"/>
    </xf>
    <xf numFmtId="0" fontId="133" fillId="23" borderId="8" xfId="0" applyFont="1" applyFill="1" applyBorder="1" applyAlignment="1">
      <alignment horizontal="center"/>
    </xf>
    <xf numFmtId="0" fontId="99" fillId="23" borderId="8" xfId="0" applyFont="1" applyFill="1" applyBorder="1" applyAlignment="1">
      <alignment horizontal="center"/>
    </xf>
    <xf numFmtId="0" fontId="99" fillId="23" borderId="8" xfId="0" applyFont="1" applyFill="1" applyBorder="1"/>
    <xf numFmtId="0" fontId="135" fillId="19" borderId="8" xfId="0" applyFont="1" applyFill="1" applyBorder="1"/>
    <xf numFmtId="0" fontId="136" fillId="0" borderId="0" xfId="0" applyFont="1"/>
    <xf numFmtId="0" fontId="96" fillId="23" borderId="0" xfId="0" applyFont="1" applyFill="1" applyAlignment="1">
      <alignment horizontal="left"/>
    </xf>
    <xf numFmtId="0" fontId="88" fillId="0" borderId="8" xfId="0" applyFont="1" applyBorder="1" applyAlignment="1">
      <alignment horizontal="center" wrapText="1"/>
    </xf>
    <xf numFmtId="0" fontId="35" fillId="23" borderId="8" xfId="0" applyFont="1" applyFill="1" applyBorder="1"/>
    <xf numFmtId="0" fontId="35" fillId="23" borderId="8" xfId="0" applyFont="1" applyFill="1" applyBorder="1" applyAlignment="1">
      <alignment wrapText="1"/>
    </xf>
    <xf numFmtId="0" fontId="52" fillId="23" borderId="8" xfId="0" applyFont="1" applyFill="1" applyBorder="1"/>
    <xf numFmtId="164" fontId="86" fillId="23" borderId="8" xfId="0" applyNumberFormat="1" applyFont="1" applyFill="1" applyBorder="1" applyAlignment="1">
      <alignment horizontal="center"/>
    </xf>
    <xf numFmtId="0" fontId="42" fillId="16" borderId="0" xfId="0" applyFont="1" applyFill="1" applyAlignment="1">
      <alignment horizontal="center" wrapText="1"/>
    </xf>
    <xf numFmtId="0" fontId="8" fillId="23" borderId="0" xfId="0" applyFont="1" applyFill="1" applyAlignment="1">
      <alignment horizontal="center" wrapText="1"/>
    </xf>
    <xf numFmtId="0" fontId="37" fillId="23" borderId="8" xfId="0" applyFont="1" applyFill="1" applyBorder="1" applyAlignment="1">
      <alignment horizontal="center"/>
    </xf>
    <xf numFmtId="0" fontId="8" fillId="23" borderId="8" xfId="0" applyFont="1" applyFill="1" applyBorder="1"/>
    <xf numFmtId="0" fontId="84" fillId="13" borderId="31" xfId="0" applyFont="1" applyFill="1" applyBorder="1" applyAlignment="1">
      <alignment horizontal="center"/>
    </xf>
    <xf numFmtId="0" fontId="84" fillId="18" borderId="93" xfId="0" applyFont="1" applyFill="1" applyBorder="1" applyAlignment="1">
      <alignment horizontal="center"/>
    </xf>
    <xf numFmtId="0" fontId="8" fillId="0" borderId="12" xfId="0" applyFont="1" applyBorder="1"/>
    <xf numFmtId="0" fontId="8" fillId="0" borderId="94" xfId="0" applyFont="1" applyBorder="1"/>
    <xf numFmtId="0" fontId="8" fillId="23" borderId="13" xfId="0" applyFont="1" applyFill="1" applyBorder="1"/>
    <xf numFmtId="0" fontId="8" fillId="23" borderId="17" xfId="0" applyFont="1" applyFill="1" applyBorder="1"/>
    <xf numFmtId="0" fontId="8" fillId="23" borderId="5" xfId="0" applyFont="1" applyFill="1" applyBorder="1"/>
    <xf numFmtId="0" fontId="52" fillId="18" borderId="0" xfId="0" applyFont="1" applyFill="1" applyAlignment="1">
      <alignment horizontal="center"/>
    </xf>
    <xf numFmtId="0" fontId="70" fillId="0" borderId="0" xfId="0" applyFont="1" applyAlignment="1">
      <alignment horizontal="center"/>
    </xf>
    <xf numFmtId="0" fontId="70" fillId="0" borderId="0" xfId="0" applyFont="1" applyAlignment="1">
      <alignment wrapText="1"/>
    </xf>
    <xf numFmtId="0" fontId="71" fillId="0" borderId="8" xfId="0" applyFont="1" applyBorder="1"/>
    <xf numFmtId="0" fontId="71" fillId="23" borderId="8" xfId="0" applyFont="1" applyFill="1" applyBorder="1" applyAlignment="1">
      <alignment horizontal="center"/>
    </xf>
    <xf numFmtId="0" fontId="34" fillId="23" borderId="8" xfId="0" applyFont="1" applyFill="1" applyBorder="1" applyAlignment="1">
      <alignment horizontal="center"/>
    </xf>
    <xf numFmtId="0" fontId="71" fillId="23" borderId="8" xfId="0" applyFont="1" applyFill="1" applyBorder="1"/>
    <xf numFmtId="0" fontId="137" fillId="23" borderId="8" xfId="0" applyFont="1" applyFill="1" applyBorder="1" applyAlignment="1">
      <alignment horizontal="center"/>
    </xf>
    <xf numFmtId="0" fontId="71" fillId="23" borderId="8" xfId="0" applyFont="1" applyFill="1" applyBorder="1" applyAlignment="1">
      <alignment wrapText="1"/>
    </xf>
    <xf numFmtId="0" fontId="130" fillId="0" borderId="0" xfId="0" applyFont="1" applyAlignment="1">
      <alignment wrapText="1"/>
    </xf>
    <xf numFmtId="0" fontId="130" fillId="0" borderId="0" xfId="0" applyFont="1" applyAlignment="1">
      <alignment horizontal="center"/>
    </xf>
    <xf numFmtId="0" fontId="52" fillId="23" borderId="8" xfId="0" applyFont="1" applyFill="1" applyBorder="1" applyAlignment="1">
      <alignment horizontal="center" wrapText="1"/>
    </xf>
    <xf numFmtId="0" fontId="52" fillId="23" borderId="8" xfId="0" applyFont="1" applyFill="1" applyBorder="1" applyAlignment="1">
      <alignment horizontal="center"/>
    </xf>
    <xf numFmtId="0" fontId="52" fillId="23" borderId="13" xfId="0" applyFont="1" applyFill="1" applyBorder="1" applyAlignment="1">
      <alignment horizontal="center"/>
    </xf>
    <xf numFmtId="0" fontId="52" fillId="23" borderId="31" xfId="0" applyFont="1" applyFill="1" applyBorder="1" applyAlignment="1">
      <alignment horizontal="center"/>
    </xf>
    <xf numFmtId="0" fontId="34" fillId="23" borderId="40" xfId="0" applyFont="1" applyFill="1" applyBorder="1" applyAlignment="1">
      <alignment horizontal="center"/>
    </xf>
    <xf numFmtId="2" fontId="52" fillId="23" borderId="41" xfId="0" applyNumberFormat="1" applyFont="1" applyFill="1" applyBorder="1" applyAlignment="1">
      <alignment horizontal="center"/>
    </xf>
    <xf numFmtId="0" fontId="127" fillId="23" borderId="0" xfId="0" applyFont="1" applyFill="1" applyAlignment="1">
      <alignment horizontal="left"/>
    </xf>
    <xf numFmtId="0" fontId="52" fillId="0" borderId="8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0" fontId="34" fillId="23" borderId="8" xfId="0" applyFont="1" applyFill="1" applyBorder="1"/>
    <xf numFmtId="0" fontId="34" fillId="23" borderId="8" xfId="0" applyFont="1" applyFill="1" applyBorder="1" applyAlignment="1">
      <alignment horizontal="right"/>
    </xf>
    <xf numFmtId="0" fontId="5" fillId="13" borderId="5" xfId="0" applyFont="1" applyFill="1" applyBorder="1" applyAlignment="1">
      <alignment horizontal="center"/>
    </xf>
    <xf numFmtId="0" fontId="28" fillId="23" borderId="8" xfId="0" applyFont="1" applyFill="1" applyBorder="1"/>
    <xf numFmtId="0" fontId="28" fillId="23" borderId="0" xfId="0" applyFont="1" applyFill="1" applyAlignment="1">
      <alignment horizontal="center" wrapText="1"/>
    </xf>
    <xf numFmtId="0" fontId="5" fillId="23" borderId="7" xfId="0" applyFont="1" applyFill="1" applyBorder="1" applyAlignment="1">
      <alignment horizontal="center"/>
    </xf>
    <xf numFmtId="0" fontId="116" fillId="23" borderId="8" xfId="0" applyFont="1" applyFill="1" applyBorder="1"/>
    <xf numFmtId="0" fontId="119" fillId="23" borderId="8" xfId="0" applyFont="1" applyFill="1" applyBorder="1"/>
    <xf numFmtId="0" fontId="118" fillId="23" borderId="5" xfId="0" applyFont="1" applyFill="1" applyBorder="1" applyAlignment="1">
      <alignment horizontal="left"/>
    </xf>
    <xf numFmtId="0" fontId="118" fillId="23" borderId="45" xfId="0" applyFont="1" applyFill="1" applyBorder="1"/>
    <xf numFmtId="0" fontId="138" fillId="0" borderId="0" xfId="0" applyFont="1"/>
    <xf numFmtId="2" fontId="138" fillId="0" borderId="0" xfId="0" applyNumberFormat="1" applyFont="1"/>
    <xf numFmtId="0" fontId="139" fillId="0" borderId="0" xfId="0" applyFont="1" applyAlignment="1">
      <alignment horizontal="left"/>
    </xf>
    <xf numFmtId="2" fontId="100" fillId="0" borderId="32" xfId="0" applyNumberFormat="1" applyFont="1" applyBorder="1"/>
    <xf numFmtId="2" fontId="100" fillId="0" borderId="33" xfId="0" applyNumberFormat="1" applyFont="1" applyBorder="1"/>
    <xf numFmtId="0" fontId="100" fillId="18" borderId="84" xfId="0" applyFont="1" applyFill="1" applyBorder="1" applyAlignment="1">
      <alignment horizontal="left"/>
    </xf>
    <xf numFmtId="2" fontId="100" fillId="0" borderId="34" xfId="0" applyNumberFormat="1" applyFont="1" applyBorder="1"/>
    <xf numFmtId="0" fontId="5" fillId="23" borderId="8" xfId="0" applyFont="1" applyFill="1" applyBorder="1"/>
    <xf numFmtId="0" fontId="100" fillId="13" borderId="31" xfId="0" applyFont="1" applyFill="1" applyBorder="1" applyAlignment="1">
      <alignment horizontal="center"/>
    </xf>
    <xf numFmtId="0" fontId="5" fillId="23" borderId="37" xfId="0" applyFont="1" applyFill="1" applyBorder="1"/>
    <xf numFmtId="0" fontId="100" fillId="18" borderId="93" xfId="0" applyFont="1" applyFill="1" applyBorder="1" applyAlignment="1">
      <alignment horizontal="center"/>
    </xf>
    <xf numFmtId="0" fontId="134" fillId="0" borderId="0" xfId="0" applyFont="1" applyAlignment="1">
      <alignment horizontal="right"/>
    </xf>
    <xf numFmtId="0" fontId="111" fillId="0" borderId="0" xfId="0" applyFont="1" applyAlignment="1">
      <alignment horizontal="left"/>
    </xf>
    <xf numFmtId="1" fontId="104" fillId="0" borderId="69" xfId="0" applyNumberFormat="1" applyFont="1" applyBorder="1" applyAlignment="1">
      <alignment horizontal="left"/>
    </xf>
    <xf numFmtId="1" fontId="104" fillId="0" borderId="70" xfId="0" applyNumberFormat="1" applyFont="1" applyBorder="1" applyAlignment="1">
      <alignment horizontal="left"/>
    </xf>
    <xf numFmtId="1" fontId="104" fillId="0" borderId="71" xfId="0" applyNumberFormat="1" applyFont="1" applyBorder="1" applyAlignment="1">
      <alignment horizontal="right"/>
    </xf>
    <xf numFmtId="0" fontId="44" fillId="23" borderId="8" xfId="0" applyFont="1" applyFill="1" applyBorder="1"/>
    <xf numFmtId="0" fontId="44" fillId="23" borderId="8" xfId="0" applyFont="1" applyFill="1" applyBorder="1" applyAlignment="1">
      <alignment horizontal="right"/>
    </xf>
    <xf numFmtId="0" fontId="141" fillId="12" borderId="0" xfId="0" applyFont="1" applyFill="1" applyAlignment="1">
      <alignment horizontal="center" wrapText="1"/>
    </xf>
    <xf numFmtId="0" fontId="0" fillId="23" borderId="0" xfId="0" applyFill="1"/>
    <xf numFmtId="2" fontId="96" fillId="0" borderId="32" xfId="0" applyNumberFormat="1" applyFont="1" applyBorder="1"/>
    <xf numFmtId="2" fontId="96" fillId="0" borderId="33" xfId="0" applyNumberFormat="1" applyFont="1" applyBorder="1"/>
    <xf numFmtId="0" fontId="96" fillId="18" borderId="84" xfId="0" applyFont="1" applyFill="1" applyBorder="1" applyAlignment="1">
      <alignment horizontal="left"/>
    </xf>
    <xf numFmtId="2" fontId="96" fillId="0" borderId="34" xfId="0" applyNumberFormat="1" applyFont="1" applyBorder="1"/>
    <xf numFmtId="0" fontId="142" fillId="0" borderId="85" xfId="0" applyFont="1" applyBorder="1" applyAlignment="1">
      <alignment horizontal="center"/>
    </xf>
    <xf numFmtId="0" fontId="96" fillId="23" borderId="31" xfId="0" applyFont="1" applyFill="1" applyBorder="1" applyAlignment="1">
      <alignment horizontal="center"/>
    </xf>
    <xf numFmtId="0" fontId="52" fillId="23" borderId="5" xfId="0" applyFont="1" applyFill="1" applyBorder="1"/>
    <xf numFmtId="0" fontId="52" fillId="0" borderId="12" xfId="0" applyFont="1" applyBorder="1"/>
    <xf numFmtId="0" fontId="52" fillId="18" borderId="8" xfId="0" applyFont="1" applyFill="1" applyBorder="1"/>
    <xf numFmtId="0" fontId="142" fillId="0" borderId="86" xfId="0" applyFont="1" applyBorder="1" applyAlignment="1">
      <alignment horizontal="left"/>
    </xf>
    <xf numFmtId="0" fontId="96" fillId="18" borderId="8" xfId="0" applyFont="1" applyFill="1" applyBorder="1" applyAlignment="1">
      <alignment horizontal="center"/>
    </xf>
    <xf numFmtId="0" fontId="142" fillId="0" borderId="64" xfId="0" applyFont="1" applyBorder="1" applyAlignment="1">
      <alignment horizontal="center"/>
    </xf>
    <xf numFmtId="0" fontId="142" fillId="0" borderId="65" xfId="0" applyFont="1" applyBorder="1" applyAlignment="1">
      <alignment horizontal="left"/>
    </xf>
    <xf numFmtId="0" fontId="142" fillId="0" borderId="36" xfId="0" applyFont="1" applyBorder="1" applyAlignment="1">
      <alignment horizontal="center"/>
    </xf>
    <xf numFmtId="0" fontId="34" fillId="23" borderId="37" xfId="0" applyFont="1" applyFill="1" applyBorder="1"/>
    <xf numFmtId="0" fontId="96" fillId="18" borderId="93" xfId="0" applyFont="1" applyFill="1" applyBorder="1" applyAlignment="1">
      <alignment horizontal="center"/>
    </xf>
    <xf numFmtId="0" fontId="52" fillId="0" borderId="94" xfId="0" applyFont="1" applyBorder="1"/>
    <xf numFmtId="0" fontId="52" fillId="0" borderId="37" xfId="0" applyFont="1" applyBorder="1"/>
    <xf numFmtId="0" fontId="142" fillId="0" borderId="38" xfId="0" applyFont="1" applyBorder="1" applyAlignment="1">
      <alignment horizontal="left"/>
    </xf>
    <xf numFmtId="0" fontId="5" fillId="23" borderId="0" xfId="0" applyFont="1" applyFill="1"/>
    <xf numFmtId="0" fontId="28" fillId="23" borderId="0" xfId="0" applyFont="1" applyFill="1"/>
    <xf numFmtId="0" fontId="138" fillId="23" borderId="0" xfId="0" applyFont="1" applyFill="1"/>
    <xf numFmtId="0" fontId="108" fillId="0" borderId="95" xfId="0" applyFont="1" applyBorder="1" applyAlignment="1">
      <alignment horizontal="left"/>
    </xf>
    <xf numFmtId="0" fontId="108" fillId="0" borderId="96" xfId="0" applyFont="1" applyBorder="1"/>
    <xf numFmtId="0" fontId="55" fillId="0" borderId="96" xfId="0" applyFont="1" applyBorder="1"/>
    <xf numFmtId="0" fontId="55" fillId="0" borderId="96" xfId="0" applyFont="1" applyBorder="1" applyAlignment="1">
      <alignment horizontal="right"/>
    </xf>
    <xf numFmtId="0" fontId="52" fillId="0" borderId="96" xfId="0" applyFont="1" applyBorder="1"/>
    <xf numFmtId="0" fontId="0" fillId="0" borderId="96" xfId="0" applyBorder="1"/>
    <xf numFmtId="0" fontId="110" fillId="0" borderId="96" xfId="0" applyFont="1" applyBorder="1"/>
    <xf numFmtId="0" fontId="108" fillId="0" borderId="97" xfId="0" applyFont="1" applyBorder="1" applyAlignment="1">
      <alignment horizontal="right"/>
    </xf>
    <xf numFmtId="1" fontId="109" fillId="0" borderId="98" xfId="0" applyNumberFormat="1" applyFont="1" applyBorder="1" applyAlignment="1">
      <alignment horizontal="left"/>
    </xf>
    <xf numFmtId="1" fontId="109" fillId="0" borderId="99" xfId="0" applyNumberFormat="1" applyFont="1" applyBorder="1" applyAlignment="1">
      <alignment horizontal="left"/>
    </xf>
    <xf numFmtId="0" fontId="55" fillId="0" borderId="99" xfId="0" applyFont="1" applyBorder="1" applyAlignment="1">
      <alignment horizontal="center"/>
    </xf>
    <xf numFmtId="0" fontId="0" fillId="0" borderId="99" xfId="0" applyBorder="1" applyAlignment="1">
      <alignment horizontal="center"/>
    </xf>
    <xf numFmtId="0" fontId="52" fillId="0" borderId="99" xfId="0" applyFont="1" applyBorder="1" applyAlignment="1">
      <alignment horizontal="center"/>
    </xf>
    <xf numFmtId="0" fontId="0" fillId="0" borderId="99" xfId="0" applyBorder="1"/>
    <xf numFmtId="1" fontId="56" fillId="0" borderId="99" xfId="0" applyNumberFormat="1" applyFont="1" applyBorder="1" applyAlignment="1">
      <alignment horizontal="right"/>
    </xf>
    <xf numFmtId="0" fontId="52" fillId="0" borderId="99" xfId="0" applyFont="1" applyBorder="1"/>
    <xf numFmtId="1" fontId="109" fillId="0" borderId="100" xfId="0" applyNumberFormat="1" applyFont="1" applyBorder="1" applyAlignment="1">
      <alignment horizontal="right"/>
    </xf>
    <xf numFmtId="0" fontId="97" fillId="0" borderId="101" xfId="0" applyFont="1" applyBorder="1" applyAlignment="1">
      <alignment horizontal="left"/>
    </xf>
    <xf numFmtId="0" fontId="97" fillId="0" borderId="102" xfId="0" applyFont="1" applyBorder="1"/>
    <xf numFmtId="0" fontId="53" fillId="0" borderId="102" xfId="0" applyFont="1" applyBorder="1"/>
    <xf numFmtId="0" fontId="53" fillId="0" borderId="102" xfId="0" applyFont="1" applyBorder="1" applyAlignment="1">
      <alignment horizontal="right"/>
    </xf>
    <xf numFmtId="0" fontId="34" fillId="0" borderId="102" xfId="0" applyFont="1" applyBorder="1"/>
    <xf numFmtId="0" fontId="0" fillId="0" borderId="102" xfId="0" applyBorder="1"/>
    <xf numFmtId="0" fontId="97" fillId="0" borderId="103" xfId="0" applyFont="1" applyBorder="1" applyAlignment="1">
      <alignment horizontal="right"/>
    </xf>
    <xf numFmtId="1" fontId="106" fillId="0" borderId="104" xfId="0" applyNumberFormat="1" applyFont="1" applyBorder="1" applyAlignment="1">
      <alignment horizontal="left"/>
    </xf>
    <xf numFmtId="1" fontId="106" fillId="0" borderId="105" xfId="0" applyNumberFormat="1" applyFont="1" applyBorder="1" applyAlignment="1">
      <alignment horizontal="left"/>
    </xf>
    <xf numFmtId="0" fontId="97" fillId="0" borderId="105" xfId="0" applyFont="1" applyBorder="1"/>
    <xf numFmtId="2" fontId="97" fillId="0" borderId="105" xfId="0" applyNumberFormat="1" applyFont="1" applyBorder="1"/>
    <xf numFmtId="0" fontId="53" fillId="0" borderId="105" xfId="0" applyFont="1" applyBorder="1" applyAlignment="1">
      <alignment horizontal="center"/>
    </xf>
    <xf numFmtId="0" fontId="0" fillId="0" borderId="105" xfId="0" applyBorder="1" applyAlignment="1">
      <alignment horizontal="center"/>
    </xf>
    <xf numFmtId="0" fontId="0" fillId="0" borderId="105" xfId="0" applyBorder="1"/>
    <xf numFmtId="1" fontId="106" fillId="0" borderId="106" xfId="0" applyNumberFormat="1" applyFont="1" applyBorder="1" applyAlignment="1">
      <alignment horizontal="right"/>
    </xf>
    <xf numFmtId="1" fontId="109" fillId="0" borderId="58" xfId="0" applyNumberFormat="1" applyFont="1" applyBorder="1" applyAlignment="1">
      <alignment horizontal="right"/>
    </xf>
    <xf numFmtId="1" fontId="109" fillId="0" borderId="56" xfId="0" applyNumberFormat="1" applyFont="1" applyBorder="1" applyAlignment="1">
      <alignment horizontal="left"/>
    </xf>
    <xf numFmtId="1" fontId="109" fillId="0" borderId="57" xfId="0" applyNumberFormat="1" applyFont="1" applyBorder="1" applyAlignment="1">
      <alignment horizontal="left"/>
    </xf>
    <xf numFmtId="0" fontId="0" fillId="13" borderId="0" xfId="0" applyFill="1"/>
    <xf numFmtId="2" fontId="0" fillId="13" borderId="0" xfId="0" applyNumberFormat="1" applyFill="1"/>
    <xf numFmtId="0" fontId="143" fillId="0" borderId="0" xfId="0" applyFont="1"/>
    <xf numFmtId="2" fontId="143" fillId="0" borderId="0" xfId="0" applyNumberFormat="1" applyFont="1"/>
    <xf numFmtId="0" fontId="144" fillId="12" borderId="8" xfId="0" applyFont="1" applyFill="1" applyBorder="1"/>
    <xf numFmtId="0" fontId="145" fillId="0" borderId="0" xfId="0" applyFont="1" applyAlignment="1">
      <alignment horizontal="left"/>
    </xf>
    <xf numFmtId="0" fontId="55" fillId="0" borderId="54" xfId="0" applyFont="1" applyBorder="1"/>
    <xf numFmtId="0" fontId="55" fillId="0" borderId="54" xfId="0" applyFont="1" applyBorder="1" applyAlignment="1">
      <alignment horizontal="right"/>
    </xf>
    <xf numFmtId="0" fontId="52" fillId="0" borderId="54" xfId="0" applyFont="1" applyBorder="1"/>
    <xf numFmtId="0" fontId="0" fillId="0" borderId="54" xfId="0" applyBorder="1"/>
    <xf numFmtId="0" fontId="55" fillId="0" borderId="57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52" fillId="0" borderId="57" xfId="0" applyFont="1" applyBorder="1" applyAlignment="1">
      <alignment horizontal="center"/>
    </xf>
    <xf numFmtId="0" fontId="0" fillId="0" borderId="57" xfId="0" applyBorder="1"/>
    <xf numFmtId="1" fontId="56" fillId="0" borderId="57" xfId="0" applyNumberFormat="1" applyFont="1" applyBorder="1" applyAlignment="1">
      <alignment horizontal="right"/>
    </xf>
    <xf numFmtId="0" fontId="52" fillId="0" borderId="57" xfId="0" applyFont="1" applyBorder="1"/>
    <xf numFmtId="0" fontId="97" fillId="0" borderId="107" xfId="0" applyFont="1" applyBorder="1" applyAlignment="1">
      <alignment horizontal="left"/>
    </xf>
    <xf numFmtId="0" fontId="97" fillId="0" borderId="108" xfId="0" applyFont="1" applyBorder="1"/>
    <xf numFmtId="0" fontId="53" fillId="0" borderId="108" xfId="0" applyFont="1" applyBorder="1"/>
    <xf numFmtId="0" fontId="53" fillId="0" borderId="108" xfId="0" applyFont="1" applyBorder="1" applyAlignment="1">
      <alignment horizontal="right"/>
    </xf>
    <xf numFmtId="0" fontId="34" fillId="0" borderId="108" xfId="0" applyFont="1" applyBorder="1"/>
    <xf numFmtId="0" fontId="0" fillId="0" borderId="108" xfId="0" applyBorder="1"/>
    <xf numFmtId="0" fontId="97" fillId="0" borderId="109" xfId="0" applyFont="1" applyBorder="1" applyAlignment="1">
      <alignment horizontal="right"/>
    </xf>
    <xf numFmtId="1" fontId="106" fillId="0" borderId="110" xfId="0" applyNumberFormat="1" applyFont="1" applyBorder="1" applyAlignment="1">
      <alignment horizontal="left"/>
    </xf>
    <xf numFmtId="1" fontId="106" fillId="0" borderId="111" xfId="0" applyNumberFormat="1" applyFont="1" applyBorder="1" applyAlignment="1">
      <alignment horizontal="left"/>
    </xf>
    <xf numFmtId="0" fontId="97" fillId="0" borderId="111" xfId="0" applyFont="1" applyBorder="1"/>
    <xf numFmtId="2" fontId="97" fillId="0" borderId="111" xfId="0" applyNumberFormat="1" applyFont="1" applyBorder="1"/>
    <xf numFmtId="0" fontId="53" fillId="0" borderId="111" xfId="0" applyFont="1" applyBorder="1" applyAlignment="1">
      <alignment horizontal="center"/>
    </xf>
    <xf numFmtId="0" fontId="0" fillId="0" borderId="111" xfId="0" applyBorder="1" applyAlignment="1">
      <alignment horizontal="center"/>
    </xf>
    <xf numFmtId="0" fontId="0" fillId="0" borderId="111" xfId="0" applyBorder="1"/>
    <xf numFmtId="1" fontId="106" fillId="0" borderId="112" xfId="0" applyNumberFormat="1" applyFont="1" applyBorder="1" applyAlignment="1">
      <alignment horizontal="right"/>
    </xf>
    <xf numFmtId="0" fontId="97" fillId="0" borderId="73" xfId="0" applyFont="1" applyBorder="1" applyAlignment="1">
      <alignment horizontal="left"/>
    </xf>
    <xf numFmtId="0" fontId="97" fillId="0" borderId="24" xfId="0" applyFont="1" applyBorder="1"/>
    <xf numFmtId="0" fontId="97" fillId="0" borderId="15" xfId="0" applyFont="1" applyBorder="1" applyAlignment="1">
      <alignment wrapText="1"/>
    </xf>
    <xf numFmtId="0" fontId="147" fillId="0" borderId="0" xfId="0" applyFont="1"/>
    <xf numFmtId="0" fontId="146" fillId="0" borderId="10" xfId="0" applyFont="1" applyBorder="1" applyAlignment="1">
      <alignment horizontal="right"/>
    </xf>
    <xf numFmtId="0" fontId="146" fillId="0" borderId="0" xfId="0" applyFont="1" applyAlignment="1">
      <alignment horizontal="center"/>
    </xf>
    <xf numFmtId="0" fontId="146" fillId="0" borderId="9" xfId="0" applyFont="1" applyBorder="1" applyAlignment="1">
      <alignment horizontal="right"/>
    </xf>
    <xf numFmtId="0" fontId="44" fillId="23" borderId="0" xfId="0" applyFont="1" applyFill="1"/>
    <xf numFmtId="0" fontId="105" fillId="0" borderId="0" xfId="0" applyFont="1" applyAlignment="1">
      <alignment horizontal="left"/>
    </xf>
    <xf numFmtId="0" fontId="4" fillId="12" borderId="5" xfId="0" applyFont="1" applyFill="1" applyBorder="1" applyAlignment="1">
      <alignment horizontal="center" vertical="center"/>
    </xf>
    <xf numFmtId="1" fontId="106" fillId="0" borderId="75" xfId="0" applyNumberFormat="1" applyFont="1" applyBorder="1" applyAlignment="1">
      <alignment horizontal="left"/>
    </xf>
    <xf numFmtId="0" fontId="146" fillId="0" borderId="0" xfId="0" applyFont="1" applyAlignment="1">
      <alignment horizontal="right"/>
    </xf>
    <xf numFmtId="0" fontId="103" fillId="0" borderId="113" xfId="0" applyFont="1" applyBorder="1" applyAlignment="1">
      <alignment horizontal="center"/>
    </xf>
    <xf numFmtId="0" fontId="103" fillId="0" borderId="114" xfId="0" applyFont="1" applyBorder="1" applyAlignment="1">
      <alignment horizontal="center"/>
    </xf>
    <xf numFmtId="0" fontId="103" fillId="0" borderId="115" xfId="0" applyFont="1" applyBorder="1" applyAlignment="1">
      <alignment horizontal="center"/>
    </xf>
    <xf numFmtId="0" fontId="34" fillId="0" borderId="18" xfId="0" applyFont="1" applyBorder="1" applyAlignment="1">
      <alignment vertical="center"/>
    </xf>
    <xf numFmtId="1" fontId="106" fillId="0" borderId="116" xfId="0" applyNumberFormat="1" applyFont="1" applyBorder="1" applyAlignment="1">
      <alignment horizontal="left"/>
    </xf>
    <xf numFmtId="0" fontId="0" fillId="0" borderId="75" xfId="0" applyBorder="1"/>
    <xf numFmtId="1" fontId="106" fillId="0" borderId="76" xfId="0" applyNumberFormat="1" applyFont="1" applyBorder="1" applyAlignment="1">
      <alignment horizontal="right"/>
    </xf>
    <xf numFmtId="0" fontId="111" fillId="0" borderId="117" xfId="0" applyFont="1" applyBorder="1" applyAlignment="1">
      <alignment horizontal="left"/>
    </xf>
    <xf numFmtId="0" fontId="111" fillId="0" borderId="118" xfId="0" applyFont="1" applyBorder="1"/>
    <xf numFmtId="0" fontId="58" fillId="0" borderId="118" xfId="0" applyFont="1" applyBorder="1"/>
    <xf numFmtId="0" fontId="58" fillId="0" borderId="118" xfId="0" applyFont="1" applyBorder="1" applyAlignment="1">
      <alignment horizontal="right"/>
    </xf>
    <xf numFmtId="0" fontId="55" fillId="0" borderId="118" xfId="0" applyFont="1" applyBorder="1"/>
    <xf numFmtId="0" fontId="0" fillId="0" borderId="118" xfId="0" applyBorder="1"/>
    <xf numFmtId="0" fontId="111" fillId="0" borderId="119" xfId="0" applyFont="1" applyBorder="1" applyAlignment="1">
      <alignment horizontal="right"/>
    </xf>
    <xf numFmtId="1" fontId="104" fillId="0" borderId="120" xfId="0" applyNumberFormat="1" applyFont="1" applyBorder="1" applyAlignment="1">
      <alignment horizontal="left"/>
    </xf>
    <xf numFmtId="1" fontId="104" fillId="0" borderId="121" xfId="0" applyNumberFormat="1" applyFont="1" applyBorder="1" applyAlignment="1">
      <alignment horizontal="left"/>
    </xf>
    <xf numFmtId="0" fontId="58" fillId="0" borderId="121" xfId="0" applyFont="1" applyBorder="1" applyAlignment="1">
      <alignment horizontal="center"/>
    </xf>
    <xf numFmtId="0" fontId="0" fillId="0" borderId="121" xfId="0" applyBorder="1" applyAlignment="1">
      <alignment horizontal="center"/>
    </xf>
    <xf numFmtId="0" fontId="55" fillId="0" borderId="121" xfId="0" applyFont="1" applyBorder="1" applyAlignment="1">
      <alignment horizontal="center"/>
    </xf>
    <xf numFmtId="0" fontId="0" fillId="0" borderId="121" xfId="0" applyBorder="1"/>
    <xf numFmtId="0" fontId="55" fillId="0" borderId="121" xfId="0" applyFont="1" applyBorder="1"/>
    <xf numFmtId="1" fontId="104" fillId="0" borderId="122" xfId="0" applyNumberFormat="1" applyFont="1" applyBorder="1" applyAlignment="1">
      <alignment horizontal="right"/>
    </xf>
    <xf numFmtId="0" fontId="148" fillId="2" borderId="18" xfId="0" applyFont="1" applyFill="1" applyBorder="1" applyAlignment="1">
      <alignment horizontal="center"/>
    </xf>
    <xf numFmtId="0" fontId="93" fillId="2" borderId="18" xfId="0" applyFont="1" applyFill="1" applyBorder="1" applyAlignment="1">
      <alignment horizontal="center"/>
    </xf>
    <xf numFmtId="1" fontId="8" fillId="12" borderId="5" xfId="0" applyNumberFormat="1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Alignment="1">
      <alignment horizontal="center"/>
    </xf>
    <xf numFmtId="0" fontId="96" fillId="13" borderId="127" xfId="0" applyFont="1" applyFill="1" applyBorder="1" applyAlignment="1">
      <alignment horizontal="left"/>
    </xf>
    <xf numFmtId="0" fontId="96" fillId="12" borderId="5" xfId="0" applyFont="1" applyFill="1" applyBorder="1" applyAlignment="1">
      <alignment horizontal="center"/>
    </xf>
    <xf numFmtId="0" fontId="96" fillId="0" borderId="8" xfId="0" applyFont="1" applyBorder="1" applyAlignment="1">
      <alignment horizontal="left"/>
    </xf>
    <xf numFmtId="0" fontId="96" fillId="0" borderId="8" xfId="0" applyFont="1" applyBorder="1" applyAlignment="1">
      <alignment horizontal="center"/>
    </xf>
    <xf numFmtId="0" fontId="86" fillId="0" borderId="8" xfId="0" applyFont="1" applyBorder="1" applyAlignment="1">
      <alignment horizontal="center"/>
    </xf>
    <xf numFmtId="165" fontId="96" fillId="0" borderId="8" xfId="0" applyNumberFormat="1" applyFont="1" applyBorder="1" applyAlignment="1">
      <alignment horizontal="center"/>
    </xf>
    <xf numFmtId="0" fontId="96" fillId="13" borderId="8" xfId="0" applyFont="1" applyFill="1" applyBorder="1" applyAlignment="1">
      <alignment horizontal="center"/>
    </xf>
    <xf numFmtId="165" fontId="96" fillId="24" borderId="8" xfId="0" applyNumberFormat="1" applyFont="1" applyFill="1" applyBorder="1" applyAlignment="1">
      <alignment horizontal="center"/>
    </xf>
    <xf numFmtId="0" fontId="96" fillId="24" borderId="8" xfId="0" applyFont="1" applyFill="1" applyBorder="1" applyAlignment="1">
      <alignment horizontal="left"/>
    </xf>
    <xf numFmtId="0" fontId="96" fillId="0" borderId="8" xfId="0" applyFont="1" applyBorder="1"/>
    <xf numFmtId="0" fontId="96" fillId="25" borderId="8" xfId="0" applyFont="1" applyFill="1" applyBorder="1" applyAlignment="1">
      <alignment horizontal="left"/>
    </xf>
    <xf numFmtId="0" fontId="100" fillId="13" borderId="0" xfId="0" applyFont="1" applyFill="1" applyAlignment="1">
      <alignment horizontal="center"/>
    </xf>
    <xf numFmtId="0" fontId="96" fillId="12" borderId="8" xfId="0" applyFont="1" applyFill="1" applyBorder="1" applyAlignment="1">
      <alignment horizontal="left"/>
    </xf>
    <xf numFmtId="0" fontId="28" fillId="0" borderId="129" xfId="0" applyFont="1" applyBorder="1" applyAlignment="1">
      <alignment horizontal="center"/>
    </xf>
    <xf numFmtId="0" fontId="131" fillId="21" borderId="0" xfId="0" applyFont="1" applyFill="1"/>
    <xf numFmtId="0" fontId="100" fillId="21" borderId="0" xfId="0" applyFont="1" applyFill="1"/>
    <xf numFmtId="0" fontId="28" fillId="13" borderId="129" xfId="0" applyFont="1" applyFill="1" applyBorder="1" applyAlignment="1">
      <alignment horizontal="left"/>
    </xf>
    <xf numFmtId="0" fontId="96" fillId="25" borderId="0" xfId="0" applyFont="1" applyFill="1"/>
    <xf numFmtId="0" fontId="100" fillId="25" borderId="0" xfId="0" applyFont="1" applyFill="1"/>
    <xf numFmtId="0" fontId="28" fillId="0" borderId="128" xfId="0" applyFont="1" applyBorder="1"/>
    <xf numFmtId="0" fontId="88" fillId="26" borderId="0" xfId="0" applyFont="1" applyFill="1" applyAlignment="1">
      <alignment horizontal="center"/>
    </xf>
    <xf numFmtId="0" fontId="5" fillId="0" borderId="129" xfId="0" applyFont="1" applyBorder="1"/>
    <xf numFmtId="0" fontId="84" fillId="12" borderId="5" xfId="0" applyFont="1" applyFill="1" applyBorder="1" applyAlignment="1">
      <alignment horizontal="center"/>
    </xf>
    <xf numFmtId="0" fontId="34" fillId="18" borderId="8" xfId="0" applyFont="1" applyFill="1" applyBorder="1" applyAlignment="1">
      <alignment horizontal="center" wrapText="1"/>
    </xf>
    <xf numFmtId="0" fontId="96" fillId="0" borderId="0" xfId="0" applyFont="1" applyAlignment="1">
      <alignment horizontal="center" wrapText="1"/>
    </xf>
    <xf numFmtId="0" fontId="96" fillId="21" borderId="8" xfId="0" applyFont="1" applyFill="1" applyBorder="1" applyAlignment="1">
      <alignment horizontal="center" wrapText="1"/>
    </xf>
    <xf numFmtId="0" fontId="96" fillId="25" borderId="8" xfId="0" applyFont="1" applyFill="1" applyBorder="1" applyAlignment="1">
      <alignment horizontal="center" wrapText="1"/>
    </xf>
    <xf numFmtId="0" fontId="96" fillId="26" borderId="8" xfId="0" applyFont="1" applyFill="1" applyBorder="1" applyAlignment="1">
      <alignment horizontal="center" wrapText="1"/>
    </xf>
    <xf numFmtId="0" fontId="34" fillId="18" borderId="12" xfId="0" applyFont="1" applyFill="1" applyBorder="1" applyAlignment="1">
      <alignment horizontal="center" wrapText="1"/>
    </xf>
    <xf numFmtId="0" fontId="34" fillId="21" borderId="8" xfId="0" applyFont="1" applyFill="1" applyBorder="1" applyAlignment="1">
      <alignment horizontal="center" wrapText="1"/>
    </xf>
    <xf numFmtId="0" fontId="34" fillId="25" borderId="8" xfId="0" applyFont="1" applyFill="1" applyBorder="1" applyAlignment="1">
      <alignment horizontal="center" wrapText="1"/>
    </xf>
    <xf numFmtId="0" fontId="34" fillId="26" borderId="8" xfId="0" applyFont="1" applyFill="1" applyBorder="1" applyAlignment="1">
      <alignment horizontal="center" wrapText="1"/>
    </xf>
    <xf numFmtId="0" fontId="3" fillId="0" borderId="129" xfId="0" applyFont="1" applyBorder="1"/>
    <xf numFmtId="0" fontId="3" fillId="0" borderId="128" xfId="0" applyFont="1" applyBorder="1"/>
    <xf numFmtId="0" fontId="31" fillId="0" borderId="128" xfId="0" applyFont="1" applyBorder="1" applyAlignment="1">
      <alignment vertical="center"/>
    </xf>
    <xf numFmtId="0" fontId="131" fillId="0" borderId="0" xfId="0" applyFont="1" applyAlignment="1">
      <alignment horizontal="center"/>
    </xf>
    <xf numFmtId="0" fontId="35" fillId="0" borderId="129" xfId="0" applyFont="1" applyBorder="1" applyAlignment="1">
      <alignment horizontal="center" wrapText="1"/>
    </xf>
    <xf numFmtId="0" fontId="13" fillId="0" borderId="128" xfId="0" applyFont="1" applyBorder="1"/>
    <xf numFmtId="0" fontId="35" fillId="0" borderId="130" xfId="0" applyFont="1" applyBorder="1" applyAlignment="1">
      <alignment horizontal="center" wrapText="1"/>
    </xf>
    <xf numFmtId="0" fontId="13" fillId="0" borderId="131" xfId="0" applyFont="1" applyBorder="1"/>
    <xf numFmtId="0" fontId="13" fillId="0" borderId="133" xfId="0" applyFont="1" applyBorder="1"/>
    <xf numFmtId="0" fontId="84" fillId="0" borderId="0" xfId="0" applyFont="1" applyAlignment="1">
      <alignment horizontal="center" wrapText="1"/>
    </xf>
    <xf numFmtId="0" fontId="84" fillId="0" borderId="0" xfId="0" applyFont="1"/>
    <xf numFmtId="2" fontId="84" fillId="0" borderId="0" xfId="0" applyNumberFormat="1" applyFont="1"/>
    <xf numFmtId="0" fontId="149" fillId="0" borderId="0" xfId="0" applyFont="1"/>
    <xf numFmtId="165" fontId="105" fillId="18" borderId="12" xfId="1" applyNumberFormat="1" applyFont="1" applyFill="1" applyBorder="1" applyAlignment="1">
      <alignment horizontal="center"/>
    </xf>
    <xf numFmtId="165" fontId="105" fillId="18" borderId="8" xfId="1" applyNumberFormat="1" applyFont="1" applyFill="1" applyBorder="1" applyAlignment="1">
      <alignment horizontal="center"/>
    </xf>
    <xf numFmtId="165" fontId="105" fillId="21" borderId="8" xfId="1" applyNumberFormat="1" applyFont="1" applyFill="1" applyBorder="1" applyAlignment="1">
      <alignment horizontal="center"/>
    </xf>
    <xf numFmtId="165" fontId="105" fillId="25" borderId="8" xfId="1" applyNumberFormat="1" applyFont="1" applyFill="1" applyBorder="1" applyAlignment="1">
      <alignment horizontal="center"/>
    </xf>
    <xf numFmtId="165" fontId="105" fillId="26" borderId="8" xfId="1" applyNumberFormat="1" applyFont="1" applyFill="1" applyBorder="1" applyAlignment="1">
      <alignment horizontal="center"/>
    </xf>
    <xf numFmtId="0" fontId="128" fillId="20" borderId="134" xfId="0" applyFont="1" applyFill="1" applyBorder="1" applyAlignment="1">
      <alignment horizontal="center"/>
    </xf>
    <xf numFmtId="0" fontId="129" fillId="20" borderId="135" xfId="0" applyFont="1" applyFill="1" applyBorder="1" applyAlignment="1">
      <alignment horizontal="center" wrapText="1"/>
    </xf>
    <xf numFmtId="0" fontId="128" fillId="20" borderId="136" xfId="0" applyFont="1" applyFill="1" applyBorder="1" applyAlignment="1">
      <alignment horizontal="center"/>
    </xf>
    <xf numFmtId="0" fontId="129" fillId="20" borderId="138" xfId="0" applyFont="1" applyFill="1" applyBorder="1" applyAlignment="1">
      <alignment horizontal="center" wrapText="1"/>
    </xf>
    <xf numFmtId="0" fontId="0" fillId="0" borderId="137" xfId="0" applyBorder="1"/>
    <xf numFmtId="0" fontId="114" fillId="0" borderId="8" xfId="0" applyFont="1" applyBorder="1" applyAlignment="1">
      <alignment horizontal="center"/>
    </xf>
    <xf numFmtId="165" fontId="114" fillId="13" borderId="132" xfId="0" applyNumberFormat="1" applyFont="1" applyFill="1" applyBorder="1" applyAlignment="1">
      <alignment horizontal="center"/>
    </xf>
    <xf numFmtId="165" fontId="99" fillId="18" borderId="3" xfId="1" applyNumberFormat="1" applyFont="1" applyFill="1" applyBorder="1" applyAlignment="1">
      <alignment horizontal="center"/>
    </xf>
    <xf numFmtId="2" fontId="115" fillId="12" borderId="5" xfId="0" applyNumberFormat="1" applyFont="1" applyFill="1" applyBorder="1" applyAlignment="1">
      <alignment horizontal="left" wrapText="1"/>
    </xf>
    <xf numFmtId="0" fontId="131" fillId="0" borderId="0" xfId="0" applyFont="1" applyAlignment="1">
      <alignment horizontal="left"/>
    </xf>
    <xf numFmtId="0" fontId="30" fillId="3" borderId="7" xfId="0" applyFont="1" applyFill="1" applyBorder="1" applyAlignment="1">
      <alignment horizontal="center" vertical="center"/>
    </xf>
    <xf numFmtId="0" fontId="111" fillId="0" borderId="18" xfId="0" applyFont="1" applyBorder="1" applyAlignment="1">
      <alignment wrapText="1"/>
    </xf>
    <xf numFmtId="0" fontId="34" fillId="0" borderId="14" xfId="0" applyFont="1" applyBorder="1" applyAlignment="1">
      <alignment wrapText="1"/>
    </xf>
    <xf numFmtId="0" fontId="34" fillId="18" borderId="24" xfId="0" applyFont="1" applyFill="1" applyBorder="1" applyAlignment="1">
      <alignment horizontal="center" wrapText="1"/>
    </xf>
    <xf numFmtId="49" fontId="42" fillId="16" borderId="0" xfId="0" applyNumberFormat="1" applyFont="1" applyFill="1" applyAlignment="1">
      <alignment horizontal="center" vertical="center" wrapText="1"/>
    </xf>
    <xf numFmtId="0" fontId="96" fillId="13" borderId="123" xfId="0" applyFont="1" applyFill="1" applyBorder="1" applyAlignment="1">
      <alignment horizontal="left"/>
    </xf>
    <xf numFmtId="0" fontId="152" fillId="13" borderId="124" xfId="0" applyFont="1" applyFill="1" applyBorder="1" applyAlignment="1">
      <alignment horizontal="center"/>
    </xf>
    <xf numFmtId="0" fontId="77" fillId="0" borderId="125" xfId="0" applyFont="1" applyBorder="1"/>
    <xf numFmtId="0" fontId="77" fillId="0" borderId="126" xfId="0" applyFont="1" applyBorder="1"/>
    <xf numFmtId="0" fontId="152" fillId="13" borderId="8" xfId="0" applyFont="1" applyFill="1" applyBorder="1" applyAlignment="1">
      <alignment horizontal="center"/>
    </xf>
    <xf numFmtId="0" fontId="77" fillId="0" borderId="128" xfId="0" applyFont="1" applyBorder="1"/>
    <xf numFmtId="0" fontId="153" fillId="13" borderId="8" xfId="0" applyFont="1" applyFill="1" applyBorder="1" applyAlignment="1">
      <alignment horizontal="center"/>
    </xf>
    <xf numFmtId="0" fontId="96" fillId="15" borderId="127" xfId="0" applyFont="1" applyFill="1" applyBorder="1" applyAlignment="1">
      <alignment horizontal="left"/>
    </xf>
    <xf numFmtId="0" fontId="153" fillId="15" borderId="8" xfId="0" applyFont="1" applyFill="1" applyBorder="1" applyAlignment="1">
      <alignment horizontal="center"/>
    </xf>
    <xf numFmtId="0" fontId="77" fillId="0" borderId="8" xfId="0" applyFont="1" applyBorder="1"/>
    <xf numFmtId="0" fontId="84" fillId="13" borderId="0" xfId="0" applyFont="1" applyFill="1" applyAlignment="1">
      <alignment horizontal="center" wrapText="1"/>
    </xf>
    <xf numFmtId="0" fontId="96" fillId="12" borderId="127" xfId="0" applyFont="1" applyFill="1" applyBorder="1" applyAlignment="1">
      <alignment horizontal="left"/>
    </xf>
    <xf numFmtId="0" fontId="77" fillId="0" borderId="129" xfId="0" applyFont="1" applyBorder="1" applyAlignment="1">
      <alignment horizontal="center"/>
    </xf>
    <xf numFmtId="0" fontId="77" fillId="25" borderId="8" xfId="0" applyFont="1" applyFill="1" applyBorder="1"/>
    <xf numFmtId="0" fontId="96" fillId="25" borderId="8" xfId="0" applyFont="1" applyFill="1" applyBorder="1" applyAlignment="1">
      <alignment horizontal="center"/>
    </xf>
    <xf numFmtId="0" fontId="77" fillId="12" borderId="8" xfId="0" applyFont="1" applyFill="1" applyBorder="1"/>
    <xf numFmtId="1" fontId="88" fillId="21" borderId="0" xfId="0" applyNumberFormat="1" applyFont="1" applyFill="1" applyAlignment="1">
      <alignment horizontal="center"/>
    </xf>
    <xf numFmtId="0" fontId="77" fillId="0" borderId="129" xfId="0" applyFont="1" applyBorder="1"/>
    <xf numFmtId="0" fontId="88" fillId="25" borderId="0" xfId="0" applyFont="1" applyFill="1" applyAlignment="1">
      <alignment horizontal="center"/>
    </xf>
    <xf numFmtId="2" fontId="89" fillId="12" borderId="5" xfId="0" applyNumberFormat="1" applyFont="1" applyFill="1" applyBorder="1" applyAlignment="1">
      <alignment horizontal="left" wrapText="1"/>
    </xf>
    <xf numFmtId="165" fontId="99" fillId="18" borderId="12" xfId="1" applyNumberFormat="1" applyFont="1" applyFill="1" applyBorder="1" applyAlignment="1">
      <alignment horizontal="center"/>
    </xf>
    <xf numFmtId="165" fontId="99" fillId="18" borderId="8" xfId="1" applyNumberFormat="1" applyFont="1" applyFill="1" applyBorder="1" applyAlignment="1">
      <alignment horizontal="center"/>
    </xf>
    <xf numFmtId="165" fontId="99" fillId="21" borderId="8" xfId="1" applyNumberFormat="1" applyFont="1" applyFill="1" applyBorder="1" applyAlignment="1">
      <alignment horizontal="center"/>
    </xf>
    <xf numFmtId="165" fontId="99" fillId="25" borderId="8" xfId="1" applyNumberFormat="1" applyFont="1" applyFill="1" applyBorder="1" applyAlignment="1">
      <alignment horizontal="center"/>
    </xf>
    <xf numFmtId="165" fontId="99" fillId="26" borderId="8" xfId="1" applyNumberFormat="1" applyFont="1" applyFill="1" applyBorder="1" applyAlignment="1">
      <alignment horizontal="center"/>
    </xf>
    <xf numFmtId="0" fontId="102" fillId="0" borderId="8" xfId="0" applyFont="1" applyBorder="1" applyAlignment="1">
      <alignment horizontal="center"/>
    </xf>
    <xf numFmtId="165" fontId="102" fillId="13" borderId="132" xfId="0" applyNumberFormat="1" applyFont="1" applyFill="1" applyBorder="1" applyAlignment="1">
      <alignment horizontal="center"/>
    </xf>
    <xf numFmtId="2" fontId="77" fillId="0" borderId="0" xfId="0" applyNumberFormat="1" applyFont="1"/>
    <xf numFmtId="2" fontId="99" fillId="18" borderId="24" xfId="1" applyNumberFormat="1" applyFont="1" applyFill="1" applyBorder="1" applyAlignment="1">
      <alignment horizontal="center" wrapText="1"/>
    </xf>
    <xf numFmtId="0" fontId="129" fillId="20" borderId="139" xfId="0" applyFont="1" applyFill="1" applyBorder="1" applyAlignment="1">
      <alignment horizontal="center" wrapText="1"/>
    </xf>
    <xf numFmtId="0" fontId="34" fillId="18" borderId="24" xfId="0" applyFont="1" applyFill="1" applyBorder="1" applyAlignment="1">
      <alignment horizontal="center" vertical="center" wrapText="1"/>
    </xf>
    <xf numFmtId="0" fontId="57" fillId="0" borderId="31" xfId="0" applyFont="1" applyBorder="1"/>
    <xf numFmtId="0" fontId="57" fillId="0" borderId="12" xfId="0" applyFont="1" applyBorder="1"/>
    <xf numFmtId="0" fontId="57" fillId="0" borderId="5" xfId="0" applyFont="1" applyBorder="1"/>
    <xf numFmtId="0" fontId="143" fillId="23" borderId="0" xfId="0" applyFont="1" applyFill="1"/>
    <xf numFmtId="0" fontId="129" fillId="20" borderId="140" xfId="0" applyFont="1" applyFill="1" applyBorder="1" applyAlignment="1">
      <alignment horizontal="center" wrapText="1"/>
    </xf>
    <xf numFmtId="0" fontId="57" fillId="0" borderId="83" xfId="0" applyFont="1" applyBorder="1"/>
    <xf numFmtId="0" fontId="42" fillId="16" borderId="0" xfId="0" applyFont="1" applyFill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/>
    </xf>
    <xf numFmtId="0" fontId="129" fillId="20" borderId="141" xfId="0" applyFont="1" applyFill="1" applyBorder="1" applyAlignment="1">
      <alignment horizontal="center" wrapText="1"/>
    </xf>
    <xf numFmtId="165" fontId="154" fillId="18" borderId="12" xfId="1" applyNumberFormat="1" applyFont="1" applyFill="1" applyBorder="1" applyAlignment="1">
      <alignment horizontal="center"/>
    </xf>
    <xf numFmtId="165" fontId="154" fillId="18" borderId="8" xfId="1" applyNumberFormat="1" applyFont="1" applyFill="1" applyBorder="1" applyAlignment="1">
      <alignment horizontal="center"/>
    </xf>
    <xf numFmtId="165" fontId="154" fillId="21" borderId="8" xfId="1" applyNumberFormat="1" applyFont="1" applyFill="1" applyBorder="1" applyAlignment="1">
      <alignment horizontal="center"/>
    </xf>
    <xf numFmtId="165" fontId="154" fillId="25" borderId="8" xfId="1" applyNumberFormat="1" applyFont="1" applyFill="1" applyBorder="1" applyAlignment="1">
      <alignment horizontal="center"/>
    </xf>
    <xf numFmtId="165" fontId="154" fillId="26" borderId="8" xfId="1" applyNumberFormat="1" applyFont="1" applyFill="1" applyBorder="1" applyAlignment="1">
      <alignment horizontal="center"/>
    </xf>
    <xf numFmtId="0" fontId="155" fillId="0" borderId="8" xfId="0" applyFont="1" applyBorder="1" applyAlignment="1">
      <alignment horizontal="center"/>
    </xf>
    <xf numFmtId="165" fontId="155" fillId="13" borderId="132" xfId="0" applyNumberFormat="1" applyFont="1" applyFill="1" applyBorder="1" applyAlignment="1">
      <alignment horizontal="center"/>
    </xf>
    <xf numFmtId="2" fontId="156" fillId="12" borderId="5" xfId="0" applyNumberFormat="1" applyFont="1" applyFill="1" applyBorder="1" applyAlignment="1">
      <alignment horizontal="left" wrapText="1"/>
    </xf>
    <xf numFmtId="0" fontId="146" fillId="0" borderId="1" xfId="0" applyFont="1" applyBorder="1" applyAlignment="1">
      <alignment horizontal="right"/>
    </xf>
    <xf numFmtId="0" fontId="77" fillId="23" borderId="0" xfId="0" applyFont="1" applyFill="1"/>
    <xf numFmtId="0" fontId="35" fillId="0" borderId="0" xfId="0" applyFont="1" applyAlignment="1">
      <alignment horizontal="center"/>
    </xf>
    <xf numFmtId="0" fontId="52" fillId="0" borderId="0" xfId="1" applyFont="1"/>
    <xf numFmtId="0" fontId="52" fillId="12" borderId="0" xfId="1" applyFont="1" applyFill="1"/>
    <xf numFmtId="2" fontId="96" fillId="0" borderId="0" xfId="0" applyNumberFormat="1" applyFont="1"/>
    <xf numFmtId="2" fontId="34" fillId="18" borderId="24" xfId="1" applyNumberFormat="1" applyFont="1" applyFill="1" applyBorder="1" applyAlignment="1">
      <alignment horizontal="center" wrapText="1"/>
    </xf>
    <xf numFmtId="165" fontId="34" fillId="18" borderId="3" xfId="1" applyNumberFormat="1" applyFont="1" applyFill="1" applyBorder="1" applyAlignment="1">
      <alignment horizontal="center"/>
    </xf>
    <xf numFmtId="2" fontId="34" fillId="18" borderId="24" xfId="1" applyNumberFormat="1" applyFont="1" applyFill="1" applyBorder="1" applyAlignment="1">
      <alignment horizontal="center" vertical="center" wrapText="1"/>
    </xf>
    <xf numFmtId="2" fontId="34" fillId="18" borderId="24" xfId="1" applyNumberFormat="1" applyFont="1" applyFill="1" applyBorder="1" applyAlignment="1">
      <alignment horizontal="center"/>
    </xf>
    <xf numFmtId="0" fontId="96" fillId="13" borderId="8" xfId="0" applyFont="1" applyFill="1" applyBorder="1" applyAlignment="1">
      <alignment horizontal="left"/>
    </xf>
    <xf numFmtId="0" fontId="77" fillId="13" borderId="8" xfId="0" applyFont="1" applyFill="1" applyBorder="1"/>
    <xf numFmtId="0" fontId="77" fillId="13" borderId="0" xfId="0" applyFont="1" applyFill="1"/>
    <xf numFmtId="0" fontId="96" fillId="13" borderId="8" xfId="0" applyFont="1" applyFill="1" applyBorder="1"/>
    <xf numFmtId="0" fontId="157" fillId="12" borderId="8" xfId="0" applyFont="1" applyFill="1" applyBorder="1" applyAlignment="1">
      <alignment horizontal="left"/>
    </xf>
    <xf numFmtId="0" fontId="158" fillId="12" borderId="8" xfId="0" applyFont="1" applyFill="1" applyBorder="1" applyAlignment="1">
      <alignment horizontal="left"/>
    </xf>
    <xf numFmtId="165" fontId="140" fillId="12" borderId="8" xfId="0" applyNumberFormat="1" applyFont="1" applyFill="1" applyBorder="1" applyAlignment="1">
      <alignment horizontal="center"/>
    </xf>
    <xf numFmtId="165" fontId="158" fillId="12" borderId="8" xfId="0" applyNumberFormat="1" applyFont="1" applyFill="1" applyBorder="1" applyAlignment="1">
      <alignment horizontal="center"/>
    </xf>
    <xf numFmtId="0" fontId="161" fillId="23" borderId="13" xfId="0" applyFont="1" applyFill="1" applyBorder="1" applyAlignment="1">
      <alignment horizontal="center"/>
    </xf>
    <xf numFmtId="0" fontId="162" fillId="23" borderId="8" xfId="0" applyFont="1" applyFill="1" applyBorder="1" applyAlignment="1">
      <alignment vertical="center"/>
    </xf>
    <xf numFmtId="165" fontId="34" fillId="18" borderId="15" xfId="1" applyNumberFormat="1" applyFont="1" applyFill="1" applyBorder="1" applyAlignment="1">
      <alignment horizontal="center"/>
    </xf>
    <xf numFmtId="1" fontId="131" fillId="21" borderId="0" xfId="0" applyNumberFormat="1" applyFont="1" applyFill="1" applyAlignment="1">
      <alignment horizontal="center"/>
    </xf>
    <xf numFmtId="0" fontId="131" fillId="25" borderId="0" xfId="0" applyFont="1" applyFill="1" applyAlignment="1">
      <alignment horizontal="center"/>
    </xf>
    <xf numFmtId="0" fontId="84" fillId="0" borderId="129" xfId="0" applyFont="1" applyBorder="1" applyAlignment="1">
      <alignment horizontal="center"/>
    </xf>
    <xf numFmtId="0" fontId="84" fillId="13" borderId="129" xfId="0" applyFont="1" applyFill="1" applyBorder="1" applyAlignment="1">
      <alignment horizontal="left"/>
    </xf>
    <xf numFmtId="0" fontId="131" fillId="26" borderId="0" xfId="0" applyFont="1" applyFill="1" applyAlignment="1">
      <alignment horizontal="center"/>
    </xf>
    <xf numFmtId="0" fontId="93" fillId="0" borderId="129" xfId="0" applyFont="1" applyBorder="1"/>
    <xf numFmtId="0" fontId="86" fillId="18" borderId="8" xfId="0" applyFont="1" applyFill="1" applyBorder="1" applyAlignment="1">
      <alignment horizontal="center" wrapText="1"/>
    </xf>
    <xf numFmtId="165" fontId="89" fillId="18" borderId="12" xfId="1" applyNumberFormat="1" applyFont="1" applyFill="1" applyBorder="1" applyAlignment="1">
      <alignment horizontal="center"/>
    </xf>
    <xf numFmtId="165" fontId="89" fillId="18" borderId="8" xfId="1" applyNumberFormat="1" applyFont="1" applyFill="1" applyBorder="1" applyAlignment="1">
      <alignment horizontal="center"/>
    </xf>
    <xf numFmtId="165" fontId="99" fillId="18" borderId="15" xfId="1" applyNumberFormat="1" applyFont="1" applyFill="1" applyBorder="1" applyAlignment="1">
      <alignment horizontal="center"/>
    </xf>
    <xf numFmtId="0" fontId="163" fillId="12" borderId="0" xfId="0" applyFont="1" applyFill="1"/>
    <xf numFmtId="1" fontId="12" fillId="7" borderId="0" xfId="0" applyNumberFormat="1" applyFont="1" applyFill="1" applyAlignment="1">
      <alignment horizontal="center"/>
    </xf>
    <xf numFmtId="0" fontId="98" fillId="12" borderId="0" xfId="0" applyFont="1" applyFill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34" fillId="0" borderId="0" xfId="0" applyFont="1"/>
    <xf numFmtId="0" fontId="42" fillId="12" borderId="8" xfId="0" applyFont="1" applyFill="1" applyBorder="1"/>
    <xf numFmtId="0" fontId="164" fillId="12" borderId="8" xfId="0" applyFont="1" applyFill="1" applyBorder="1" applyAlignment="1">
      <alignment horizontal="center"/>
    </xf>
    <xf numFmtId="0" fontId="42" fillId="12" borderId="8" xfId="0" applyFont="1" applyFill="1" applyBorder="1" applyAlignment="1">
      <alignment horizontal="center"/>
    </xf>
    <xf numFmtId="0" fontId="164" fillId="12" borderId="8" xfId="0" applyFont="1" applyFill="1" applyBorder="1" applyAlignment="1">
      <alignment horizontal="left"/>
    </xf>
    <xf numFmtId="0" fontId="134" fillId="25" borderId="8" xfId="0" applyFont="1" applyFill="1" applyBorder="1" applyAlignment="1">
      <alignment horizontal="left"/>
    </xf>
    <xf numFmtId="0" fontId="28" fillId="25" borderId="8" xfId="0" applyFont="1" applyFill="1" applyBorder="1" applyAlignment="1">
      <alignment horizontal="center"/>
    </xf>
    <xf numFmtId="0" fontId="28" fillId="25" borderId="8" xfId="0" applyFont="1" applyFill="1" applyBorder="1"/>
    <xf numFmtId="0" fontId="28" fillId="12" borderId="8" xfId="0" applyFont="1" applyFill="1" applyBorder="1" applyAlignment="1">
      <alignment horizontal="left"/>
    </xf>
    <xf numFmtId="2" fontId="165" fillId="27" borderId="5" xfId="0" applyNumberFormat="1" applyFont="1" applyFill="1" applyBorder="1" applyAlignment="1">
      <alignment horizontal="center"/>
    </xf>
    <xf numFmtId="0" fontId="76" fillId="12" borderId="8" xfId="0" applyFont="1" applyFill="1" applyBorder="1" applyAlignment="1">
      <alignment horizontal="center"/>
    </xf>
    <xf numFmtId="1" fontId="158" fillId="12" borderId="31" xfId="0" applyNumberFormat="1" applyFont="1" applyFill="1" applyBorder="1" applyAlignment="1">
      <alignment horizontal="center"/>
    </xf>
    <xf numFmtId="1" fontId="106" fillId="0" borderId="75" xfId="0" applyNumberFormat="1" applyFont="1" applyBorder="1" applyAlignment="1">
      <alignment horizontal="center"/>
    </xf>
    <xf numFmtId="1" fontId="106" fillId="0" borderId="76" xfId="0" applyNumberFormat="1" applyFont="1" applyBorder="1" applyAlignment="1">
      <alignment horizontal="center"/>
    </xf>
    <xf numFmtId="0" fontId="55" fillId="10" borderId="39" xfId="0" applyFont="1" applyFill="1" applyBorder="1" applyAlignment="1">
      <alignment horizontal="center"/>
    </xf>
    <xf numFmtId="0" fontId="55" fillId="10" borderId="1" xfId="0" applyFont="1" applyFill="1" applyBorder="1" applyAlignment="1">
      <alignment horizontal="center"/>
    </xf>
    <xf numFmtId="0" fontId="55" fillId="10" borderId="23" xfId="0" applyFont="1" applyFill="1" applyBorder="1" applyAlignment="1">
      <alignment horizontal="center"/>
    </xf>
    <xf numFmtId="0" fontId="55" fillId="10" borderId="35" xfId="0" applyFont="1" applyFill="1" applyBorder="1" applyAlignment="1">
      <alignment horizontal="center"/>
    </xf>
    <xf numFmtId="0" fontId="55" fillId="10" borderId="2" xfId="0" applyFont="1" applyFill="1" applyBorder="1" applyAlignment="1">
      <alignment horizontal="center"/>
    </xf>
    <xf numFmtId="0" fontId="55" fillId="10" borderId="3" xfId="0" applyFont="1" applyFill="1" applyBorder="1" applyAlignment="1">
      <alignment horizontal="center"/>
    </xf>
    <xf numFmtId="1" fontId="104" fillId="0" borderId="70" xfId="0" applyNumberFormat="1" applyFont="1" applyBorder="1" applyAlignment="1">
      <alignment horizontal="right"/>
    </xf>
    <xf numFmtId="1" fontId="104" fillId="0" borderId="71" xfId="0" applyNumberFormat="1" applyFont="1" applyBorder="1" applyAlignment="1">
      <alignment horizontal="right"/>
    </xf>
    <xf numFmtId="1" fontId="109" fillId="0" borderId="81" xfId="0" applyNumberFormat="1" applyFont="1" applyBorder="1" applyAlignment="1">
      <alignment horizontal="right"/>
    </xf>
    <xf numFmtId="1" fontId="109" fillId="0" borderId="82" xfId="0" applyNumberFormat="1" applyFont="1" applyBorder="1" applyAlignment="1">
      <alignment horizontal="right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1" fontId="104" fillId="0" borderId="69" xfId="0" applyNumberFormat="1" applyFont="1" applyBorder="1" applyAlignment="1">
      <alignment horizontal="left"/>
    </xf>
    <xf numFmtId="1" fontId="104" fillId="0" borderId="70" xfId="0" applyNumberFormat="1" applyFont="1" applyBorder="1" applyAlignment="1">
      <alignment horizontal="left"/>
    </xf>
    <xf numFmtId="1" fontId="106" fillId="0" borderId="75" xfId="0" applyNumberFormat="1" applyFont="1" applyBorder="1" applyAlignment="1">
      <alignment horizontal="left"/>
    </xf>
    <xf numFmtId="0" fontId="55" fillId="10" borderId="9" xfId="0" applyFont="1" applyFill="1" applyBorder="1" applyAlignment="1">
      <alignment horizontal="center"/>
    </xf>
    <xf numFmtId="0" fontId="55" fillId="10" borderId="6" xfId="0" applyFont="1" applyFill="1" applyBorder="1" applyAlignment="1">
      <alignment horizontal="center"/>
    </xf>
    <xf numFmtId="1" fontId="2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49" fontId="99" fillId="15" borderId="40" xfId="0" applyNumberFormat="1" applyFont="1" applyFill="1" applyBorder="1" applyAlignment="1">
      <alignment horizontal="center" vertical="center" wrapText="1"/>
    </xf>
    <xf numFmtId="49" fontId="99" fillId="15" borderId="4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" fontId="24" fillId="0" borderId="0" xfId="0" applyNumberFormat="1" applyFont="1" applyAlignment="1">
      <alignment horizontal="left"/>
    </xf>
    <xf numFmtId="2" fontId="41" fillId="0" borderId="7" xfId="0" applyNumberFormat="1" applyFont="1" applyBorder="1" applyAlignment="1">
      <alignment horizontal="center" vertical="center"/>
    </xf>
    <xf numFmtId="2" fontId="41" fillId="0" borderId="18" xfId="0" applyNumberFormat="1" applyFont="1" applyBorder="1" applyAlignment="1">
      <alignment horizontal="center" vertical="center"/>
    </xf>
    <xf numFmtId="1" fontId="4" fillId="0" borderId="75" xfId="0" applyNumberFormat="1" applyFont="1" applyBorder="1" applyAlignment="1">
      <alignment horizontal="center"/>
    </xf>
    <xf numFmtId="49" fontId="34" fillId="5" borderId="24" xfId="0" applyNumberFormat="1" applyFont="1" applyFill="1" applyBorder="1" applyAlignment="1">
      <alignment horizontal="center" wrapText="1"/>
    </xf>
    <xf numFmtId="49" fontId="34" fillId="5" borderId="15" xfId="0" applyNumberFormat="1" applyFont="1" applyFill="1" applyBorder="1" applyAlignment="1">
      <alignment horizontal="center" wrapText="1"/>
    </xf>
    <xf numFmtId="1" fontId="24" fillId="0" borderId="11" xfId="0" applyNumberFormat="1" applyFont="1" applyBorder="1" applyAlignment="1">
      <alignment horizontal="right"/>
    </xf>
    <xf numFmtId="2" fontId="41" fillId="0" borderId="9" xfId="0" applyNumberFormat="1" applyFont="1" applyBorder="1" applyAlignment="1">
      <alignment horizontal="center" vertical="center"/>
    </xf>
    <xf numFmtId="2" fontId="41" fillId="0" borderId="23" xfId="0" applyNumberFormat="1" applyFont="1" applyBorder="1" applyAlignment="1">
      <alignment horizontal="center" vertical="center"/>
    </xf>
    <xf numFmtId="49" fontId="4" fillId="12" borderId="9" xfId="0" applyNumberFormat="1" applyFont="1" applyFill="1" applyBorder="1" applyAlignment="1">
      <alignment horizontal="center" vertical="center" wrapText="1"/>
    </xf>
    <xf numFmtId="49" fontId="4" fillId="12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49" fontId="34" fillId="5" borderId="24" xfId="0" applyNumberFormat="1" applyFont="1" applyFill="1" applyBorder="1" applyAlignment="1">
      <alignment horizontal="center" vertical="center" wrapText="1"/>
    </xf>
    <xf numFmtId="49" fontId="34" fillId="5" borderId="15" xfId="0" applyNumberFormat="1" applyFont="1" applyFill="1" applyBorder="1" applyAlignment="1">
      <alignment horizontal="center" vertical="center" wrapText="1"/>
    </xf>
    <xf numFmtId="2" fontId="68" fillId="0" borderId="7" xfId="0" applyNumberFormat="1" applyFont="1" applyBorder="1" applyAlignment="1">
      <alignment horizontal="center"/>
    </xf>
    <xf numFmtId="2" fontId="68" fillId="0" borderId="18" xfId="0" applyNumberFormat="1" applyFont="1" applyBorder="1" applyAlignment="1">
      <alignment horizontal="center"/>
    </xf>
    <xf numFmtId="49" fontId="42" fillId="16" borderId="0" xfId="0" applyNumberFormat="1" applyFont="1" applyFill="1" applyAlignment="1">
      <alignment horizontal="center" wrapText="1"/>
    </xf>
    <xf numFmtId="0" fontId="83" fillId="0" borderId="0" xfId="0" applyFont="1" applyAlignment="1">
      <alignment horizontal="center" vertical="center"/>
    </xf>
    <xf numFmtId="1" fontId="109" fillId="0" borderId="57" xfId="0" applyNumberFormat="1" applyFont="1" applyBorder="1" applyAlignment="1">
      <alignment horizontal="right"/>
    </xf>
    <xf numFmtId="1" fontId="109" fillId="0" borderId="58" xfId="0" applyNumberFormat="1" applyFont="1" applyBorder="1" applyAlignment="1">
      <alignment horizontal="right"/>
    </xf>
    <xf numFmtId="1" fontId="109" fillId="0" borderId="56" xfId="0" applyNumberFormat="1" applyFont="1" applyBorder="1" applyAlignment="1">
      <alignment horizontal="left"/>
    </xf>
    <xf numFmtId="1" fontId="109" fillId="0" borderId="57" xfId="0" applyNumberFormat="1" applyFont="1" applyBorder="1" applyAlignment="1">
      <alignment horizontal="left"/>
    </xf>
    <xf numFmtId="1" fontId="106" fillId="0" borderId="60" xfId="0" applyNumberFormat="1" applyFont="1" applyBorder="1" applyAlignment="1">
      <alignment horizontal="right"/>
    </xf>
    <xf numFmtId="1" fontId="106" fillId="0" borderId="61" xfId="0" applyNumberFormat="1" applyFont="1" applyBorder="1" applyAlignment="1">
      <alignment horizontal="right"/>
    </xf>
    <xf numFmtId="1" fontId="106" fillId="0" borderId="59" xfId="0" applyNumberFormat="1" applyFont="1" applyBorder="1" applyAlignment="1">
      <alignment horizontal="left"/>
    </xf>
    <xf numFmtId="1" fontId="106" fillId="0" borderId="60" xfId="0" applyNumberFormat="1" applyFont="1" applyBorder="1" applyAlignment="1">
      <alignment horizontal="left"/>
    </xf>
    <xf numFmtId="49" fontId="42" fillId="16" borderId="0" xfId="0" applyNumberFormat="1" applyFont="1" applyFill="1" applyAlignment="1">
      <alignment horizontal="center" vertical="center" wrapText="1"/>
    </xf>
    <xf numFmtId="2" fontId="68" fillId="0" borderId="7" xfId="0" applyNumberFormat="1" applyFont="1" applyBorder="1" applyAlignment="1">
      <alignment horizontal="center" vertical="center"/>
    </xf>
    <xf numFmtId="2" fontId="68" fillId="0" borderId="18" xfId="0" applyNumberFormat="1" applyFont="1" applyBorder="1" applyAlignment="1">
      <alignment horizontal="center" vertical="center"/>
    </xf>
    <xf numFmtId="49" fontId="34" fillId="21" borderId="24" xfId="0" applyNumberFormat="1" applyFont="1" applyFill="1" applyBorder="1" applyAlignment="1">
      <alignment horizontal="center" vertical="center" wrapText="1"/>
    </xf>
    <xf numFmtId="49" fontId="34" fillId="21" borderId="28" xfId="0" applyNumberFormat="1" applyFont="1" applyFill="1" applyBorder="1" applyAlignment="1">
      <alignment horizontal="center" vertical="center" wrapText="1"/>
    </xf>
    <xf numFmtId="49" fontId="34" fillId="21" borderId="15" xfId="0" applyNumberFormat="1" applyFont="1" applyFill="1" applyBorder="1" applyAlignment="1">
      <alignment horizontal="center" vertical="center" wrapText="1"/>
    </xf>
    <xf numFmtId="0" fontId="34" fillId="21" borderId="7" xfId="0" applyFont="1" applyFill="1" applyBorder="1" applyAlignment="1">
      <alignment horizontal="left" vertical="center"/>
    </xf>
    <xf numFmtId="0" fontId="34" fillId="21" borderId="18" xfId="0" applyFont="1" applyFill="1" applyBorder="1" applyAlignment="1">
      <alignment horizontal="left" vertical="center"/>
    </xf>
    <xf numFmtId="1" fontId="4" fillId="0" borderId="111" xfId="0" applyNumberFormat="1" applyFont="1" applyBorder="1" applyAlignment="1">
      <alignment horizontal="center"/>
    </xf>
    <xf numFmtId="1" fontId="34" fillId="0" borderId="0" xfId="0" applyNumberFormat="1" applyFont="1" applyAlignment="1">
      <alignment horizontal="center"/>
    </xf>
  </cellXfs>
  <cellStyles count="3">
    <cellStyle name="Normal 2" xfId="2" xr:uid="{00000000-0005-0000-0000-000001000000}"/>
    <cellStyle name="Normal 3" xfId="1" xr:uid="{00000000-0005-0000-0000-000002000000}"/>
    <cellStyle name="Standard" xfId="0" builtinId="0"/>
  </cellStyles>
  <dxfs count="433">
    <dxf>
      <font>
        <condense val="0"/>
        <extend val="0"/>
        <color indexed="9"/>
      </font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b/>
        <i val="0"/>
        <color rgb="FF00B0F0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0" tint="-4.9989318521683403E-2"/>
      </font>
    </dxf>
    <dxf>
      <font>
        <b/>
        <i val="0"/>
        <color rgb="FF00B0F0"/>
      </font>
      <fill>
        <patternFill patternType="none">
          <bgColor auto="1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2"/>
      </font>
      <fill>
        <patternFill>
          <bgColor theme="2"/>
        </patternFill>
      </fill>
    </dxf>
    <dxf>
      <font>
        <color theme="2"/>
      </font>
      <fill>
        <patternFill>
          <bgColor theme="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2"/>
      </font>
      <fill>
        <patternFill>
          <bgColor theme="2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ill>
        <patternFill>
          <bgColor indexed="10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lor auto="1"/>
      </font>
    </dxf>
    <dxf>
      <font>
        <color theme="0" tint="-0.499984740745262"/>
      </font>
      <fill>
        <patternFill>
          <bgColor theme="0" tint="-0.34998626667073579"/>
        </patternFill>
      </fill>
    </dxf>
    <dxf>
      <font>
        <b/>
        <i val="0"/>
        <color auto="1"/>
      </font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b/>
        <i val="0"/>
        <color rgb="FF00B0F0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0" tint="-4.9989318521683403E-2"/>
      </font>
    </dxf>
    <dxf>
      <font>
        <b/>
        <i val="0"/>
        <color rgb="FF00B0F0"/>
      </font>
      <fill>
        <patternFill patternType="none">
          <bgColor auto="1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2"/>
      </font>
      <fill>
        <patternFill>
          <bgColor theme="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2"/>
      </font>
      <fill>
        <patternFill>
          <bgColor theme="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ont>
        <color theme="2"/>
      </font>
      <fill>
        <patternFill>
          <bgColor theme="2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b/>
        <i val="0"/>
        <color rgb="FF00B0F0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0" tint="-4.9989318521683403E-2"/>
      </font>
    </dxf>
    <dxf>
      <font>
        <b/>
        <i val="0"/>
        <color rgb="FF00B0F0"/>
      </font>
      <fill>
        <patternFill patternType="none">
          <bgColor auto="1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2"/>
      </font>
      <fill>
        <patternFill>
          <fgColor theme="2"/>
          <bgColor theme="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2"/>
      </font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fgColor theme="2"/>
          <bgColor theme="2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ill>
        <patternFill>
          <bgColor indexed="10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b/>
        <i val="0"/>
        <color rgb="FF00B0F0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theme="0" tint="-4.9989318521683403E-2"/>
      </font>
    </dxf>
    <dxf>
      <font>
        <color rgb="FFFF0000"/>
      </font>
      <fill>
        <patternFill patternType="none">
          <bgColor auto="1"/>
        </patternFill>
      </fill>
    </dxf>
    <dxf>
      <font>
        <b/>
        <i val="0"/>
        <color rgb="FF00B0F0"/>
      </font>
      <fill>
        <patternFill patternType="none">
          <bgColor auto="1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2"/>
      </font>
      <fill>
        <patternFill>
          <fgColor theme="2"/>
          <bgColor theme="2"/>
        </patternFill>
      </fill>
    </dxf>
    <dxf>
      <font>
        <color theme="2"/>
      </font>
      <fill>
        <patternFill>
          <fgColor theme="2"/>
          <bgColor theme="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2"/>
      </font>
      <fill>
        <patternFill>
          <bgColor theme="2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b/>
        <i val="0"/>
        <color rgb="FFC00000"/>
      </font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b/>
        <i val="0"/>
        <color rgb="FF00B0F0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theme="0" tint="-4.9989318521683403E-2"/>
      </font>
    </dxf>
    <dxf>
      <font>
        <color rgb="FFFF0000"/>
      </font>
      <fill>
        <patternFill patternType="none">
          <bgColor auto="1"/>
        </patternFill>
      </fill>
    </dxf>
    <dxf>
      <font>
        <b/>
        <i val="0"/>
        <color rgb="FF00B0F0"/>
      </font>
      <fill>
        <patternFill patternType="none">
          <bgColor auto="1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2"/>
      </font>
      <fill>
        <patternFill>
          <bgColor theme="2"/>
        </patternFill>
      </fill>
    </dxf>
    <dxf>
      <font>
        <color theme="2"/>
      </font>
      <fill>
        <patternFill>
          <bgColor theme="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2"/>
      </font>
      <fill>
        <patternFill>
          <bgColor theme="2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  <dxf>
      <font>
        <color theme="0" tint="-0.499984740745262"/>
      </font>
      <fill>
        <patternFill>
          <bgColor theme="0" tint="-0.34998626667073579"/>
        </patternFill>
      </fill>
    </dxf>
  </dxfs>
  <tableStyles count="0" defaultTableStyle="TableStyleMedium9" defaultPivotStyle="PivotStyleLight16"/>
  <colors>
    <mruColors>
      <color rgb="FF66CCFF"/>
      <color rgb="FFFF3300"/>
      <color rgb="FF00FFFF"/>
      <color rgb="FF99CCFF"/>
      <color rgb="FFFFFFCC"/>
      <color rgb="FF00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56</xdr:col>
      <xdr:colOff>2861212</xdr:colOff>
      <xdr:row>84</xdr:row>
      <xdr:rowOff>143497</xdr:rowOff>
    </xdr:from>
    <xdr:to>
      <xdr:col>98</xdr:col>
      <xdr:colOff>153392</xdr:colOff>
      <xdr:row>135</xdr:row>
      <xdr:rowOff>1768004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4894" y="7399815"/>
          <a:ext cx="20134863" cy="2178688"/>
        </a:xfrm>
        <a:prstGeom prst="rect">
          <a:avLst/>
        </a:prstGeom>
      </xdr:spPr>
    </xdr:pic>
    <xdr:clientData/>
  </xdr:twoCellAnchor>
  <xdr:twoCellAnchor editAs="oneCell">
    <xdr:from>
      <xdr:col>56</xdr:col>
      <xdr:colOff>2892134</xdr:colOff>
      <xdr:row>137</xdr:row>
      <xdr:rowOff>190500</xdr:rowOff>
    </xdr:from>
    <xdr:to>
      <xdr:col>98</xdr:col>
      <xdr:colOff>121226</xdr:colOff>
      <xdr:row>144</xdr:row>
      <xdr:rowOff>544688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87952" y="49149000"/>
          <a:ext cx="20071774" cy="217259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39</xdr:col>
      <xdr:colOff>558216</xdr:colOff>
      <xdr:row>78</xdr:row>
      <xdr:rowOff>523874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83761" cy="49746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50</xdr:col>
      <xdr:colOff>2820387</xdr:colOff>
      <xdr:row>49</xdr:row>
      <xdr:rowOff>138551</xdr:rowOff>
    </xdr:from>
    <xdr:to>
      <xdr:col>118</xdr:col>
      <xdr:colOff>149803</xdr:colOff>
      <xdr:row>100</xdr:row>
      <xdr:rowOff>1520434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27387" y="17370142"/>
          <a:ext cx="20120143" cy="1896335"/>
        </a:xfrm>
        <a:prstGeom prst="rect">
          <a:avLst/>
        </a:prstGeom>
      </xdr:spPr>
    </xdr:pic>
    <xdr:clientData/>
  </xdr:twoCellAnchor>
  <xdr:twoCellAnchor editAs="oneCell">
    <xdr:from>
      <xdr:col>50</xdr:col>
      <xdr:colOff>2804305</xdr:colOff>
      <xdr:row>102</xdr:row>
      <xdr:rowOff>80405</xdr:rowOff>
    </xdr:from>
    <xdr:to>
      <xdr:col>118</xdr:col>
      <xdr:colOff>65563</xdr:colOff>
      <xdr:row>134</xdr:row>
      <xdr:rowOff>262903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00484" y="26614334"/>
          <a:ext cx="19699435" cy="19544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40</xdr:col>
      <xdr:colOff>750940</xdr:colOff>
      <xdr:row>21</xdr:row>
      <xdr:rowOff>244999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22895" cy="40203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65</xdr:col>
      <xdr:colOff>3305301</xdr:colOff>
      <xdr:row>63</xdr:row>
      <xdr:rowOff>103909</xdr:rowOff>
    </xdr:from>
    <xdr:to>
      <xdr:col>149</xdr:col>
      <xdr:colOff>138543</xdr:colOff>
      <xdr:row>114</xdr:row>
      <xdr:rowOff>1561106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16801" y="23292954"/>
          <a:ext cx="20108881" cy="1974268"/>
        </a:xfrm>
        <a:prstGeom prst="rect">
          <a:avLst/>
        </a:prstGeom>
      </xdr:spPr>
    </xdr:pic>
    <xdr:clientData/>
  </xdr:twoCellAnchor>
  <xdr:twoCellAnchor editAs="oneCell">
    <xdr:from>
      <xdr:col>65</xdr:col>
      <xdr:colOff>3318595</xdr:colOff>
      <xdr:row>116</xdr:row>
      <xdr:rowOff>162355</xdr:rowOff>
    </xdr:from>
    <xdr:to>
      <xdr:col>149</xdr:col>
      <xdr:colOff>103907</xdr:colOff>
      <xdr:row>142</xdr:row>
      <xdr:rowOff>277089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89686" y="30053537"/>
          <a:ext cx="20060951" cy="19158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51</xdr:col>
      <xdr:colOff>390469</xdr:colOff>
      <xdr:row>63</xdr:row>
      <xdr:rowOff>202560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33333" cy="61773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61</xdr:col>
      <xdr:colOff>3311794</xdr:colOff>
      <xdr:row>62</xdr:row>
      <xdr:rowOff>77933</xdr:rowOff>
    </xdr:from>
    <xdr:to>
      <xdr:col>139</xdr:col>
      <xdr:colOff>121230</xdr:colOff>
      <xdr:row>113</xdr:row>
      <xdr:rowOff>1375378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36703" y="5862206"/>
          <a:ext cx="20085072" cy="1816990"/>
        </a:xfrm>
        <a:prstGeom prst="rect">
          <a:avLst/>
        </a:prstGeom>
      </xdr:spPr>
    </xdr:pic>
    <xdr:clientData/>
  </xdr:twoCellAnchor>
  <xdr:twoCellAnchor editAs="oneCell">
    <xdr:from>
      <xdr:col>61</xdr:col>
      <xdr:colOff>3318593</xdr:colOff>
      <xdr:row>115</xdr:row>
      <xdr:rowOff>138545</xdr:rowOff>
    </xdr:from>
    <xdr:to>
      <xdr:col>139</xdr:col>
      <xdr:colOff>86594</xdr:colOff>
      <xdr:row>135</xdr:row>
      <xdr:rowOff>225136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49638" y="8676409"/>
          <a:ext cx="20043635" cy="18530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53</xdr:col>
      <xdr:colOff>616492</xdr:colOff>
      <xdr:row>61</xdr:row>
      <xdr:rowOff>103909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16901" cy="600940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64</xdr:col>
      <xdr:colOff>3649067</xdr:colOff>
      <xdr:row>75</xdr:row>
      <xdr:rowOff>90922</xdr:rowOff>
    </xdr:from>
    <xdr:to>
      <xdr:col>146</xdr:col>
      <xdr:colOff>60614</xdr:colOff>
      <xdr:row>126</xdr:row>
      <xdr:rowOff>1498241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57203" y="6481331"/>
          <a:ext cx="20033548" cy="1988716"/>
        </a:xfrm>
        <a:prstGeom prst="rect">
          <a:avLst/>
        </a:prstGeom>
      </xdr:spPr>
    </xdr:pic>
    <xdr:clientData/>
  </xdr:twoCellAnchor>
  <xdr:twoCellAnchor editAs="oneCell">
    <xdr:from>
      <xdr:col>65</xdr:col>
      <xdr:colOff>6058</xdr:colOff>
      <xdr:row>128</xdr:row>
      <xdr:rowOff>121226</xdr:rowOff>
    </xdr:from>
    <xdr:to>
      <xdr:col>146</xdr:col>
      <xdr:colOff>121229</xdr:colOff>
      <xdr:row>134</xdr:row>
      <xdr:rowOff>397079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54922" y="8780317"/>
          <a:ext cx="19996442" cy="20435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51</xdr:col>
      <xdr:colOff>715048</xdr:colOff>
      <xdr:row>74</xdr:row>
      <xdr:rowOff>442477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603236" cy="5984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2" tint="-9.9978637043366805E-2"/>
  </sheetPr>
  <dimension ref="A1:DU217"/>
  <sheetViews>
    <sheetView topLeftCell="A49" zoomScale="50" zoomScaleNormal="50" workbookViewId="0">
      <selection activeCell="D150" sqref="D150"/>
    </sheetView>
  </sheetViews>
  <sheetFormatPr baseColWidth="10" defaultColWidth="9.1640625" defaultRowHeight="16" x14ac:dyDescent="0.2"/>
  <cols>
    <col min="1" max="1" width="6" customWidth="1"/>
    <col min="2" max="2" width="31.83203125" style="15" customWidth="1"/>
    <col min="3" max="3" width="19.5" style="15" hidden="1" customWidth="1"/>
    <col min="4" max="4" width="35.33203125" style="17" customWidth="1"/>
    <col min="5" max="5" width="38.6640625" style="17" customWidth="1"/>
    <col min="6" max="6" width="44.33203125" style="17" customWidth="1"/>
    <col min="7" max="7" width="29.1640625" style="17" hidden="1" customWidth="1"/>
    <col min="8" max="8" width="25.6640625" hidden="1" customWidth="1"/>
    <col min="9" max="9" width="18.5" hidden="1" customWidth="1"/>
    <col min="10" max="13" width="18.33203125" hidden="1" customWidth="1"/>
    <col min="14" max="14" width="12.33203125" hidden="1" customWidth="1"/>
    <col min="15" max="15" width="10.6640625" hidden="1" customWidth="1"/>
    <col min="16" max="16" width="8.33203125" hidden="1" customWidth="1"/>
    <col min="17" max="17" width="13.1640625" hidden="1" customWidth="1"/>
    <col min="18" max="18" width="24.5" hidden="1" customWidth="1"/>
    <col min="19" max="19" width="13.1640625" hidden="1" customWidth="1"/>
    <col min="20" max="20" width="28.5" hidden="1" customWidth="1"/>
    <col min="21" max="21" width="15.83203125" hidden="1" customWidth="1"/>
    <col min="22" max="22" width="16.33203125" hidden="1" customWidth="1"/>
    <col min="23" max="23" width="29.1640625" hidden="1" customWidth="1"/>
    <col min="24" max="24" width="63.83203125" hidden="1" customWidth="1"/>
    <col min="25" max="25" width="12.5" hidden="1" customWidth="1"/>
    <col min="26" max="26" width="14.33203125" hidden="1" customWidth="1"/>
    <col min="27" max="27" width="15.5" hidden="1" customWidth="1"/>
    <col min="28" max="28" width="21.5" hidden="1" customWidth="1"/>
    <col min="29" max="29" width="14.33203125" hidden="1" customWidth="1"/>
    <col min="30" max="30" width="15.5" hidden="1" customWidth="1"/>
    <col min="31" max="31" width="18.83203125" hidden="1" customWidth="1"/>
    <col min="32" max="32" width="29.6640625" hidden="1" customWidth="1"/>
    <col min="33" max="33" width="14.33203125" hidden="1" customWidth="1"/>
    <col min="34" max="34" width="16.5" hidden="1" customWidth="1"/>
    <col min="35" max="37" width="16.33203125" hidden="1" customWidth="1"/>
    <col min="38" max="38" width="9" hidden="1" customWidth="1"/>
    <col min="39" max="39" width="10.33203125" hidden="1" customWidth="1"/>
    <col min="40" max="41" width="12.33203125" customWidth="1"/>
    <col min="42" max="42" width="3.33203125" hidden="1" customWidth="1"/>
    <col min="43" max="43" width="17.5" hidden="1" customWidth="1"/>
    <col min="44" max="44" width="11.83203125" hidden="1" customWidth="1"/>
    <col min="45" max="45" width="14.83203125" hidden="1" customWidth="1"/>
    <col min="46" max="46" width="5.33203125" hidden="1" customWidth="1"/>
    <col min="47" max="47" width="8.5" hidden="1" customWidth="1"/>
    <col min="48" max="48" width="136" hidden="1" customWidth="1"/>
    <col min="49" max="51" width="16.33203125" hidden="1" customWidth="1"/>
    <col min="52" max="52" width="9.5" hidden="1" customWidth="1"/>
    <col min="53" max="53" width="16.33203125" hidden="1" customWidth="1"/>
    <col min="54" max="54" width="9.33203125" hidden="1" customWidth="1"/>
    <col min="55" max="55" width="35.5" customWidth="1"/>
    <col min="56" max="56" width="45.1640625" style="22" customWidth="1"/>
    <col min="57" max="57" width="44.33203125" customWidth="1"/>
    <col min="58" max="98" width="7.1640625" customWidth="1"/>
    <col min="99" max="99" width="11.5" customWidth="1"/>
    <col min="100" max="125" width="9.1640625" hidden="1" customWidth="1"/>
    <col min="126" max="131" width="9.1640625" customWidth="1"/>
  </cols>
  <sheetData>
    <row r="1" spans="2:15" ht="27" hidden="1" customHeight="1" x14ac:dyDescent="0.2">
      <c r="B1" s="38"/>
      <c r="C1" s="38"/>
      <c r="D1" s="637" t="s">
        <v>76</v>
      </c>
      <c r="E1" s="637" t="s">
        <v>77</v>
      </c>
      <c r="F1" s="637" t="s">
        <v>78</v>
      </c>
      <c r="G1" s="878" t="s">
        <v>202</v>
      </c>
      <c r="H1" s="879">
        <v>5800</v>
      </c>
      <c r="I1" s="880"/>
      <c r="J1" s="880"/>
      <c r="K1" s="880"/>
      <c r="L1" s="880"/>
      <c r="M1" s="880"/>
      <c r="N1" s="880"/>
      <c r="O1" s="881"/>
    </row>
    <row r="2" spans="2:15" ht="27" hidden="1" customHeight="1" x14ac:dyDescent="0.2">
      <c r="B2" s="640" t="s">
        <v>26</v>
      </c>
      <c r="C2" s="641">
        <v>532</v>
      </c>
      <c r="D2" s="642">
        <f>+COS(($B$144*-1)*3.14159265358979/180)*C2</f>
        <v>523.91772460249467</v>
      </c>
      <c r="E2" s="641">
        <f>+COS(($B$144*-1)*3.14159265358979/180)*28</f>
        <v>27.574617084341828</v>
      </c>
      <c r="F2" s="641">
        <f>+COS((($B$144*-1)+85.383547)*3.14159265358979/180)*99.3974873</f>
        <v>-9.3257132817290795</v>
      </c>
      <c r="G2" s="813" t="s">
        <v>203</v>
      </c>
      <c r="H2" s="882">
        <v>60</v>
      </c>
      <c r="I2" s="22"/>
      <c r="J2" s="22"/>
      <c r="K2" s="22"/>
      <c r="L2" s="22"/>
      <c r="M2" s="22"/>
      <c r="N2" s="22"/>
      <c r="O2" s="883"/>
    </row>
    <row r="3" spans="2:15" ht="27" hidden="1" customHeight="1" thickBot="1" x14ac:dyDescent="0.25">
      <c r="B3" s="643" t="s">
        <v>96</v>
      </c>
      <c r="C3" s="644">
        <f>+C15-8.0000223</f>
        <v>194.35140629091509</v>
      </c>
      <c r="D3" s="642">
        <f>+C15-F2</f>
        <v>211.6771418726442</v>
      </c>
      <c r="E3" s="55"/>
      <c r="F3" s="55"/>
      <c r="G3" s="813" t="s">
        <v>204</v>
      </c>
      <c r="H3" s="884">
        <v>168</v>
      </c>
      <c r="I3" s="105"/>
      <c r="J3" s="22"/>
      <c r="K3" s="22"/>
      <c r="L3" s="22"/>
      <c r="M3" s="22"/>
      <c r="N3" s="22"/>
      <c r="O3" s="883"/>
    </row>
    <row r="4" spans="2:15" ht="27" hidden="1" customHeight="1" thickBot="1" x14ac:dyDescent="0.25">
      <c r="B4" s="645" t="s">
        <v>97</v>
      </c>
      <c r="C4" s="641">
        <v>784</v>
      </c>
      <c r="D4" s="642">
        <f>+COS(($B$144*-1)*3.14159265358979/180)*C4</f>
        <v>772.08927836157113</v>
      </c>
      <c r="E4" s="55"/>
      <c r="F4" s="55"/>
      <c r="G4" s="885" t="s">
        <v>205</v>
      </c>
      <c r="H4" s="886">
        <v>616</v>
      </c>
      <c r="I4" s="814">
        <v>1</v>
      </c>
      <c r="J4" s="937" t="s">
        <v>168</v>
      </c>
      <c r="K4" s="938"/>
      <c r="L4" s="938"/>
      <c r="M4" s="938"/>
      <c r="N4" s="939"/>
      <c r="O4" s="883"/>
    </row>
    <row r="5" spans="2:15" ht="39.75" hidden="1" customHeight="1" x14ac:dyDescent="0.2">
      <c r="B5" s="645" t="s">
        <v>98</v>
      </c>
      <c r="C5" s="641">
        <f>+C15+300</f>
        <v>502.35142859091513</v>
      </c>
      <c r="D5" s="642">
        <f>+(COS(($B$144*-1)*3.14159265358979/180)*308)+$D$3</f>
        <v>514.99792980040434</v>
      </c>
      <c r="E5" s="55"/>
      <c r="F5" s="55"/>
      <c r="G5" s="885" t="s">
        <v>206</v>
      </c>
      <c r="H5" s="886">
        <v>504</v>
      </c>
      <c r="I5" s="888" t="s">
        <v>210</v>
      </c>
      <c r="J5" s="816" t="s">
        <v>169</v>
      </c>
      <c r="K5" s="816" t="s">
        <v>170</v>
      </c>
      <c r="L5" s="817" t="s">
        <v>171</v>
      </c>
      <c r="M5" s="887"/>
      <c r="N5" s="22"/>
      <c r="O5" s="883"/>
    </row>
    <row r="6" spans="2:15" ht="27" hidden="1" customHeight="1" x14ac:dyDescent="0.2">
      <c r="B6" s="646"/>
      <c r="C6" s="647"/>
      <c r="D6" s="55"/>
      <c r="E6" s="55"/>
      <c r="F6" s="55"/>
      <c r="G6" s="885" t="s">
        <v>207</v>
      </c>
      <c r="H6" s="886">
        <v>448</v>
      </c>
      <c r="I6" s="22"/>
      <c r="J6" s="818">
        <f>+H9/H8*BF51</f>
        <v>35.085016287822121</v>
      </c>
      <c r="K6" s="818">
        <f>((H8-H9)/H8)*BF51</f>
        <v>-23.630457031058942</v>
      </c>
      <c r="L6" s="818">
        <f>+CI51</f>
        <v>22.945440743236819</v>
      </c>
      <c r="M6" s="816" t="s">
        <v>172</v>
      </c>
      <c r="N6" s="22"/>
      <c r="O6" s="883"/>
    </row>
    <row r="7" spans="2:15" ht="50.25" hidden="1" customHeight="1" x14ac:dyDescent="0.2">
      <c r="B7" s="648" t="s">
        <v>99</v>
      </c>
      <c r="C7" s="649">
        <v>4000</v>
      </c>
      <c r="D7" s="649">
        <v>4400</v>
      </c>
      <c r="E7" s="55"/>
      <c r="F7" s="55"/>
      <c r="G7" s="889" t="s">
        <v>208</v>
      </c>
      <c r="H7" s="819">
        <f>(+SIN(($B$144*-1)*3.14159265358979/180)*H2)</f>
        <v>10.41889066001581</v>
      </c>
      <c r="I7" s="854"/>
      <c r="J7" s="820">
        <f>ABS($H$1/J6)</f>
        <v>165.31273499830635</v>
      </c>
      <c r="K7" s="820">
        <f>ABS($H$1/K6)</f>
        <v>245.44595106123882</v>
      </c>
      <c r="L7" s="820">
        <f>ABS($H$1/L6)</f>
        <v>252.77352764337522</v>
      </c>
      <c r="M7" s="821" t="s">
        <v>173</v>
      </c>
      <c r="N7" s="22"/>
      <c r="O7" s="883"/>
    </row>
    <row r="8" spans="2:15" ht="54" hidden="1" customHeight="1" thickBot="1" x14ac:dyDescent="0.35">
      <c r="B8" s="648" t="s">
        <v>117</v>
      </c>
      <c r="C8" s="650">
        <v>4300</v>
      </c>
      <c r="D8" s="945">
        <v>4300</v>
      </c>
      <c r="E8" s="55"/>
      <c r="F8" s="55"/>
      <c r="G8" s="889" t="s">
        <v>209</v>
      </c>
      <c r="H8" s="819">
        <f>(+COS(($B$144*-1)*3.14159265358979/180)*H3)</f>
        <v>165.44770250605097</v>
      </c>
      <c r="I8" s="941" t="s">
        <v>227</v>
      </c>
      <c r="J8" s="944">
        <f>ABS($D$8/BF51)</f>
        <v>375.39637306089514</v>
      </c>
      <c r="K8" s="944"/>
      <c r="L8" s="944">
        <f>ABS($D$8/CI51)</f>
        <v>187.40106359767472</v>
      </c>
      <c r="M8" s="942" t="s">
        <v>226</v>
      </c>
      <c r="N8" s="941"/>
      <c r="O8" s="883"/>
    </row>
    <row r="9" spans="2:15" ht="27" hidden="1" customHeight="1" thickBot="1" x14ac:dyDescent="0.25">
      <c r="B9" s="651"/>
      <c r="C9" s="652" t="s">
        <v>20</v>
      </c>
      <c r="D9" s="652" t="s">
        <v>21</v>
      </c>
      <c r="E9" s="55"/>
      <c r="F9" s="55"/>
      <c r="G9" s="813" t="s">
        <v>211</v>
      </c>
      <c r="H9" s="819">
        <f>+D2-E2+H7</f>
        <v>506.76199817816865</v>
      </c>
      <c r="I9" s="22"/>
      <c r="J9" s="22"/>
      <c r="K9" s="22"/>
      <c r="L9" s="22"/>
      <c r="M9" s="22"/>
      <c r="N9" s="22"/>
      <c r="O9" s="883"/>
    </row>
    <row r="10" spans="2:15" ht="27" hidden="1" customHeight="1" thickBot="1" x14ac:dyDescent="0.25">
      <c r="B10" s="651" t="s">
        <v>17</v>
      </c>
      <c r="C10" s="653">
        <f>+((C13-C15)/C13)*C12</f>
        <v>13.587678217043951</v>
      </c>
      <c r="D10" s="653">
        <f>+(C15/C13)*C12</f>
        <v>20.812321782956047</v>
      </c>
      <c r="E10" s="55"/>
      <c r="F10" s="55"/>
      <c r="G10" s="890"/>
      <c r="H10" s="22"/>
      <c r="I10" s="814">
        <v>2</v>
      </c>
      <c r="J10" s="937" t="s">
        <v>175</v>
      </c>
      <c r="K10" s="937"/>
      <c r="L10" s="940"/>
      <c r="M10" s="940"/>
      <c r="N10" s="22"/>
      <c r="O10" s="883"/>
    </row>
    <row r="11" spans="2:15" ht="45" hidden="1" customHeight="1" x14ac:dyDescent="0.2">
      <c r="B11" s="646"/>
      <c r="C11" s="647"/>
      <c r="D11" s="55"/>
      <c r="E11" s="55"/>
      <c r="F11" s="55"/>
      <c r="G11" s="813" t="s">
        <v>212</v>
      </c>
      <c r="H11" s="819">
        <f>+D2-H7-E2</f>
        <v>485.92421685813707</v>
      </c>
      <c r="I11" s="888" t="s">
        <v>210</v>
      </c>
      <c r="J11" s="817" t="s">
        <v>176</v>
      </c>
      <c r="K11" s="816" t="s">
        <v>177</v>
      </c>
      <c r="L11" s="816" t="s">
        <v>178</v>
      </c>
      <c r="M11" s="887"/>
      <c r="N11" s="22"/>
      <c r="O11" s="883"/>
    </row>
    <row r="12" spans="2:15" ht="27" hidden="1" customHeight="1" x14ac:dyDescent="0.2">
      <c r="B12" s="642" t="s">
        <v>51</v>
      </c>
      <c r="C12" s="641">
        <f>+(B147*15)+9.4+10</f>
        <v>34.4</v>
      </c>
      <c r="D12" s="654" t="s">
        <v>102</v>
      </c>
      <c r="E12" s="55"/>
      <c r="F12" s="55"/>
      <c r="G12" s="890"/>
      <c r="H12" s="25"/>
      <c r="I12" s="22"/>
      <c r="J12" s="818">
        <f>(BQ54)</f>
        <v>24.968844971048895</v>
      </c>
      <c r="K12" s="818">
        <f>((+H8-H11)/H8*CS54)</f>
        <v>-18.268393239742061</v>
      </c>
      <c r="L12" s="818">
        <f>(H11/H8*CS54)</f>
        <v>27.699548268693164</v>
      </c>
      <c r="M12" s="816" t="s">
        <v>172</v>
      </c>
      <c r="N12" s="22"/>
      <c r="O12" s="883"/>
    </row>
    <row r="13" spans="2:15" ht="27" hidden="1" customHeight="1" x14ac:dyDescent="0.2">
      <c r="B13" s="649" t="s">
        <v>52</v>
      </c>
      <c r="C13" s="641">
        <v>334.46</v>
      </c>
      <c r="D13" s="55"/>
      <c r="E13" s="55"/>
      <c r="F13" s="55"/>
      <c r="G13" s="890"/>
      <c r="H13" s="22"/>
      <c r="I13" s="22"/>
      <c r="J13" s="820">
        <f>ABS($H$1/J12)</f>
        <v>232.28947941825251</v>
      </c>
      <c r="K13" s="820">
        <f>ABS($H$1/K12)</f>
        <v>317.48823905226448</v>
      </c>
      <c r="L13" s="820">
        <f>ABS($H$1/L12)</f>
        <v>209.38969631339904</v>
      </c>
      <c r="M13" s="821" t="s">
        <v>173</v>
      </c>
      <c r="N13" s="22"/>
      <c r="O13" s="883"/>
    </row>
    <row r="14" spans="2:15" ht="27" hidden="1" customHeight="1" x14ac:dyDescent="0.2">
      <c r="B14" s="655">
        <f>+B147</f>
        <v>1</v>
      </c>
      <c r="C14" s="656">
        <f>IF(B14&lt;=24,B14)</f>
        <v>1</v>
      </c>
      <c r="D14" s="55"/>
      <c r="E14" s="55"/>
      <c r="F14" s="55"/>
      <c r="G14" s="890"/>
      <c r="H14" s="22"/>
      <c r="I14" s="22"/>
      <c r="J14" s="944">
        <f>ABS($D$8/BQ54)</f>
        <v>172.21461405146306</v>
      </c>
      <c r="K14" s="944"/>
      <c r="L14" s="944">
        <f>ABS($D$8/CS54)</f>
        <v>455.93567137854899</v>
      </c>
      <c r="M14" s="942" t="s">
        <v>226</v>
      </c>
      <c r="N14" s="22"/>
      <c r="O14" s="883"/>
    </row>
    <row r="15" spans="2:15" ht="27" hidden="1" customHeight="1" thickBot="1" x14ac:dyDescent="0.25">
      <c r="B15" s="649" t="s">
        <v>53</v>
      </c>
      <c r="C15" s="642">
        <f>+X145</f>
        <v>202.35142859091511</v>
      </c>
      <c r="D15" s="55"/>
      <c r="E15" s="55"/>
      <c r="F15" s="55"/>
      <c r="G15" s="890"/>
      <c r="H15" s="22"/>
      <c r="I15" s="22"/>
      <c r="J15" s="22"/>
      <c r="K15" s="22"/>
      <c r="L15" s="22"/>
      <c r="M15" s="22"/>
      <c r="N15" s="22"/>
      <c r="O15" s="883"/>
    </row>
    <row r="16" spans="2:15" ht="21" hidden="1" thickBot="1" x14ac:dyDescent="0.25">
      <c r="B16" s="19"/>
      <c r="C16" s="20"/>
      <c r="G16" s="813" t="s">
        <v>213</v>
      </c>
      <c r="H16" s="819">
        <f>+D2-(H7+E2)-BA143</f>
        <v>-29.073712942267321</v>
      </c>
      <c r="I16" s="814" t="s">
        <v>179</v>
      </c>
      <c r="J16" s="937" t="s">
        <v>224</v>
      </c>
      <c r="K16" s="938"/>
      <c r="L16" s="938"/>
      <c r="M16" s="938"/>
      <c r="N16" s="22"/>
      <c r="O16" s="883"/>
    </row>
    <row r="17" spans="1:15" ht="38" hidden="1" x14ac:dyDescent="0.2">
      <c r="B17" s="19"/>
      <c r="C17" s="20"/>
      <c r="G17" s="890"/>
      <c r="H17" s="25"/>
      <c r="I17" s="888" t="s">
        <v>210</v>
      </c>
      <c r="J17" s="816" t="s">
        <v>169</v>
      </c>
      <c r="K17" s="816" t="s">
        <v>170</v>
      </c>
      <c r="L17" s="816"/>
      <c r="M17" s="887"/>
      <c r="N17" s="22"/>
      <c r="O17" s="883"/>
    </row>
    <row r="18" spans="1:15" ht="20" hidden="1" x14ac:dyDescent="0.2">
      <c r="B18" s="19"/>
      <c r="C18" s="20"/>
      <c r="G18" s="890"/>
      <c r="H18" s="22"/>
      <c r="I18" s="22"/>
      <c r="J18" s="818">
        <f>+H16/H8*BF49</f>
        <v>-6.0450263742853583</v>
      </c>
      <c r="K18" s="818">
        <f>((H8-H16)/H8)*BF49</f>
        <v>40.445026374285362</v>
      </c>
      <c r="L18" s="818"/>
      <c r="M18" s="816" t="s">
        <v>172</v>
      </c>
      <c r="N18" s="22"/>
      <c r="O18" s="883"/>
    </row>
    <row r="19" spans="1:15" ht="20" hidden="1" x14ac:dyDescent="0.2">
      <c r="B19" s="19"/>
      <c r="C19" s="20"/>
      <c r="G19" s="890"/>
      <c r="H19" s="22"/>
      <c r="I19" s="22"/>
      <c r="J19" s="820">
        <f>ABS($H$1/J18)</f>
        <v>959.46645074574633</v>
      </c>
      <c r="K19" s="820">
        <f>ABS($H$1/K18)</f>
        <v>143.40453004841149</v>
      </c>
      <c r="L19" s="820"/>
      <c r="M19" s="821" t="s">
        <v>173</v>
      </c>
      <c r="N19" s="22"/>
      <c r="O19" s="883"/>
    </row>
    <row r="20" spans="1:15" ht="20" hidden="1" x14ac:dyDescent="0.2">
      <c r="B20" s="19"/>
      <c r="C20" s="20"/>
      <c r="G20" s="890"/>
      <c r="H20" s="22"/>
      <c r="I20" s="22"/>
      <c r="J20" s="944">
        <f>ABS($D$8/BF49)</f>
        <v>125</v>
      </c>
      <c r="K20" s="944"/>
      <c r="L20" s="944"/>
      <c r="M20" s="942" t="s">
        <v>226</v>
      </c>
      <c r="N20" s="941" t="s">
        <v>228</v>
      </c>
      <c r="O20" s="883"/>
    </row>
    <row r="21" spans="1:15" ht="19" hidden="1" thickBot="1" x14ac:dyDescent="0.25">
      <c r="B21" s="19"/>
      <c r="C21" s="20"/>
      <c r="G21" s="890"/>
      <c r="H21" s="22"/>
      <c r="I21" s="22"/>
      <c r="J21" s="22"/>
      <c r="K21" s="22"/>
      <c r="L21" s="22"/>
      <c r="M21" s="22"/>
      <c r="N21" s="22"/>
      <c r="O21" s="883"/>
    </row>
    <row r="22" spans="1:15" ht="21" hidden="1" thickBot="1" x14ac:dyDescent="0.25">
      <c r="B22" s="19"/>
      <c r="C22" s="20"/>
      <c r="G22" s="813" t="s">
        <v>180</v>
      </c>
      <c r="H22" s="819">
        <f>(+COS(($B$144*-1)*3.14159265358979/180)*(H4))</f>
        <v>606.64157585552016</v>
      </c>
      <c r="I22" s="814" t="s">
        <v>179</v>
      </c>
      <c r="J22" s="937" t="s">
        <v>225</v>
      </c>
      <c r="K22" s="938"/>
      <c r="L22" s="938"/>
      <c r="M22" s="938"/>
      <c r="N22" s="22"/>
      <c r="O22" s="883"/>
    </row>
    <row r="23" spans="1:15" ht="20" hidden="1" x14ac:dyDescent="0.2">
      <c r="B23" s="19"/>
      <c r="C23" s="20"/>
      <c r="G23" s="813" t="s">
        <v>214</v>
      </c>
      <c r="H23" s="892">
        <f>+BA143-H22+H7</f>
        <v>-81.224755395100019</v>
      </c>
      <c r="I23" s="824"/>
      <c r="J23" s="816"/>
      <c r="K23" s="816" t="s">
        <v>177</v>
      </c>
      <c r="L23" s="816" t="s">
        <v>178</v>
      </c>
      <c r="M23" s="887"/>
      <c r="N23" s="22"/>
      <c r="O23" s="883"/>
    </row>
    <row r="24" spans="1:15" ht="20" hidden="1" x14ac:dyDescent="0.2">
      <c r="B24" s="19"/>
      <c r="C24" s="20"/>
      <c r="G24" s="890"/>
      <c r="H24" s="22"/>
      <c r="I24" s="22"/>
      <c r="J24" s="818"/>
      <c r="K24" s="818">
        <f>((+H8-H23)/H8*BF49)</f>
        <v>51.288306959047979</v>
      </c>
      <c r="L24" s="818">
        <f>(H23/H8*BF49)</f>
        <v>-16.888306959047981</v>
      </c>
      <c r="M24" s="816" t="s">
        <v>172</v>
      </c>
      <c r="N24" s="22"/>
      <c r="O24" s="883"/>
    </row>
    <row r="25" spans="1:15" ht="20" hidden="1" x14ac:dyDescent="0.2">
      <c r="B25" s="19"/>
      <c r="C25" s="20"/>
      <c r="G25" s="890"/>
      <c r="H25" s="22"/>
      <c r="I25" s="22"/>
      <c r="J25" s="820"/>
      <c r="K25" s="820">
        <f>ABS($H$1/K24)</f>
        <v>113.08620509994819</v>
      </c>
      <c r="L25" s="820">
        <f>ABS($H$1/L24)</f>
        <v>343.43288608291346</v>
      </c>
      <c r="M25" s="821" t="s">
        <v>173</v>
      </c>
      <c r="N25" s="22"/>
      <c r="O25" s="883"/>
    </row>
    <row r="26" spans="1:15" ht="20" hidden="1" x14ac:dyDescent="0.2">
      <c r="B26" s="19"/>
      <c r="C26" s="20"/>
      <c r="G26" s="890"/>
      <c r="H26" s="22"/>
      <c r="I26" s="22"/>
      <c r="J26" s="943"/>
      <c r="K26" s="943"/>
      <c r="L26" s="944">
        <f>ABS($D$8/BF49)</f>
        <v>125</v>
      </c>
      <c r="M26" s="942" t="s">
        <v>226</v>
      </c>
      <c r="N26" s="941" t="s">
        <v>228</v>
      </c>
      <c r="O26" s="883"/>
    </row>
    <row r="27" spans="1:15" ht="19" hidden="1" thickBot="1" x14ac:dyDescent="0.25">
      <c r="B27" s="19"/>
      <c r="C27" s="20"/>
      <c r="G27" s="890"/>
      <c r="H27" s="22"/>
      <c r="I27" s="22"/>
      <c r="J27" s="22"/>
      <c r="K27" s="22"/>
      <c r="L27" s="22"/>
      <c r="M27" s="22"/>
      <c r="N27" s="22"/>
      <c r="O27" s="883"/>
    </row>
    <row r="28" spans="1:15" ht="21" hidden="1" thickBot="1" x14ac:dyDescent="0.25">
      <c r="A28" s="22"/>
      <c r="B28" s="23"/>
      <c r="C28" s="24"/>
      <c r="D28" s="25"/>
      <c r="E28" s="25"/>
      <c r="F28" s="25"/>
      <c r="G28" s="890"/>
      <c r="H28" s="22"/>
      <c r="I28" s="814">
        <v>60</v>
      </c>
      <c r="J28" s="937" t="s">
        <v>181</v>
      </c>
      <c r="K28" s="938"/>
      <c r="L28" s="938"/>
      <c r="M28" s="938"/>
      <c r="N28" s="22"/>
      <c r="O28" s="883"/>
    </row>
    <row r="29" spans="1:15" ht="20" hidden="1" x14ac:dyDescent="0.2">
      <c r="A29" s="22"/>
      <c r="B29" s="23"/>
      <c r="C29" s="24"/>
      <c r="D29" s="25"/>
      <c r="E29" s="25"/>
      <c r="F29" s="25"/>
      <c r="G29" s="890"/>
      <c r="H29" s="22"/>
      <c r="I29" s="22"/>
      <c r="J29" s="816"/>
      <c r="K29" s="816" t="s">
        <v>177</v>
      </c>
      <c r="L29" s="816" t="s">
        <v>178</v>
      </c>
      <c r="M29" s="887"/>
      <c r="N29" s="22"/>
      <c r="O29" s="883"/>
    </row>
    <row r="30" spans="1:15" ht="20" hidden="1" x14ac:dyDescent="0.2">
      <c r="A30" s="22"/>
      <c r="B30" s="26"/>
      <c r="D30" s="27"/>
      <c r="E30" s="25"/>
      <c r="F30" s="27"/>
      <c r="G30" s="826"/>
      <c r="H30" s="26"/>
      <c r="I30" s="22"/>
      <c r="J30" s="818"/>
      <c r="K30" s="818">
        <f>((+H8-H23)/H8*BF49)</f>
        <v>51.288306959047979</v>
      </c>
      <c r="L30" s="818">
        <f>(H23/H8*BF49)</f>
        <v>-16.888306959047981</v>
      </c>
      <c r="M30" s="816" t="s">
        <v>172</v>
      </c>
      <c r="N30" s="22"/>
      <c r="O30" s="883"/>
    </row>
    <row r="31" spans="1:15" ht="20" hidden="1" x14ac:dyDescent="0.2">
      <c r="A31" s="22"/>
      <c r="B31" s="8"/>
      <c r="C31" s="28"/>
      <c r="D31" s="29"/>
      <c r="E31" s="8"/>
      <c r="F31" s="25"/>
      <c r="G31" s="826"/>
      <c r="H31" s="26"/>
      <c r="I31" s="22"/>
      <c r="J31" s="820"/>
      <c r="K31" s="820">
        <f>ABS($H$1/K30)</f>
        <v>113.08620509994819</v>
      </c>
      <c r="L31" s="820">
        <f>ABS($H$1/L30)</f>
        <v>343.43288608291346</v>
      </c>
      <c r="M31" s="821" t="s">
        <v>173</v>
      </c>
      <c r="N31" s="22"/>
      <c r="O31" s="883"/>
    </row>
    <row r="32" spans="1:15" ht="30" hidden="1" x14ac:dyDescent="0.3">
      <c r="A32" s="22"/>
      <c r="B32" s="30"/>
      <c r="D32" s="25"/>
      <c r="E32" s="31"/>
      <c r="F32" s="25"/>
      <c r="G32" s="826"/>
      <c r="H32" s="26"/>
      <c r="I32" s="22"/>
      <c r="J32" s="944"/>
      <c r="K32" s="944"/>
      <c r="L32" s="944">
        <f>ABS($D$8/BF49)*2</f>
        <v>250</v>
      </c>
      <c r="M32" s="942" t="s">
        <v>226</v>
      </c>
      <c r="N32" s="946" t="s">
        <v>229</v>
      </c>
      <c r="O32" s="883"/>
    </row>
    <row r="33" spans="1:117" ht="19" hidden="1" thickBot="1" x14ac:dyDescent="0.25">
      <c r="A33" s="22"/>
      <c r="B33" s="987"/>
      <c r="C33" s="988"/>
      <c r="D33" s="988"/>
      <c r="E33" s="988"/>
      <c r="F33" s="25"/>
      <c r="G33" s="826"/>
      <c r="H33" s="26"/>
      <c r="I33" s="22"/>
      <c r="J33" s="22"/>
      <c r="K33" s="22"/>
      <c r="L33" s="22"/>
      <c r="M33" s="22"/>
      <c r="N33" s="22"/>
      <c r="O33" s="883"/>
    </row>
    <row r="34" spans="1:117" ht="21" hidden="1" thickBot="1" x14ac:dyDescent="0.25">
      <c r="A34" s="22"/>
      <c r="D34" s="15"/>
      <c r="E34" s="15"/>
      <c r="F34" s="25"/>
      <c r="G34" s="826"/>
      <c r="H34" s="26"/>
      <c r="I34" s="814">
        <v>61</v>
      </c>
      <c r="J34" s="937" t="s">
        <v>182</v>
      </c>
      <c r="K34" s="938"/>
      <c r="L34" s="938"/>
      <c r="M34" s="938"/>
      <c r="N34" s="22"/>
      <c r="O34" s="883"/>
    </row>
    <row r="35" spans="1:117" ht="21" hidden="1" thickBot="1" x14ac:dyDescent="0.25">
      <c r="A35" s="22"/>
      <c r="D35" s="15"/>
      <c r="E35" s="15"/>
      <c r="F35" s="25"/>
      <c r="G35" s="826"/>
      <c r="H35" s="26"/>
      <c r="I35" s="22"/>
      <c r="J35" s="816" t="s">
        <v>169</v>
      </c>
      <c r="K35" s="816" t="s">
        <v>170</v>
      </c>
      <c r="L35" s="816"/>
      <c r="M35" s="887"/>
      <c r="N35" s="22"/>
      <c r="O35" s="883"/>
    </row>
    <row r="36" spans="1:117" ht="20" hidden="1" x14ac:dyDescent="0.2">
      <c r="A36" s="22"/>
      <c r="D36" s="15"/>
      <c r="E36" s="15"/>
      <c r="F36" s="25"/>
      <c r="G36" s="826"/>
      <c r="H36" s="26"/>
      <c r="I36" s="22"/>
      <c r="J36" s="818">
        <f>+H16/H8*BF49</f>
        <v>-6.0450263742853583</v>
      </c>
      <c r="K36" s="818">
        <f>((H8-H16)/H8)*BF49</f>
        <v>40.445026374285362</v>
      </c>
      <c r="L36" s="818"/>
      <c r="M36" s="816" t="s">
        <v>172</v>
      </c>
      <c r="N36" s="22"/>
      <c r="O36" s="883"/>
      <c r="DF36" s="560"/>
      <c r="DG36" s="561"/>
      <c r="DH36" s="562" t="s">
        <v>79</v>
      </c>
      <c r="DI36" s="561"/>
      <c r="DJ36" s="561"/>
      <c r="DK36" s="561"/>
      <c r="DL36" s="561"/>
      <c r="DM36" s="563"/>
    </row>
    <row r="37" spans="1:117" ht="22" hidden="1" x14ac:dyDescent="0.3">
      <c r="A37" s="22"/>
      <c r="B37" s="32"/>
      <c r="C37" s="33"/>
      <c r="D37" s="32"/>
      <c r="E37" s="32"/>
      <c r="F37" s="25"/>
      <c r="G37" s="826"/>
      <c r="H37" s="26"/>
      <c r="I37" s="22"/>
      <c r="J37" s="820">
        <f>ABS($H$1/J36)</f>
        <v>959.46645074574633</v>
      </c>
      <c r="K37" s="820">
        <f>ABS($H$1/K36)</f>
        <v>143.40453004841149</v>
      </c>
      <c r="L37" s="820"/>
      <c r="M37" s="821" t="s">
        <v>173</v>
      </c>
      <c r="N37" s="22"/>
      <c r="O37" s="883"/>
      <c r="DF37" s="564">
        <v>1</v>
      </c>
      <c r="DG37" s="528">
        <v>-308</v>
      </c>
      <c r="DH37" s="217">
        <f>+COS(($B$144*-1)*3.14159265358979/180)*DG37</f>
        <v>-303.32078792776008</v>
      </c>
      <c r="DI37" s="218">
        <f t="shared" ref="DI37:DI77" si="0">+DH37-D$3</f>
        <v>-514.99792980040434</v>
      </c>
      <c r="DJ37" s="219">
        <f t="shared" ref="DJ37:DJ77" si="1">ABS(DI37)</f>
        <v>514.99792980040434</v>
      </c>
      <c r="DK37" s="220">
        <f>MIN(DJ37:DJ77)</f>
        <v>8.9197948020905073</v>
      </c>
      <c r="DL37" s="219" t="b">
        <f t="shared" ref="DL37:DL77" si="2">IF(DK37=DJ37,DF37)</f>
        <v>0</v>
      </c>
      <c r="DM37" s="565">
        <v>1</v>
      </c>
    </row>
    <row r="38" spans="1:117" ht="22" hidden="1" x14ac:dyDescent="0.3">
      <c r="A38" s="22"/>
      <c r="B38" s="32"/>
      <c r="C38" s="33"/>
      <c r="D38" s="32"/>
      <c r="E38" s="32"/>
      <c r="F38" s="25"/>
      <c r="G38" s="826"/>
      <c r="H38" s="26"/>
      <c r="I38" s="22"/>
      <c r="J38" s="944">
        <f>ABS($D$8/BF49)*2</f>
        <v>250</v>
      </c>
      <c r="K38" s="944"/>
      <c r="L38" s="944"/>
      <c r="M38" s="942" t="s">
        <v>226</v>
      </c>
      <c r="N38" s="946" t="s">
        <v>229</v>
      </c>
      <c r="O38" s="883"/>
      <c r="DF38" s="564">
        <v>2</v>
      </c>
      <c r="DG38" s="528">
        <f>+DG37+28</f>
        <v>-280</v>
      </c>
      <c r="DH38" s="18">
        <f>+DH37+$E$2</f>
        <v>-275.74617084341827</v>
      </c>
      <c r="DI38" s="218">
        <f t="shared" si="0"/>
        <v>-487.42331271606247</v>
      </c>
      <c r="DJ38" s="219">
        <f t="shared" si="1"/>
        <v>487.42331271606247</v>
      </c>
      <c r="DK38" s="219">
        <f>+DK37</f>
        <v>8.9197948020905073</v>
      </c>
      <c r="DL38" s="219" t="b">
        <f t="shared" si="2"/>
        <v>0</v>
      </c>
      <c r="DM38" s="565">
        <v>2</v>
      </c>
    </row>
    <row r="39" spans="1:117" ht="21" hidden="1" thickBot="1" x14ac:dyDescent="0.35">
      <c r="A39" s="22"/>
      <c r="B39" s="34"/>
      <c r="C39" s="33"/>
      <c r="D39" s="34"/>
      <c r="E39" s="35"/>
      <c r="F39" s="25"/>
      <c r="G39" s="890"/>
      <c r="H39" s="22"/>
      <c r="I39" s="22"/>
      <c r="J39" s="22"/>
      <c r="K39" s="22"/>
      <c r="L39" s="22"/>
      <c r="M39" s="22"/>
      <c r="N39" s="22"/>
      <c r="O39" s="883"/>
      <c r="DF39" s="564">
        <v>3</v>
      </c>
      <c r="DG39" s="528">
        <f t="shared" ref="DG39:DG77" si="3">+DG38+28</f>
        <v>-252</v>
      </c>
      <c r="DH39" s="18">
        <f t="shared" ref="DH39:DH77" si="4">+DH38+$E$2</f>
        <v>-248.17155375907643</v>
      </c>
      <c r="DI39" s="218">
        <f t="shared" si="0"/>
        <v>-459.8486956317206</v>
      </c>
      <c r="DJ39" s="219">
        <f t="shared" si="1"/>
        <v>459.8486956317206</v>
      </c>
      <c r="DK39" s="219">
        <f t="shared" ref="DK39:DK77" si="5">+DK38</f>
        <v>8.9197948020905073</v>
      </c>
      <c r="DL39" s="219" t="b">
        <f t="shared" si="2"/>
        <v>0</v>
      </c>
      <c r="DM39" s="565">
        <v>3</v>
      </c>
    </row>
    <row r="40" spans="1:117" ht="25" hidden="1" thickBot="1" x14ac:dyDescent="0.35">
      <c r="A40" s="22"/>
      <c r="B40" s="32"/>
      <c r="C40" s="33"/>
      <c r="D40" s="32"/>
      <c r="E40" s="9"/>
      <c r="F40" s="25"/>
      <c r="G40" s="890"/>
      <c r="H40" s="827" t="s">
        <v>183</v>
      </c>
      <c r="I40" s="814">
        <v>62</v>
      </c>
      <c r="J40" s="937" t="s">
        <v>184</v>
      </c>
      <c r="K40" s="938"/>
      <c r="L40" s="938"/>
      <c r="M40" s="938"/>
      <c r="N40" s="22"/>
      <c r="O40" s="883"/>
      <c r="DF40" s="564">
        <v>4</v>
      </c>
      <c r="DG40" s="528">
        <f t="shared" si="3"/>
        <v>-224</v>
      </c>
      <c r="DH40" s="18">
        <f t="shared" si="4"/>
        <v>-220.59693667473459</v>
      </c>
      <c r="DI40" s="218">
        <f t="shared" si="0"/>
        <v>-432.27407854737879</v>
      </c>
      <c r="DJ40" s="219">
        <f t="shared" si="1"/>
        <v>432.27407854737879</v>
      </c>
      <c r="DK40" s="219">
        <f t="shared" si="5"/>
        <v>8.9197948020905073</v>
      </c>
      <c r="DL40" s="219" t="b">
        <f t="shared" si="2"/>
        <v>0</v>
      </c>
      <c r="DM40" s="565">
        <v>4</v>
      </c>
    </row>
    <row r="41" spans="1:117" ht="22" hidden="1" x14ac:dyDescent="0.3">
      <c r="A41" s="22"/>
      <c r="B41" s="23"/>
      <c r="C41" s="24"/>
      <c r="D41" s="25"/>
      <c r="E41" s="25"/>
      <c r="F41" s="25"/>
      <c r="G41" s="890"/>
      <c r="H41" s="828" t="s">
        <v>185</v>
      </c>
      <c r="I41" s="22"/>
      <c r="J41" s="816" t="s">
        <v>169</v>
      </c>
      <c r="K41" s="816" t="s">
        <v>170</v>
      </c>
      <c r="L41" s="817" t="s">
        <v>186</v>
      </c>
      <c r="M41" s="887"/>
      <c r="N41" s="22"/>
      <c r="O41" s="883"/>
      <c r="DF41" s="564">
        <v>5</v>
      </c>
      <c r="DG41" s="528">
        <f t="shared" si="3"/>
        <v>-196</v>
      </c>
      <c r="DH41" s="18">
        <f t="shared" si="4"/>
        <v>-193.02231959039275</v>
      </c>
      <c r="DI41" s="218">
        <f t="shared" si="0"/>
        <v>-404.69946146303698</v>
      </c>
      <c r="DJ41" s="219">
        <f t="shared" si="1"/>
        <v>404.69946146303698</v>
      </c>
      <c r="DK41" s="219">
        <f t="shared" si="5"/>
        <v>8.9197948020905073</v>
      </c>
      <c r="DL41" s="219" t="b">
        <f t="shared" si="2"/>
        <v>0</v>
      </c>
      <c r="DM41" s="565">
        <v>5</v>
      </c>
    </row>
    <row r="42" spans="1:117" ht="24" hidden="1" x14ac:dyDescent="0.3">
      <c r="A42" s="22"/>
      <c r="B42" s="23"/>
      <c r="C42" s="24"/>
      <c r="D42" s="25"/>
      <c r="E42" s="25"/>
      <c r="F42" s="25"/>
      <c r="G42" s="829" t="s">
        <v>187</v>
      </c>
      <c r="H42" s="894">
        <f>SUM(BF135:BQ135)</f>
        <v>12</v>
      </c>
      <c r="I42" s="22"/>
      <c r="J42" s="818">
        <f>+H43/H8*BF49/2</f>
        <v>20.862679839971104</v>
      </c>
      <c r="K42" s="818">
        <f>((H8-H43)/H8)*BF49/2</f>
        <v>-3.6626798399711058</v>
      </c>
      <c r="L42" s="818">
        <f>+BF49/2</f>
        <v>17.2</v>
      </c>
      <c r="M42" s="816" t="s">
        <v>172</v>
      </c>
      <c r="N42" s="22"/>
      <c r="O42" s="883"/>
      <c r="DF42" s="564">
        <v>6</v>
      </c>
      <c r="DG42" s="528">
        <f t="shared" si="3"/>
        <v>-168</v>
      </c>
      <c r="DH42" s="18">
        <f t="shared" si="4"/>
        <v>-165.44770250605092</v>
      </c>
      <c r="DI42" s="218">
        <f t="shared" si="0"/>
        <v>-377.12484437869512</v>
      </c>
      <c r="DJ42" s="219">
        <f t="shared" si="1"/>
        <v>377.12484437869512</v>
      </c>
      <c r="DK42" s="219">
        <f t="shared" si="5"/>
        <v>8.9197948020905073</v>
      </c>
      <c r="DL42" s="219" t="b">
        <f t="shared" si="2"/>
        <v>0</v>
      </c>
      <c r="DM42" s="565">
        <v>6</v>
      </c>
    </row>
    <row r="43" spans="1:117" ht="22" hidden="1" x14ac:dyDescent="0.3">
      <c r="A43" s="22"/>
      <c r="B43" s="23"/>
      <c r="C43" s="24"/>
      <c r="D43" s="25"/>
      <c r="E43" s="25"/>
      <c r="F43" s="25"/>
      <c r="G43" s="813" t="s">
        <v>215</v>
      </c>
      <c r="H43" s="819">
        <f>$H$5-((H42-1)*$E$2)</f>
        <v>200.67921207223992</v>
      </c>
      <c r="I43" s="22"/>
      <c r="J43" s="820">
        <f>ABS($H$1/J42)</f>
        <v>278.0083883992553</v>
      </c>
      <c r="K43" s="820">
        <f>ABS($H$1/K42)</f>
        <v>1583.5399907751028</v>
      </c>
      <c r="L43" s="820">
        <f>ABS($H$1/L42)</f>
        <v>337.2093023255814</v>
      </c>
      <c r="M43" s="821" t="s">
        <v>173</v>
      </c>
      <c r="N43" s="22"/>
      <c r="O43" s="883"/>
      <c r="DF43" s="564">
        <v>7</v>
      </c>
      <c r="DG43" s="528">
        <f t="shared" si="3"/>
        <v>-140</v>
      </c>
      <c r="DH43" s="18">
        <f t="shared" si="4"/>
        <v>-137.87308542170908</v>
      </c>
      <c r="DI43" s="218">
        <f t="shared" si="0"/>
        <v>-349.55022729435325</v>
      </c>
      <c r="DJ43" s="219">
        <f t="shared" si="1"/>
        <v>349.55022729435325</v>
      </c>
      <c r="DK43" s="219">
        <f t="shared" si="5"/>
        <v>8.9197948020905073</v>
      </c>
      <c r="DL43" s="219" t="b">
        <f t="shared" si="2"/>
        <v>0</v>
      </c>
      <c r="DM43" s="565">
        <v>7</v>
      </c>
    </row>
    <row r="44" spans="1:117" ht="22" hidden="1" x14ac:dyDescent="0.3">
      <c r="A44" s="22"/>
      <c r="B44" s="23"/>
      <c r="C44" s="24"/>
      <c r="D44" s="25"/>
      <c r="E44" s="25"/>
      <c r="F44" s="25"/>
      <c r="G44" s="826"/>
      <c r="H44" s="26"/>
      <c r="I44" s="22"/>
      <c r="J44" s="944"/>
      <c r="K44" s="944"/>
      <c r="L44" s="944">
        <f>ABS($D$8/BF49)*2</f>
        <v>250</v>
      </c>
      <c r="M44" s="942" t="s">
        <v>226</v>
      </c>
      <c r="N44" s="946" t="s">
        <v>229</v>
      </c>
      <c r="O44" s="883"/>
      <c r="DF44" s="564">
        <v>8</v>
      </c>
      <c r="DG44" s="528">
        <f t="shared" si="3"/>
        <v>-112</v>
      </c>
      <c r="DH44" s="18">
        <f t="shared" si="4"/>
        <v>-110.29846833736725</v>
      </c>
      <c r="DI44" s="218">
        <f t="shared" si="0"/>
        <v>-321.97561021001144</v>
      </c>
      <c r="DJ44" s="219">
        <f t="shared" si="1"/>
        <v>321.97561021001144</v>
      </c>
      <c r="DK44" s="219">
        <f t="shared" si="5"/>
        <v>8.9197948020905073</v>
      </c>
      <c r="DL44" s="219" t="b">
        <f t="shared" si="2"/>
        <v>0</v>
      </c>
      <c r="DM44" s="565">
        <v>8</v>
      </c>
    </row>
    <row r="45" spans="1:117" ht="23" hidden="1" thickBot="1" x14ac:dyDescent="0.35">
      <c r="A45" s="22"/>
      <c r="B45" s="23"/>
      <c r="C45" s="24"/>
      <c r="D45" s="25"/>
      <c r="E45" s="25"/>
      <c r="F45" s="25"/>
      <c r="G45" s="890"/>
      <c r="H45" s="830" t="s">
        <v>188</v>
      </c>
      <c r="I45" s="22"/>
      <c r="J45" s="22"/>
      <c r="K45" s="22"/>
      <c r="L45" s="22"/>
      <c r="M45" s="22"/>
      <c r="N45" s="22"/>
      <c r="O45" s="883"/>
      <c r="DF45" s="564">
        <v>9</v>
      </c>
      <c r="DG45" s="528">
        <f t="shared" si="3"/>
        <v>-84</v>
      </c>
      <c r="DH45" s="18">
        <f t="shared" si="4"/>
        <v>-82.72385125302543</v>
      </c>
      <c r="DI45" s="218">
        <f t="shared" si="0"/>
        <v>-294.40099312566963</v>
      </c>
      <c r="DJ45" s="219">
        <f t="shared" si="1"/>
        <v>294.40099312566963</v>
      </c>
      <c r="DK45" s="219">
        <f t="shared" si="5"/>
        <v>8.9197948020905073</v>
      </c>
      <c r="DL45" s="219" t="b">
        <f t="shared" si="2"/>
        <v>0</v>
      </c>
      <c r="DM45" s="565">
        <v>9</v>
      </c>
    </row>
    <row r="46" spans="1:117" ht="23" hidden="1" thickBot="1" x14ac:dyDescent="0.35">
      <c r="A46" s="22"/>
      <c r="B46" s="23"/>
      <c r="C46" s="24"/>
      <c r="D46" s="25"/>
      <c r="E46" s="25"/>
      <c r="F46" s="25"/>
      <c r="G46" s="895"/>
      <c r="H46" s="831" t="s">
        <v>185</v>
      </c>
      <c r="I46" s="814">
        <v>63</v>
      </c>
      <c r="J46" s="937" t="s">
        <v>189</v>
      </c>
      <c r="K46" s="938"/>
      <c r="L46" s="938"/>
      <c r="M46" s="938"/>
      <c r="N46" s="22"/>
      <c r="O46" s="883"/>
      <c r="DF46" s="564">
        <v>10</v>
      </c>
      <c r="DG46" s="528">
        <f t="shared" si="3"/>
        <v>-56</v>
      </c>
      <c r="DH46" s="18">
        <f t="shared" si="4"/>
        <v>-55.149234168683606</v>
      </c>
      <c r="DI46" s="218">
        <f t="shared" si="0"/>
        <v>-266.82637604132782</v>
      </c>
      <c r="DJ46" s="219">
        <f t="shared" si="1"/>
        <v>266.82637604132782</v>
      </c>
      <c r="DK46" s="219">
        <f t="shared" si="5"/>
        <v>8.9197948020905073</v>
      </c>
      <c r="DL46" s="219" t="b">
        <f t="shared" si="2"/>
        <v>0</v>
      </c>
      <c r="DM46" s="565">
        <v>10</v>
      </c>
    </row>
    <row r="47" spans="1:117" ht="24" hidden="1" x14ac:dyDescent="0.3">
      <c r="A47" s="22"/>
      <c r="D47" s="25"/>
      <c r="E47" s="25"/>
      <c r="F47" s="25"/>
      <c r="G47" s="829" t="s">
        <v>187</v>
      </c>
      <c r="H47" s="896">
        <f>SUM(CI135:CT135)</f>
        <v>0</v>
      </c>
      <c r="I47" s="22"/>
      <c r="J47" s="817" t="s">
        <v>190</v>
      </c>
      <c r="K47" s="816" t="s">
        <v>177</v>
      </c>
      <c r="L47" s="816" t="s">
        <v>178</v>
      </c>
      <c r="M47" s="887"/>
      <c r="N47" s="22"/>
      <c r="O47" s="883"/>
      <c r="DF47" s="564">
        <v>11</v>
      </c>
      <c r="DG47" s="528">
        <f t="shared" si="3"/>
        <v>-28</v>
      </c>
      <c r="DH47" s="18">
        <f t="shared" si="4"/>
        <v>-27.574617084341778</v>
      </c>
      <c r="DI47" s="218">
        <f t="shared" si="0"/>
        <v>-239.25175895698598</v>
      </c>
      <c r="DJ47" s="219">
        <f t="shared" si="1"/>
        <v>239.25175895698598</v>
      </c>
      <c r="DK47" s="219">
        <f t="shared" si="5"/>
        <v>8.9197948020905073</v>
      </c>
      <c r="DL47" s="219" t="b">
        <f t="shared" si="2"/>
        <v>0</v>
      </c>
      <c r="DM47" s="565">
        <v>11</v>
      </c>
    </row>
    <row r="48" spans="1:117" ht="22" hidden="1" x14ac:dyDescent="0.3">
      <c r="A48" s="22"/>
      <c r="D48" s="25"/>
      <c r="E48" s="25"/>
      <c r="F48" s="25"/>
      <c r="G48" s="813" t="s">
        <v>216</v>
      </c>
      <c r="H48" s="819">
        <f>($E$2*(H47-1))-$H$4</f>
        <v>-643.57461708434187</v>
      </c>
      <c r="I48" s="22"/>
      <c r="J48" s="818">
        <f>+BF49/2</f>
        <v>17.2</v>
      </c>
      <c r="K48" s="818">
        <f>((H8-H48)/H8)*BF49/2</f>
        <v>84.106238322927652</v>
      </c>
      <c r="L48" s="818">
        <f>+H48/H8*BF49/2</f>
        <v>-66.906238322927649</v>
      </c>
      <c r="M48" s="816" t="s">
        <v>172</v>
      </c>
      <c r="N48" s="22"/>
      <c r="O48" s="883"/>
      <c r="DF48" s="564">
        <v>12</v>
      </c>
      <c r="DG48" s="528">
        <f t="shared" si="3"/>
        <v>0</v>
      </c>
      <c r="DH48" s="18">
        <f t="shared" si="4"/>
        <v>4.9737991503207013E-14</v>
      </c>
      <c r="DI48" s="218">
        <f t="shared" si="0"/>
        <v>-211.67714187264414</v>
      </c>
      <c r="DJ48" s="219">
        <f t="shared" si="1"/>
        <v>211.67714187264414</v>
      </c>
      <c r="DK48" s="219">
        <f t="shared" si="5"/>
        <v>8.9197948020905073</v>
      </c>
      <c r="DL48" s="219" t="b">
        <f t="shared" si="2"/>
        <v>0</v>
      </c>
      <c r="DM48" s="565">
        <v>12</v>
      </c>
    </row>
    <row r="49" spans="1:117" s="37" customFormat="1" ht="36" customHeight="1" thickBot="1" x14ac:dyDescent="0.35">
      <c r="A49" s="27"/>
      <c r="B49" s="36"/>
      <c r="C49" s="36"/>
      <c r="D49" s="26"/>
      <c r="E49" s="26"/>
      <c r="F49" s="26"/>
      <c r="G49" s="890"/>
      <c r="H49" s="22"/>
      <c r="I49" s="22"/>
      <c r="J49" s="820">
        <f>ABS($H$1/J48)</f>
        <v>337.2093023255814</v>
      </c>
      <c r="K49" s="820">
        <f>ABS($H$1/K48)</f>
        <v>68.960401935118995</v>
      </c>
      <c r="L49" s="820">
        <f>ABS($H$1/L48)</f>
        <v>86.688478464532608</v>
      </c>
      <c r="M49" s="821" t="s">
        <v>173</v>
      </c>
      <c r="N49" s="27"/>
      <c r="O49" s="832"/>
      <c r="AX49"/>
      <c r="AY49"/>
      <c r="AZ49"/>
      <c r="BA49"/>
      <c r="BB49"/>
      <c r="BC49"/>
      <c r="BD49" s="27"/>
      <c r="BE49" s="961" t="s">
        <v>25</v>
      </c>
      <c r="BF49" s="995">
        <f>+C12</f>
        <v>34.4</v>
      </c>
      <c r="BG49" s="995"/>
      <c r="BH49" s="139" t="s">
        <v>17</v>
      </c>
      <c r="BI49" s="139"/>
      <c r="BJ49" s="962" t="s">
        <v>111</v>
      </c>
      <c r="BK49" s="963"/>
      <c r="BL49" s="963"/>
      <c r="BM49" s="963"/>
      <c r="BN49" s="963"/>
      <c r="BO49" s="963"/>
      <c r="BP49" s="963"/>
      <c r="BQ49" s="963"/>
      <c r="BR49" s="963"/>
      <c r="BS49" s="963"/>
      <c r="BT49" s="963"/>
      <c r="BU49" s="963"/>
      <c r="BV49" s="963"/>
      <c r="BW49" s="963"/>
      <c r="BX49" s="963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DF49" s="564">
        <v>13</v>
      </c>
      <c r="DG49" s="528">
        <f t="shared" si="3"/>
        <v>28</v>
      </c>
      <c r="DH49" s="18">
        <f t="shared" si="4"/>
        <v>27.574617084341877</v>
      </c>
      <c r="DI49" s="218">
        <f t="shared" si="0"/>
        <v>-184.10252478830233</v>
      </c>
      <c r="DJ49" s="219">
        <f t="shared" si="1"/>
        <v>184.10252478830233</v>
      </c>
      <c r="DK49" s="219">
        <f t="shared" si="5"/>
        <v>8.9197948020905073</v>
      </c>
      <c r="DL49" s="219" t="b">
        <f t="shared" si="2"/>
        <v>0</v>
      </c>
      <c r="DM49" s="565">
        <v>13</v>
      </c>
    </row>
    <row r="50" spans="1:117" ht="43.5" customHeight="1" thickBot="1" x14ac:dyDescent="0.35">
      <c r="A50" s="22"/>
      <c r="D50" s="25"/>
      <c r="E50" s="25"/>
      <c r="F50" s="25"/>
      <c r="G50" s="890"/>
      <c r="H50" s="22"/>
      <c r="I50" s="22"/>
      <c r="J50" s="944">
        <f>ABS($D$8/BF49)*2</f>
        <v>250</v>
      </c>
      <c r="K50" s="944"/>
      <c r="L50" s="944"/>
      <c r="M50" s="942" t="s">
        <v>226</v>
      </c>
      <c r="N50" s="946" t="s">
        <v>229</v>
      </c>
      <c r="O50" s="883"/>
      <c r="AS50" s="41"/>
      <c r="AT50" s="42"/>
      <c r="AU50" s="42"/>
      <c r="AV50" s="42"/>
      <c r="AW50" s="42"/>
      <c r="BB50" s="855" t="b">
        <f>AND(BF51&gt;0,CI51&gt;0)</f>
        <v>1</v>
      </c>
      <c r="BC50" s="43" t="str">
        <f>IF(BB50=TRUE,"","negative force at the motor")</f>
        <v/>
      </c>
      <c r="BD50" s="876" t="s">
        <v>110</v>
      </c>
      <c r="BE50" s="776" t="s">
        <v>27</v>
      </c>
      <c r="BF50" s="775" t="s">
        <v>28</v>
      </c>
      <c r="BG50" s="534"/>
      <c r="BH50" s="535"/>
      <c r="BI50" s="535"/>
      <c r="BJ50" s="535"/>
      <c r="BK50" s="535"/>
      <c r="BL50" s="535"/>
      <c r="BM50" s="535"/>
      <c r="BN50" s="535"/>
      <c r="BO50" s="535"/>
      <c r="BP50" s="535"/>
      <c r="BQ50" s="535"/>
      <c r="BR50" s="535"/>
      <c r="BS50" s="535"/>
      <c r="BT50" s="535"/>
      <c r="BU50" s="535"/>
      <c r="BV50" s="535"/>
      <c r="BW50" s="535"/>
      <c r="BX50" s="536"/>
      <c r="BY50" s="537"/>
      <c r="BZ50" s="538"/>
      <c r="CA50" s="538"/>
      <c r="CB50" s="538"/>
      <c r="CC50" s="538"/>
      <c r="CD50" s="538"/>
      <c r="CE50" s="538"/>
      <c r="CF50" s="538"/>
      <c r="CG50" s="538"/>
      <c r="CH50" s="538"/>
      <c r="CI50" s="534"/>
      <c r="CJ50" s="539" t="s">
        <v>29</v>
      </c>
      <c r="CK50" s="529"/>
      <c r="CL50" s="529"/>
      <c r="CM50" s="529"/>
      <c r="CN50" s="529"/>
      <c r="CO50" s="529"/>
      <c r="CP50" s="529"/>
      <c r="CQ50" s="529"/>
      <c r="CR50" s="529"/>
      <c r="CS50" s="529"/>
      <c r="CT50" s="530"/>
      <c r="DF50" s="564">
        <v>14</v>
      </c>
      <c r="DG50" s="528">
        <f t="shared" si="3"/>
        <v>56</v>
      </c>
      <c r="DH50" s="18">
        <f t="shared" si="4"/>
        <v>55.149234168683705</v>
      </c>
      <c r="DI50" s="218">
        <f t="shared" si="0"/>
        <v>-156.52790770396049</v>
      </c>
      <c r="DJ50" s="219">
        <f t="shared" si="1"/>
        <v>156.52790770396049</v>
      </c>
      <c r="DK50" s="219">
        <f t="shared" si="5"/>
        <v>8.9197948020905073</v>
      </c>
      <c r="DL50" s="219" t="b">
        <f t="shared" si="2"/>
        <v>0</v>
      </c>
      <c r="DM50" s="565">
        <v>14</v>
      </c>
    </row>
    <row r="51" spans="1:117" ht="43.5" customHeight="1" thickBot="1" x14ac:dyDescent="0.35">
      <c r="A51" s="22"/>
      <c r="D51" s="25"/>
      <c r="E51" s="25"/>
      <c r="F51" s="25"/>
      <c r="G51" s="890"/>
      <c r="H51" s="22"/>
      <c r="I51" s="22"/>
      <c r="J51" s="22"/>
      <c r="K51" s="22"/>
      <c r="L51" s="22"/>
      <c r="M51" s="22"/>
      <c r="N51" s="22"/>
      <c r="O51" s="883"/>
      <c r="AR51" s="996"/>
      <c r="AS51" s="996"/>
      <c r="AT51" s="42"/>
      <c r="AU51" s="42"/>
      <c r="AV51" s="42"/>
      <c r="AW51" s="42"/>
      <c r="BA51" s="667">
        <v>1</v>
      </c>
      <c r="BB51" s="855" t="b">
        <f>AND(BD51&gt;=10,$AN$150&gt;=10,$AO$150&gt;=10)</f>
        <v>1</v>
      </c>
      <c r="BC51" s="45" t="str">
        <f>IF(BB51=TRUE,"O K","OVERLOAD")</f>
        <v>O K</v>
      </c>
      <c r="BD51" s="934">
        <f>+MIN(J7:L8)</f>
        <v>165.31273499830635</v>
      </c>
      <c r="BE51" s="777" t="s">
        <v>112</v>
      </c>
      <c r="BF51" s="991">
        <f>+((D4-D5)/D4)*C12</f>
        <v>11.454559256763179</v>
      </c>
      <c r="BG51" s="991"/>
      <c r="BH51" s="540"/>
      <c r="BI51" s="540"/>
      <c r="BJ51" s="540"/>
      <c r="BK51" s="541"/>
      <c r="BL51" s="541"/>
      <c r="BM51" s="541"/>
      <c r="BN51" s="542"/>
      <c r="BO51" s="542"/>
      <c r="BP51" s="542"/>
      <c r="BQ51" s="542"/>
      <c r="BR51" s="542"/>
      <c r="BS51" s="542"/>
      <c r="BT51" s="542"/>
      <c r="BU51" s="542"/>
      <c r="BV51" s="542"/>
      <c r="BW51" s="542"/>
      <c r="BX51" s="543"/>
      <c r="BY51" s="540"/>
      <c r="BZ51" s="540"/>
      <c r="CA51" s="540"/>
      <c r="CB51" s="541"/>
      <c r="CC51" s="541"/>
      <c r="CD51" s="541"/>
      <c r="CE51" s="541"/>
      <c r="CF51" s="541"/>
      <c r="CG51" s="541"/>
      <c r="CH51" s="541"/>
      <c r="CI51" s="975">
        <f>+(D5/D4)*C12</f>
        <v>22.945440743236819</v>
      </c>
      <c r="CJ51" s="976"/>
      <c r="CK51" s="531"/>
      <c r="CL51" s="531"/>
      <c r="CM51" s="531"/>
      <c r="CN51" s="531"/>
      <c r="CO51" s="531"/>
      <c r="CP51" s="531"/>
      <c r="CQ51" s="531"/>
      <c r="CR51" s="531"/>
      <c r="CS51" s="531"/>
      <c r="CT51" s="532"/>
      <c r="DF51" s="564">
        <v>15</v>
      </c>
      <c r="DG51" s="528">
        <f t="shared" si="3"/>
        <v>84</v>
      </c>
      <c r="DH51" s="18">
        <f t="shared" si="4"/>
        <v>82.723851253025529</v>
      </c>
      <c r="DI51" s="218">
        <f t="shared" si="0"/>
        <v>-128.95329061961866</v>
      </c>
      <c r="DJ51" s="219">
        <f t="shared" si="1"/>
        <v>128.95329061961866</v>
      </c>
      <c r="DK51" s="219">
        <f t="shared" si="5"/>
        <v>8.9197948020905073</v>
      </c>
      <c r="DL51" s="219" t="b">
        <f t="shared" si="2"/>
        <v>0</v>
      </c>
      <c r="DM51" s="565">
        <v>15</v>
      </c>
    </row>
    <row r="52" spans="1:117" ht="18" customHeight="1" thickBot="1" x14ac:dyDescent="0.35">
      <c r="G52" s="890"/>
      <c r="H52" s="22"/>
      <c r="I52" s="814">
        <v>64</v>
      </c>
      <c r="J52" s="937" t="s">
        <v>191</v>
      </c>
      <c r="K52" s="938"/>
      <c r="L52" s="938"/>
      <c r="M52" s="938"/>
      <c r="N52" s="22"/>
      <c r="O52" s="883"/>
      <c r="AR52" s="46"/>
      <c r="AS52" s="46"/>
      <c r="AT52" s="42"/>
      <c r="AU52" s="42"/>
      <c r="AV52" s="42"/>
      <c r="AW52" s="42"/>
      <c r="BB52" s="855"/>
      <c r="BC52" s="47"/>
      <c r="BD52" s="929"/>
      <c r="BE52" s="48"/>
      <c r="BF52" s="49"/>
      <c r="BG52" s="49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Y52" s="38"/>
      <c r="BZ52" s="38"/>
      <c r="CA52" s="49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50"/>
      <c r="CM52" s="50"/>
      <c r="CN52" s="50"/>
      <c r="CO52" s="50"/>
      <c r="CP52" s="50"/>
      <c r="CQ52" s="50"/>
      <c r="CR52" s="40"/>
      <c r="CS52" s="40"/>
      <c r="CT52" s="40"/>
      <c r="DF52" s="564">
        <v>16</v>
      </c>
      <c r="DG52" s="528">
        <f t="shared" si="3"/>
        <v>112</v>
      </c>
      <c r="DH52" s="18">
        <f t="shared" si="4"/>
        <v>110.29846833736735</v>
      </c>
      <c r="DI52" s="218">
        <f t="shared" si="0"/>
        <v>-101.37867353527685</v>
      </c>
      <c r="DJ52" s="219">
        <f t="shared" si="1"/>
        <v>101.37867353527685</v>
      </c>
      <c r="DK52" s="219">
        <f t="shared" si="5"/>
        <v>8.9197948020905073</v>
      </c>
      <c r="DL52" s="219" t="b">
        <f t="shared" si="2"/>
        <v>0</v>
      </c>
      <c r="DM52" s="565">
        <v>16</v>
      </c>
    </row>
    <row r="53" spans="1:117" ht="43.5" customHeight="1" thickBot="1" x14ac:dyDescent="0.35">
      <c r="G53" s="829" t="s">
        <v>187</v>
      </c>
      <c r="H53" s="833" t="s">
        <v>217</v>
      </c>
      <c r="I53" s="22"/>
      <c r="J53" s="817" t="s">
        <v>190</v>
      </c>
      <c r="K53" s="816"/>
      <c r="L53" s="817" t="s">
        <v>186</v>
      </c>
      <c r="M53" s="887"/>
      <c r="N53" s="22"/>
      <c r="O53" s="883"/>
      <c r="AT53" s="42"/>
      <c r="AU53" s="42"/>
      <c r="AV53" s="42"/>
      <c r="AW53" s="42"/>
      <c r="BB53" s="855" t="b">
        <f>AND(BQ54&gt;0,CS54&gt;0)</f>
        <v>1</v>
      </c>
      <c r="BC53" s="43" t="str">
        <f>IF(BB53=TRUE,"","negative force at the motor")</f>
        <v/>
      </c>
      <c r="BD53" s="876" t="s">
        <v>110</v>
      </c>
      <c r="BE53" s="441" t="s">
        <v>27</v>
      </c>
      <c r="BF53" s="992"/>
      <c r="BG53" s="978"/>
      <c r="BH53" s="978"/>
      <c r="BI53" s="978"/>
      <c r="BJ53" s="978"/>
      <c r="BK53" s="978"/>
      <c r="BL53" s="978"/>
      <c r="BM53" s="978"/>
      <c r="BN53" s="978"/>
      <c r="BO53" s="978"/>
      <c r="BP53" s="978"/>
      <c r="BQ53" s="544" t="s">
        <v>28</v>
      </c>
      <c r="BR53" s="545"/>
      <c r="BS53" s="546"/>
      <c r="BT53" s="546"/>
      <c r="BU53" s="546"/>
      <c r="BV53" s="546"/>
      <c r="BW53" s="546"/>
      <c r="BX53" s="546"/>
      <c r="BY53" s="546"/>
      <c r="BZ53" s="546"/>
      <c r="CA53" s="546"/>
      <c r="CB53" s="546"/>
      <c r="CC53" s="547"/>
      <c r="CD53" s="548"/>
      <c r="CE53" s="548"/>
      <c r="CF53" s="548"/>
      <c r="CG53" s="548"/>
      <c r="CH53" s="549"/>
      <c r="CI53" s="549"/>
      <c r="CJ53" s="547"/>
      <c r="CK53" s="547"/>
      <c r="CL53" s="547"/>
      <c r="CM53" s="547"/>
      <c r="CN53" s="547"/>
      <c r="CO53" s="549"/>
      <c r="CP53" s="549"/>
      <c r="CQ53" s="547"/>
      <c r="CR53" s="548"/>
      <c r="CS53" s="550"/>
      <c r="CT53" s="551" t="s">
        <v>29</v>
      </c>
      <c r="DF53" s="564">
        <v>17</v>
      </c>
      <c r="DG53" s="528">
        <f t="shared" si="3"/>
        <v>140</v>
      </c>
      <c r="DH53" s="18">
        <f t="shared" si="4"/>
        <v>137.87308542170919</v>
      </c>
      <c r="DI53" s="218">
        <f t="shared" si="0"/>
        <v>-73.804056450935008</v>
      </c>
      <c r="DJ53" s="219">
        <f t="shared" si="1"/>
        <v>73.804056450935008</v>
      </c>
      <c r="DK53" s="219">
        <f t="shared" si="5"/>
        <v>8.9197948020905073</v>
      </c>
      <c r="DL53" s="219" t="b">
        <f t="shared" si="2"/>
        <v>0</v>
      </c>
      <c r="DM53" s="565">
        <v>17</v>
      </c>
    </row>
    <row r="54" spans="1:117" ht="43.5" customHeight="1" thickBot="1" x14ac:dyDescent="0.35">
      <c r="G54" s="813"/>
      <c r="H54" s="819"/>
      <c r="I54" s="22"/>
      <c r="J54" s="818">
        <f>+((H6-D3)/H6)*BF49</f>
        <v>18.146219463350533</v>
      </c>
      <c r="K54" s="818"/>
      <c r="L54" s="818">
        <f>+(D3/H6)*BF49</f>
        <v>16.253780536649465</v>
      </c>
      <c r="M54" s="816" t="s">
        <v>172</v>
      </c>
      <c r="N54" s="22"/>
      <c r="O54" s="883"/>
      <c r="BA54" s="667">
        <v>2</v>
      </c>
      <c r="BB54" s="855" t="b">
        <f>AND(BD54&gt;=10,$AN$150&gt;=10,$AO$150&gt;=10)</f>
        <v>1</v>
      </c>
      <c r="BC54" s="45" t="str">
        <f>IF(BB54=TRUE,"O K","OVERLOAD")</f>
        <v>O K</v>
      </c>
      <c r="BD54" s="934">
        <f>+MIN(J13:L14)</f>
        <v>172.21461405146306</v>
      </c>
      <c r="BE54" s="442" t="s">
        <v>113</v>
      </c>
      <c r="BF54" s="993"/>
      <c r="BG54" s="981"/>
      <c r="BH54" s="981"/>
      <c r="BI54" s="981"/>
      <c r="BJ54" s="981"/>
      <c r="BK54" s="981"/>
      <c r="BL54" s="981"/>
      <c r="BM54" s="981"/>
      <c r="BN54" s="981"/>
      <c r="BO54" s="981"/>
      <c r="BP54" s="981"/>
      <c r="BQ54" s="552">
        <f>+((D4-D3)/D4)*C12</f>
        <v>24.968844971048895</v>
      </c>
      <c r="BR54" s="553"/>
      <c r="BS54" s="554"/>
      <c r="BT54" s="554"/>
      <c r="BU54" s="554"/>
      <c r="BV54" s="554"/>
      <c r="BW54" s="554"/>
      <c r="BX54" s="554"/>
      <c r="BY54" s="554"/>
      <c r="BZ54" s="554"/>
      <c r="CA54" s="554"/>
      <c r="CB54" s="554"/>
      <c r="CC54" s="555"/>
      <c r="CD54" s="556"/>
      <c r="CE54" s="556"/>
      <c r="CF54" s="556"/>
      <c r="CG54" s="556"/>
      <c r="CH54" s="557"/>
      <c r="CI54" s="557"/>
      <c r="CJ54" s="558"/>
      <c r="CK54" s="558"/>
      <c r="CL54" s="558"/>
      <c r="CM54" s="558"/>
      <c r="CN54" s="558"/>
      <c r="CO54" s="557"/>
      <c r="CP54" s="557"/>
      <c r="CQ54" s="558"/>
      <c r="CR54" s="559"/>
      <c r="CS54" s="985">
        <f>+(D3/D4)*C12</f>
        <v>9.4311550289511032</v>
      </c>
      <c r="CT54" s="986"/>
      <c r="DF54" s="564">
        <v>18</v>
      </c>
      <c r="DG54" s="528">
        <f t="shared" si="3"/>
        <v>168</v>
      </c>
      <c r="DH54" s="18">
        <f t="shared" si="4"/>
        <v>165.44770250605103</v>
      </c>
      <c r="DI54" s="218">
        <f t="shared" si="0"/>
        <v>-46.229439366593169</v>
      </c>
      <c r="DJ54" s="219">
        <f t="shared" si="1"/>
        <v>46.229439366593169</v>
      </c>
      <c r="DK54" s="219">
        <f t="shared" si="5"/>
        <v>8.9197948020905073</v>
      </c>
      <c r="DL54" s="219" t="b">
        <f t="shared" si="2"/>
        <v>0</v>
      </c>
      <c r="DM54" s="565">
        <v>18</v>
      </c>
    </row>
    <row r="55" spans="1:117" ht="18" customHeight="1" thickBot="1" x14ac:dyDescent="0.35">
      <c r="G55" s="826"/>
      <c r="H55" s="26"/>
      <c r="I55" s="22"/>
      <c r="J55" s="820">
        <f>ABS($H$1/J54)</f>
        <v>319.62580479719838</v>
      </c>
      <c r="K55" s="820"/>
      <c r="L55" s="820">
        <f>ABS($H$1/L54)</f>
        <v>356.84005865109367</v>
      </c>
      <c r="M55" s="821" t="s">
        <v>173</v>
      </c>
      <c r="N55" s="22"/>
      <c r="O55" s="883"/>
      <c r="BB55" s="855"/>
      <c r="BC55" s="47"/>
      <c r="BD55" s="930"/>
      <c r="BE55" s="53"/>
      <c r="BF55" s="53"/>
      <c r="BG55" s="53"/>
      <c r="BH55" s="53"/>
      <c r="BI55" s="53"/>
      <c r="BJ55" s="53"/>
      <c r="BK55" s="53"/>
      <c r="BL55" s="53"/>
      <c r="BM55" s="53"/>
      <c r="BN55" s="54"/>
      <c r="BO55" s="54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17"/>
      <c r="CD55" s="55"/>
      <c r="CE55" s="55"/>
      <c r="CF55" s="55"/>
      <c r="CG55" s="55"/>
      <c r="CH55" s="52"/>
      <c r="CI55" s="52"/>
      <c r="CJ55" s="52"/>
      <c r="CK55" s="52"/>
      <c r="CL55" s="52"/>
      <c r="CM55" s="52"/>
      <c r="CN55" s="52"/>
      <c r="CO55" s="52"/>
      <c r="CP55" s="52"/>
      <c r="CQ55" s="52"/>
      <c r="CR55" s="40"/>
      <c r="CS55" s="40"/>
      <c r="CT55" s="40"/>
      <c r="DF55" s="564">
        <v>19</v>
      </c>
      <c r="DG55" s="528">
        <f t="shared" si="3"/>
        <v>196</v>
      </c>
      <c r="DH55" s="18">
        <f t="shared" si="4"/>
        <v>193.02231959039287</v>
      </c>
      <c r="DI55" s="218">
        <f t="shared" si="0"/>
        <v>-18.654822282251331</v>
      </c>
      <c r="DJ55" s="219">
        <f t="shared" si="1"/>
        <v>18.654822282251331</v>
      </c>
      <c r="DK55" s="219">
        <f t="shared" si="5"/>
        <v>8.9197948020905073</v>
      </c>
      <c r="DL55" s="219" t="b">
        <f t="shared" si="2"/>
        <v>0</v>
      </c>
      <c r="DM55" s="565">
        <v>19</v>
      </c>
    </row>
    <row r="56" spans="1:117" ht="43.5" customHeight="1" thickBot="1" x14ac:dyDescent="0.35">
      <c r="G56" s="826"/>
      <c r="H56" s="26"/>
      <c r="I56" s="27"/>
      <c r="J56" s="944">
        <f>ABS($D$8/BF49)*2</f>
        <v>250</v>
      </c>
      <c r="K56" s="944"/>
      <c r="L56" s="944"/>
      <c r="M56" s="942" t="s">
        <v>226</v>
      </c>
      <c r="N56" s="946" t="s">
        <v>229</v>
      </c>
      <c r="O56" s="883"/>
      <c r="BB56" s="855" t="b">
        <f>AND(BQ57&gt;0,CI57&gt;0)</f>
        <v>1</v>
      </c>
      <c r="BC56" s="43" t="str">
        <f>IF(BB56=TRUE,"","negative force at the motor")</f>
        <v/>
      </c>
      <c r="BD56" s="876" t="s">
        <v>110</v>
      </c>
      <c r="BE56" s="443" t="s">
        <v>27</v>
      </c>
      <c r="BF56" s="992"/>
      <c r="BG56" s="978"/>
      <c r="BH56" s="978"/>
      <c r="BI56" s="978"/>
      <c r="BJ56" s="978"/>
      <c r="BK56" s="978"/>
      <c r="BL56" s="978"/>
      <c r="BM56" s="978"/>
      <c r="BN56" s="978"/>
      <c r="BO56" s="978"/>
      <c r="BP56" s="978"/>
      <c r="BQ56" s="503" t="s">
        <v>28</v>
      </c>
      <c r="BR56" s="504"/>
      <c r="BS56" s="506"/>
      <c r="BT56" s="506"/>
      <c r="BU56" s="506"/>
      <c r="BV56" s="506"/>
      <c r="BW56" s="506"/>
      <c r="BX56" s="507"/>
      <c r="BY56" s="508"/>
      <c r="BZ56" s="509"/>
      <c r="CA56" s="509"/>
      <c r="CB56" s="508"/>
      <c r="CC56" s="508"/>
      <c r="CD56" s="508"/>
      <c r="CE56" s="509"/>
      <c r="CF56" s="509"/>
      <c r="CG56" s="509"/>
      <c r="CH56" s="509"/>
      <c r="CI56" s="504"/>
      <c r="CJ56" s="505" t="s">
        <v>29</v>
      </c>
      <c r="CK56" s="977"/>
      <c r="CL56" s="978"/>
      <c r="CM56" s="978"/>
      <c r="CN56" s="978"/>
      <c r="CO56" s="978"/>
      <c r="CP56" s="978"/>
      <c r="CQ56" s="978"/>
      <c r="CR56" s="978"/>
      <c r="CS56" s="978"/>
      <c r="CT56" s="979"/>
      <c r="DF56" s="564">
        <v>20</v>
      </c>
      <c r="DG56" s="528">
        <f t="shared" si="3"/>
        <v>224</v>
      </c>
      <c r="DH56" s="18">
        <f t="shared" si="4"/>
        <v>220.59693667473471</v>
      </c>
      <c r="DI56" s="218">
        <f t="shared" si="0"/>
        <v>8.9197948020905073</v>
      </c>
      <c r="DJ56" s="219">
        <f t="shared" si="1"/>
        <v>8.9197948020905073</v>
      </c>
      <c r="DK56" s="219">
        <f t="shared" si="5"/>
        <v>8.9197948020905073</v>
      </c>
      <c r="DL56" s="219">
        <f t="shared" si="2"/>
        <v>20</v>
      </c>
      <c r="DM56" s="565">
        <v>20</v>
      </c>
    </row>
    <row r="57" spans="1:117" ht="43.5" customHeight="1" thickBot="1" x14ac:dyDescent="0.35">
      <c r="G57" s="890"/>
      <c r="H57" s="22"/>
      <c r="I57" s="22"/>
      <c r="J57" s="22"/>
      <c r="K57" s="22"/>
      <c r="L57" s="22"/>
      <c r="M57" s="22"/>
      <c r="N57" s="22"/>
      <c r="O57" s="883"/>
      <c r="BA57" s="667" t="s">
        <v>218</v>
      </c>
      <c r="BB57" s="855" t="b">
        <f>AND(BD57&gt;=10,$AN$150&gt;=10,$AO$150&gt;=10)</f>
        <v>1</v>
      </c>
      <c r="BC57" s="45" t="str">
        <f>IF(BB57=TRUE,"O K","OVERLOAD")</f>
        <v>O K</v>
      </c>
      <c r="BD57" s="947">
        <f>+$D$8/(MAX(CI57,BQ57))</f>
        <v>209.74120341036297</v>
      </c>
      <c r="BE57" s="444" t="s">
        <v>114</v>
      </c>
      <c r="BF57" s="993"/>
      <c r="BG57" s="981"/>
      <c r="BH57" s="981"/>
      <c r="BI57" s="981"/>
      <c r="BJ57" s="981"/>
      <c r="BK57" s="981"/>
      <c r="BL57" s="981"/>
      <c r="BM57" s="981"/>
      <c r="BN57" s="981"/>
      <c r="BO57" s="981"/>
      <c r="BP57" s="981"/>
      <c r="BQ57" s="989">
        <f>+((D2-D3)/D2)*C12</f>
        <v>20.501455746808897</v>
      </c>
      <c r="BR57" s="990"/>
      <c r="BS57" s="510"/>
      <c r="BT57" s="510"/>
      <c r="BU57" s="510"/>
      <c r="BV57" s="510"/>
      <c r="BW57" s="510"/>
      <c r="BX57" s="511"/>
      <c r="BY57" s="512"/>
      <c r="BZ57" s="513"/>
      <c r="CA57" s="513"/>
      <c r="CB57" s="514"/>
      <c r="CC57" s="514"/>
      <c r="CD57" s="514"/>
      <c r="CE57" s="513"/>
      <c r="CF57" s="513"/>
      <c r="CG57" s="513"/>
      <c r="CH57" s="513"/>
      <c r="CI57" s="983">
        <f>+(D3/D2)*C12</f>
        <v>13.898544253191101</v>
      </c>
      <c r="CJ57" s="984"/>
      <c r="CK57" s="980"/>
      <c r="CL57" s="981"/>
      <c r="CM57" s="981"/>
      <c r="CN57" s="981"/>
      <c r="CO57" s="981"/>
      <c r="CP57" s="981"/>
      <c r="CQ57" s="981"/>
      <c r="CR57" s="981"/>
      <c r="CS57" s="981"/>
      <c r="CT57" s="982"/>
      <c r="DF57" s="564">
        <v>21</v>
      </c>
      <c r="DG57" s="528">
        <f t="shared" si="3"/>
        <v>252</v>
      </c>
      <c r="DH57" s="18">
        <f t="shared" si="4"/>
        <v>248.17155375907655</v>
      </c>
      <c r="DI57" s="218">
        <f t="shared" si="0"/>
        <v>36.494411886432346</v>
      </c>
      <c r="DJ57" s="219">
        <f t="shared" si="1"/>
        <v>36.494411886432346</v>
      </c>
      <c r="DK57" s="219">
        <f t="shared" si="5"/>
        <v>8.9197948020905073</v>
      </c>
      <c r="DL57" s="219" t="b">
        <f t="shared" si="2"/>
        <v>0</v>
      </c>
      <c r="DM57" s="565">
        <v>21</v>
      </c>
    </row>
    <row r="58" spans="1:117" ht="22" hidden="1" x14ac:dyDescent="0.3">
      <c r="G58" s="890"/>
      <c r="H58" s="22"/>
      <c r="I58" s="22"/>
      <c r="J58" s="22"/>
      <c r="K58" s="22"/>
      <c r="L58" s="22"/>
      <c r="M58" s="22"/>
      <c r="N58" s="22"/>
      <c r="O58" s="883"/>
      <c r="BB58" s="855"/>
      <c r="BC58" s="47"/>
      <c r="BD58" s="930"/>
      <c r="BE58" s="53"/>
      <c r="BF58" s="53"/>
      <c r="BG58" s="53"/>
      <c r="BH58" s="53"/>
      <c r="BI58" s="53"/>
      <c r="BJ58" s="53"/>
      <c r="BK58" s="53"/>
      <c r="BL58" s="53"/>
      <c r="BM58" s="53"/>
      <c r="BN58" s="54"/>
      <c r="BO58" s="54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3"/>
      <c r="CA58" s="50"/>
      <c r="CB58" s="50"/>
      <c r="CC58" s="17"/>
      <c r="CD58" s="55"/>
      <c r="CE58" s="55"/>
      <c r="CF58" s="55"/>
      <c r="CG58" s="55"/>
      <c r="CH58" s="52"/>
      <c r="CI58" s="52"/>
      <c r="CJ58" s="52"/>
      <c r="CK58" s="52"/>
      <c r="CL58" s="52"/>
      <c r="CM58" s="52"/>
      <c r="CN58" s="52"/>
      <c r="CO58" s="52"/>
      <c r="CP58" s="52"/>
      <c r="CQ58" s="52"/>
      <c r="CR58" s="40"/>
      <c r="CS58" s="40"/>
      <c r="CT58" s="40"/>
      <c r="DF58" s="564">
        <v>22</v>
      </c>
      <c r="DG58" s="528">
        <f t="shared" si="3"/>
        <v>280</v>
      </c>
      <c r="DH58" s="18">
        <f t="shared" si="4"/>
        <v>275.74617084341838</v>
      </c>
      <c r="DI58" s="218">
        <f t="shared" si="0"/>
        <v>64.069028970774184</v>
      </c>
      <c r="DJ58" s="219">
        <f t="shared" si="1"/>
        <v>64.069028970774184</v>
      </c>
      <c r="DK58" s="219">
        <f t="shared" si="5"/>
        <v>8.9197948020905073</v>
      </c>
      <c r="DL58" s="219" t="b">
        <f t="shared" si="2"/>
        <v>0</v>
      </c>
      <c r="DM58" s="565">
        <v>22</v>
      </c>
    </row>
    <row r="59" spans="1:117" ht="34.5" hidden="1" customHeight="1" thickBot="1" x14ac:dyDescent="0.35">
      <c r="G59" s="890"/>
      <c r="H59" s="22"/>
      <c r="I59" s="22"/>
      <c r="J59" s="22"/>
      <c r="K59" s="22"/>
      <c r="L59" s="22"/>
      <c r="M59" s="22"/>
      <c r="N59" s="22"/>
      <c r="O59" s="883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Q59" s="85"/>
      <c r="AR59" s="86"/>
      <c r="AS59" s="86"/>
      <c r="AT59" s="81"/>
      <c r="AU59" s="81"/>
      <c r="AV59" s="81"/>
      <c r="AW59" s="81"/>
      <c r="BB59" s="855"/>
      <c r="BC59" s="47"/>
      <c r="BD59" s="105"/>
      <c r="DF59" s="564">
        <v>23</v>
      </c>
      <c r="DG59" s="528">
        <f t="shared" si="3"/>
        <v>308</v>
      </c>
      <c r="DH59" s="18">
        <f t="shared" si="4"/>
        <v>303.32078792776019</v>
      </c>
      <c r="DI59" s="218">
        <f t="shared" si="0"/>
        <v>91.643646055115994</v>
      </c>
      <c r="DJ59" s="219">
        <f t="shared" si="1"/>
        <v>91.643646055115994</v>
      </c>
      <c r="DK59" s="219">
        <f t="shared" si="5"/>
        <v>8.9197948020905073</v>
      </c>
      <c r="DL59" s="219" t="b">
        <f t="shared" si="2"/>
        <v>0</v>
      </c>
      <c r="DM59" s="565">
        <v>23</v>
      </c>
    </row>
    <row r="60" spans="1:117" ht="23" hidden="1" thickBot="1" x14ac:dyDescent="0.35">
      <c r="G60" s="890"/>
      <c r="H60" s="22"/>
      <c r="I60" s="22"/>
      <c r="J60" s="22"/>
      <c r="K60" s="22"/>
      <c r="L60" s="22"/>
      <c r="M60" s="22"/>
      <c r="N60" s="22"/>
      <c r="O60" s="883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Q60" s="85"/>
      <c r="AR60" s="86"/>
      <c r="AS60" s="86"/>
      <c r="AT60" s="81"/>
      <c r="AU60" s="81"/>
      <c r="AV60" s="81"/>
      <c r="AW60" s="81"/>
      <c r="BB60" s="855"/>
      <c r="BC60" s="47"/>
      <c r="BD60" s="105"/>
      <c r="CH60" s="60" t="b">
        <f>IF(CI81=30,18)</f>
        <v>0</v>
      </c>
      <c r="CJ60" s="60" t="b">
        <f>IF(CI81=30,20)</f>
        <v>0</v>
      </c>
      <c r="DF60" s="564">
        <v>24</v>
      </c>
      <c r="DG60" s="528">
        <f t="shared" si="3"/>
        <v>336</v>
      </c>
      <c r="DH60" s="18">
        <f t="shared" si="4"/>
        <v>330.895405012102</v>
      </c>
      <c r="DI60" s="218">
        <f t="shared" si="0"/>
        <v>119.2182631394578</v>
      </c>
      <c r="DJ60" s="219">
        <f t="shared" si="1"/>
        <v>119.2182631394578</v>
      </c>
      <c r="DK60" s="219">
        <f t="shared" si="5"/>
        <v>8.9197948020905073</v>
      </c>
      <c r="DL60" s="219" t="b">
        <f t="shared" si="2"/>
        <v>0</v>
      </c>
      <c r="DM60" s="565">
        <v>24</v>
      </c>
    </row>
    <row r="61" spans="1:117" ht="23" hidden="1" thickBot="1" x14ac:dyDescent="0.35">
      <c r="G61" s="890"/>
      <c r="H61" s="22"/>
      <c r="I61" s="22"/>
      <c r="J61" s="22"/>
      <c r="K61" s="22"/>
      <c r="L61" s="22"/>
      <c r="M61" s="22"/>
      <c r="N61" s="22"/>
      <c r="O61" s="883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Q61" s="85"/>
      <c r="AR61" s="86"/>
      <c r="AS61" s="86"/>
      <c r="AT61" s="81"/>
      <c r="AU61" s="81"/>
      <c r="AV61" s="81"/>
      <c r="AW61" s="81"/>
      <c r="BB61" s="855"/>
      <c r="BC61" s="47"/>
      <c r="BD61" s="931"/>
      <c r="BE61" s="100"/>
      <c r="BF61" s="101"/>
      <c r="BG61" s="101"/>
      <c r="BH61" s="101"/>
      <c r="BI61" s="101"/>
      <c r="BJ61" s="101"/>
      <c r="BK61" s="101"/>
      <c r="BL61" s="101"/>
      <c r="BM61" s="101"/>
      <c r="BN61" s="102"/>
      <c r="BO61" s="102"/>
      <c r="BP61" s="103"/>
      <c r="BQ61" s="103"/>
      <c r="BR61" s="103"/>
      <c r="BS61" s="103"/>
      <c r="BT61" s="103"/>
      <c r="BU61" s="103"/>
      <c r="BV61" s="103"/>
      <c r="BW61" s="103"/>
      <c r="BX61" s="17"/>
      <c r="BY61" s="50"/>
      <c r="BZ61" s="104"/>
      <c r="CA61" s="104"/>
      <c r="CB61" s="50"/>
      <c r="CC61" s="50"/>
      <c r="CD61" s="50"/>
      <c r="CE61" s="50"/>
      <c r="CF61" s="60" t="b">
        <f>IF(CH81=29,16)</f>
        <v>0</v>
      </c>
      <c r="CG61" s="50"/>
      <c r="CH61" s="50"/>
      <c r="CI61" s="50"/>
      <c r="CJ61" s="60" t="b">
        <f>IF(CH81=29,20)</f>
        <v>0</v>
      </c>
      <c r="CK61" s="50"/>
      <c r="CL61" s="101"/>
      <c r="CM61" s="101"/>
      <c r="CN61" s="101"/>
      <c r="CO61" s="101"/>
      <c r="CP61" s="101"/>
      <c r="CQ61" s="101"/>
      <c r="CR61" s="101"/>
      <c r="CS61" s="101"/>
      <c r="CT61" s="101"/>
      <c r="DF61" s="564">
        <v>25</v>
      </c>
      <c r="DG61" s="528">
        <f t="shared" si="3"/>
        <v>364</v>
      </c>
      <c r="DH61" s="18">
        <f t="shared" si="4"/>
        <v>358.47002209644381</v>
      </c>
      <c r="DI61" s="218">
        <f t="shared" si="0"/>
        <v>146.79288022379961</v>
      </c>
      <c r="DJ61" s="219">
        <f t="shared" si="1"/>
        <v>146.79288022379961</v>
      </c>
      <c r="DK61" s="219">
        <f t="shared" si="5"/>
        <v>8.9197948020905073</v>
      </c>
      <c r="DL61" s="219" t="b">
        <f t="shared" si="2"/>
        <v>0</v>
      </c>
      <c r="DM61" s="565">
        <v>25</v>
      </c>
    </row>
    <row r="62" spans="1:117" ht="23" hidden="1" thickBot="1" x14ac:dyDescent="0.35">
      <c r="G62" s="890"/>
      <c r="H62" s="22"/>
      <c r="I62" s="22"/>
      <c r="J62" s="22"/>
      <c r="K62" s="22"/>
      <c r="L62" s="22"/>
      <c r="M62" s="22"/>
      <c r="N62" s="22"/>
      <c r="O62" s="883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Q62" s="85"/>
      <c r="AR62" s="86"/>
      <c r="AS62" s="86"/>
      <c r="AT62" s="81"/>
      <c r="AU62" s="81"/>
      <c r="AV62" s="81"/>
      <c r="AW62" s="81"/>
      <c r="BB62" s="855"/>
      <c r="BC62" s="47"/>
      <c r="BD62" s="931"/>
      <c r="BE62" s="100"/>
      <c r="BF62" s="101"/>
      <c r="BG62" s="101"/>
      <c r="BH62" s="101"/>
      <c r="BI62" s="101"/>
      <c r="BJ62" s="101"/>
      <c r="BK62" s="101"/>
      <c r="BL62" s="101"/>
      <c r="BM62" s="101"/>
      <c r="BN62" s="102"/>
      <c r="BO62" s="102"/>
      <c r="BP62" s="103"/>
      <c r="BQ62" s="103"/>
      <c r="BR62" s="103"/>
      <c r="BS62" s="103"/>
      <c r="BT62" s="103"/>
      <c r="BU62" s="103"/>
      <c r="BV62" s="103"/>
      <c r="BW62" s="103"/>
      <c r="BX62" s="17"/>
      <c r="BY62" s="50"/>
      <c r="BZ62" s="104"/>
      <c r="CA62" s="104"/>
      <c r="CB62" s="50"/>
      <c r="CC62" s="50"/>
      <c r="CD62" s="60" t="b">
        <f>IF(CG81=28,14)</f>
        <v>0</v>
      </c>
      <c r="CE62" s="50"/>
      <c r="CF62" s="50"/>
      <c r="CG62" s="50"/>
      <c r="CH62" s="50"/>
      <c r="CI62" s="50"/>
      <c r="CJ62" s="60" t="b">
        <f>IF(CG81=28,20)</f>
        <v>0</v>
      </c>
      <c r="CK62" s="50"/>
      <c r="CL62" s="101"/>
      <c r="CM62" s="101"/>
      <c r="CN62" s="101"/>
      <c r="CO62" s="101"/>
      <c r="CP62" s="101"/>
      <c r="CQ62" s="101"/>
      <c r="CR62" s="101"/>
      <c r="CS62" s="101"/>
      <c r="CT62" s="101"/>
      <c r="DF62" s="564">
        <v>26</v>
      </c>
      <c r="DG62" s="528">
        <f t="shared" si="3"/>
        <v>392</v>
      </c>
      <c r="DH62" s="18">
        <f t="shared" si="4"/>
        <v>386.04463918078562</v>
      </c>
      <c r="DI62" s="218">
        <f t="shared" si="0"/>
        <v>174.36749730814142</v>
      </c>
      <c r="DJ62" s="219">
        <f t="shared" si="1"/>
        <v>174.36749730814142</v>
      </c>
      <c r="DK62" s="219">
        <f t="shared" si="5"/>
        <v>8.9197948020905073</v>
      </c>
      <c r="DL62" s="219" t="b">
        <f t="shared" si="2"/>
        <v>0</v>
      </c>
      <c r="DM62" s="565">
        <v>26</v>
      </c>
    </row>
    <row r="63" spans="1:117" ht="23" hidden="1" thickBot="1" x14ac:dyDescent="0.35">
      <c r="G63" s="890"/>
      <c r="H63" s="22"/>
      <c r="I63" s="22"/>
      <c r="J63" s="22"/>
      <c r="K63" s="22"/>
      <c r="L63" s="22"/>
      <c r="M63" s="22"/>
      <c r="N63" s="22"/>
      <c r="O63" s="883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Q63" s="85"/>
      <c r="AR63" s="86"/>
      <c r="AS63" s="86"/>
      <c r="AT63" s="81"/>
      <c r="AU63" s="81"/>
      <c r="AV63" s="81"/>
      <c r="AW63" s="81"/>
      <c r="BB63" s="855"/>
      <c r="BC63" s="47"/>
      <c r="BD63" s="931"/>
      <c r="BE63" s="100"/>
      <c r="BF63" s="101"/>
      <c r="BG63" s="101"/>
      <c r="BH63" s="101"/>
      <c r="BI63" s="101"/>
      <c r="BJ63" s="101"/>
      <c r="BK63" s="101"/>
      <c r="BL63" s="101"/>
      <c r="BM63" s="101"/>
      <c r="BN63" s="102"/>
      <c r="BO63" s="102"/>
      <c r="BP63" s="105">
        <v>16</v>
      </c>
      <c r="BQ63" s="103"/>
      <c r="BR63" s="103"/>
      <c r="BS63" s="103"/>
      <c r="BT63" s="103"/>
      <c r="BU63" s="103"/>
      <c r="BV63" s="103"/>
      <c r="BW63" s="103"/>
      <c r="BX63" s="17"/>
      <c r="BY63" s="50"/>
      <c r="BZ63" s="104"/>
      <c r="CA63" s="104"/>
      <c r="CB63" s="68" t="b">
        <f>IF(CF81=27,12)</f>
        <v>0</v>
      </c>
      <c r="CC63" s="50"/>
      <c r="CD63" s="50"/>
      <c r="CF63" s="106"/>
      <c r="CH63" s="50"/>
      <c r="CI63" s="50"/>
      <c r="CJ63" s="60" t="b">
        <f>IF(CF81=27,20)</f>
        <v>0</v>
      </c>
      <c r="CK63" s="50"/>
      <c r="CL63" s="101"/>
      <c r="CM63" s="101"/>
      <c r="CN63" s="101"/>
      <c r="CO63" s="101"/>
      <c r="CP63" s="101"/>
      <c r="CQ63" s="101"/>
      <c r="CR63" s="101"/>
      <c r="CS63" s="101"/>
      <c r="CT63" s="101"/>
      <c r="DF63" s="564">
        <v>27</v>
      </c>
      <c r="DG63" s="528">
        <f t="shared" si="3"/>
        <v>420</v>
      </c>
      <c r="DH63" s="18">
        <f t="shared" si="4"/>
        <v>413.61925626512743</v>
      </c>
      <c r="DI63" s="218">
        <f t="shared" si="0"/>
        <v>201.94211439248323</v>
      </c>
      <c r="DJ63" s="219">
        <f t="shared" si="1"/>
        <v>201.94211439248323</v>
      </c>
      <c r="DK63" s="219">
        <f t="shared" si="5"/>
        <v>8.9197948020905073</v>
      </c>
      <c r="DL63" s="219" t="b">
        <f t="shared" si="2"/>
        <v>0</v>
      </c>
      <c r="DM63" s="565">
        <v>27</v>
      </c>
    </row>
    <row r="64" spans="1:117" ht="23" hidden="1" thickBot="1" x14ac:dyDescent="0.35">
      <c r="G64" s="890"/>
      <c r="H64" s="22"/>
      <c r="I64" s="22"/>
      <c r="J64" s="22"/>
      <c r="K64" s="22"/>
      <c r="L64" s="22"/>
      <c r="M64" s="22"/>
      <c r="N64" s="22"/>
      <c r="O64" s="883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Q64" s="85"/>
      <c r="AR64" s="86"/>
      <c r="AS64" s="86"/>
      <c r="AT64" s="81"/>
      <c r="AU64" s="81"/>
      <c r="AV64" s="81"/>
      <c r="AW64" s="81"/>
      <c r="BB64" s="855"/>
      <c r="BC64" s="47"/>
      <c r="BD64" s="931"/>
      <c r="BE64" s="100"/>
      <c r="BF64" s="101"/>
      <c r="BG64" s="101"/>
      <c r="BH64" s="101"/>
      <c r="BI64" s="101"/>
      <c r="BJ64" s="101"/>
      <c r="BK64" s="101"/>
      <c r="BL64" s="101"/>
      <c r="BM64" s="101"/>
      <c r="BN64" s="102"/>
      <c r="BO64" s="102"/>
      <c r="BP64" s="105">
        <v>15</v>
      </c>
      <c r="BQ64" s="103"/>
      <c r="BR64" s="103"/>
      <c r="BS64" s="103"/>
      <c r="BT64" s="103"/>
      <c r="BU64" s="103"/>
      <c r="BV64" s="103"/>
      <c r="BW64" s="103"/>
      <c r="BX64" s="17"/>
      <c r="BY64" s="50"/>
      <c r="BZ64" s="68" t="b">
        <f>IF(CE81=26,10)</f>
        <v>0</v>
      </c>
      <c r="CA64" s="104"/>
      <c r="CB64" s="50"/>
      <c r="CD64" s="106"/>
      <c r="CE64" s="106"/>
      <c r="CF64" s="106"/>
      <c r="CH64" s="50"/>
      <c r="CI64" s="50"/>
      <c r="CJ64" s="60" t="b">
        <f>IF(CE81=26,20)</f>
        <v>0</v>
      </c>
      <c r="CK64" s="50"/>
      <c r="CL64" s="101"/>
      <c r="CM64" s="101"/>
      <c r="CN64" s="101"/>
      <c r="CO64" s="101"/>
      <c r="CP64" s="101"/>
      <c r="CQ64" s="101"/>
      <c r="CR64" s="101"/>
      <c r="CS64" s="101"/>
      <c r="CT64" s="101"/>
      <c r="DF64" s="564">
        <v>28</v>
      </c>
      <c r="DG64" s="528">
        <f t="shared" si="3"/>
        <v>448</v>
      </c>
      <c r="DH64" s="18">
        <f t="shared" si="4"/>
        <v>441.19387334946924</v>
      </c>
      <c r="DI64" s="218">
        <f t="shared" si="0"/>
        <v>229.51673147682504</v>
      </c>
      <c r="DJ64" s="219">
        <f t="shared" si="1"/>
        <v>229.51673147682504</v>
      </c>
      <c r="DK64" s="219">
        <f t="shared" si="5"/>
        <v>8.9197948020905073</v>
      </c>
      <c r="DL64" s="219" t="b">
        <f t="shared" si="2"/>
        <v>0</v>
      </c>
      <c r="DM64" s="565">
        <v>28</v>
      </c>
    </row>
    <row r="65" spans="2:117" ht="23" hidden="1" thickBot="1" x14ac:dyDescent="0.35">
      <c r="G65" s="890"/>
      <c r="H65" s="22"/>
      <c r="I65" s="22"/>
      <c r="J65" s="22"/>
      <c r="K65" s="22"/>
      <c r="L65" s="22"/>
      <c r="M65" s="22"/>
      <c r="N65" s="22"/>
      <c r="O65" s="883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Q65" s="85"/>
      <c r="AR65" s="86"/>
      <c r="AS65" s="86"/>
      <c r="AT65" s="81"/>
      <c r="AU65" s="81"/>
      <c r="AV65" s="81"/>
      <c r="AW65" s="81"/>
      <c r="BB65" s="855"/>
      <c r="BC65" s="47"/>
      <c r="BD65" s="931"/>
      <c r="BE65" s="100"/>
      <c r="BF65" s="101"/>
      <c r="BG65" s="101"/>
      <c r="BH65" s="101"/>
      <c r="BI65" s="101"/>
      <c r="BJ65" s="101"/>
      <c r="BK65" s="101"/>
      <c r="BL65" s="101"/>
      <c r="BM65" s="101"/>
      <c r="BN65" s="102"/>
      <c r="BO65" s="102"/>
      <c r="BP65" s="105">
        <v>14</v>
      </c>
      <c r="BQ65" s="103"/>
      <c r="BR65" s="103"/>
      <c r="BS65" s="103"/>
      <c r="BT65" s="103"/>
      <c r="BU65" s="103"/>
      <c r="BV65" s="103"/>
      <c r="BW65" s="103"/>
      <c r="BX65" s="68" t="b">
        <f>IF(CD81=25,8)</f>
        <v>0</v>
      </c>
      <c r="BY65" s="50"/>
      <c r="BZ65" s="104"/>
      <c r="CB65" s="106"/>
      <c r="CC65" s="107"/>
      <c r="CD65" s="107"/>
      <c r="CE65" s="107"/>
      <c r="CF65" s="107"/>
      <c r="CH65" s="50"/>
      <c r="CI65" s="50"/>
      <c r="CJ65" s="75" t="b">
        <f>IF(CD81=25,20)</f>
        <v>0</v>
      </c>
      <c r="CK65" s="50"/>
      <c r="CL65" s="101"/>
      <c r="CM65" s="101"/>
      <c r="CN65" s="101"/>
      <c r="CO65" s="101"/>
      <c r="CP65" s="101"/>
      <c r="CQ65" s="101"/>
      <c r="CR65" s="101"/>
      <c r="CS65" s="101"/>
      <c r="CT65" s="101"/>
      <c r="DF65" s="564">
        <v>29</v>
      </c>
      <c r="DG65" s="528">
        <f t="shared" si="3"/>
        <v>476</v>
      </c>
      <c r="DH65" s="18">
        <f t="shared" si="4"/>
        <v>468.76849043381105</v>
      </c>
      <c r="DI65" s="218">
        <f t="shared" si="0"/>
        <v>257.09134856116685</v>
      </c>
      <c r="DJ65" s="219">
        <f t="shared" si="1"/>
        <v>257.09134856116685</v>
      </c>
      <c r="DK65" s="219">
        <f t="shared" si="5"/>
        <v>8.9197948020905073</v>
      </c>
      <c r="DL65" s="219" t="b">
        <f t="shared" si="2"/>
        <v>0</v>
      </c>
      <c r="DM65" s="565">
        <v>29</v>
      </c>
    </row>
    <row r="66" spans="2:117" ht="23" hidden="1" thickBot="1" x14ac:dyDescent="0.35">
      <c r="D66" s="26"/>
      <c r="G66" s="890"/>
      <c r="H66" s="22"/>
      <c r="I66" s="22"/>
      <c r="J66" s="22"/>
      <c r="K66" s="22"/>
      <c r="L66" s="22"/>
      <c r="M66" s="22"/>
      <c r="N66" s="22"/>
      <c r="O66" s="883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Q66" s="85"/>
      <c r="AR66" s="86"/>
      <c r="AS66" s="86"/>
      <c r="AT66" s="81"/>
      <c r="AU66" s="81"/>
      <c r="AV66" s="81"/>
      <c r="AW66" s="81"/>
      <c r="BB66" s="855"/>
      <c r="BC66" s="47"/>
      <c r="BD66" s="932"/>
      <c r="BE66" s="100"/>
      <c r="BF66" s="101"/>
      <c r="BG66" s="101"/>
      <c r="BH66" s="101"/>
      <c r="BI66" s="101"/>
      <c r="BJ66" s="101"/>
      <c r="BK66" s="101"/>
      <c r="BL66" s="101"/>
      <c r="BM66" s="101"/>
      <c r="BP66" s="105">
        <v>13</v>
      </c>
      <c r="BQ66" s="101"/>
      <c r="BR66" s="100"/>
      <c r="BS66" s="100"/>
      <c r="BT66" s="100"/>
      <c r="BU66" s="100"/>
      <c r="BV66" s="68" t="b">
        <f>IF(CC81=24,6)</f>
        <v>0</v>
      </c>
      <c r="BW66" s="100"/>
      <c r="BX66" s="100"/>
      <c r="BZ66" s="108"/>
      <c r="CA66" s="109"/>
      <c r="CB66" s="73"/>
      <c r="CC66" s="109"/>
      <c r="CD66" s="73"/>
      <c r="CE66" s="73"/>
      <c r="CF66" s="72"/>
      <c r="CH66" s="40"/>
      <c r="CI66" s="40"/>
      <c r="CJ66" s="75" t="b">
        <f>IF(CC81=24,20)</f>
        <v>0</v>
      </c>
      <c r="CK66" s="40"/>
      <c r="CL66" s="40"/>
      <c r="CM66" s="40"/>
      <c r="CN66" s="40"/>
      <c r="CO66" s="40"/>
      <c r="CP66" s="40"/>
      <c r="CQ66" s="40"/>
      <c r="CR66" s="40"/>
      <c r="CS66" s="40"/>
      <c r="DF66" s="564">
        <v>30</v>
      </c>
      <c r="DG66" s="528">
        <f t="shared" si="3"/>
        <v>504</v>
      </c>
      <c r="DH66" s="18">
        <f t="shared" si="4"/>
        <v>496.34310751815286</v>
      </c>
      <c r="DI66" s="218">
        <f t="shared" si="0"/>
        <v>284.66596564550866</v>
      </c>
      <c r="DJ66" s="219">
        <f t="shared" si="1"/>
        <v>284.66596564550866</v>
      </c>
      <c r="DK66" s="219">
        <f t="shared" si="5"/>
        <v>8.9197948020905073</v>
      </c>
      <c r="DL66" s="219" t="b">
        <f t="shared" si="2"/>
        <v>0</v>
      </c>
      <c r="DM66" s="565">
        <v>30</v>
      </c>
    </row>
    <row r="67" spans="2:117" ht="23" hidden="1" thickBot="1" x14ac:dyDescent="0.35">
      <c r="D67" s="26"/>
      <c r="G67" s="890"/>
      <c r="H67" s="22"/>
      <c r="I67" s="22"/>
      <c r="J67" s="22"/>
      <c r="K67" s="22"/>
      <c r="L67" s="22"/>
      <c r="M67" s="22"/>
      <c r="N67" s="22"/>
      <c r="O67" s="883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Q67" s="85"/>
      <c r="AR67" s="86"/>
      <c r="AS67" s="86"/>
      <c r="AT67" s="81"/>
      <c r="AU67" s="81"/>
      <c r="AV67" s="81"/>
      <c r="AW67" s="81"/>
      <c r="BB67" s="855"/>
      <c r="BC67" s="47"/>
      <c r="BD67" s="932"/>
      <c r="BE67" s="100"/>
      <c r="BF67" s="100"/>
      <c r="BG67" s="101"/>
      <c r="BH67" s="100"/>
      <c r="BI67" s="100"/>
      <c r="BJ67" s="100"/>
      <c r="BP67" s="105">
        <v>12</v>
      </c>
      <c r="BQ67" s="101"/>
      <c r="BR67" s="100"/>
      <c r="BS67" s="100"/>
      <c r="BT67" s="68" t="b">
        <f>IF(CB81=23,4)</f>
        <v>0</v>
      </c>
      <c r="BU67" s="100"/>
      <c r="BV67" s="100"/>
      <c r="BX67" s="108"/>
      <c r="BY67" s="108"/>
      <c r="BZ67" s="69"/>
      <c r="CA67" s="108"/>
      <c r="CB67" s="108"/>
      <c r="CC67" s="108"/>
      <c r="CD67" s="69"/>
      <c r="CE67" s="69"/>
      <c r="CF67" s="64"/>
      <c r="CH67" s="40"/>
      <c r="CI67" s="40"/>
      <c r="CJ67" s="60" t="b">
        <f>IF(CB81=23,20)</f>
        <v>0</v>
      </c>
      <c r="CK67" s="40"/>
      <c r="CL67" s="40"/>
      <c r="CM67" s="40"/>
      <c r="CN67" s="40"/>
      <c r="CO67" s="40"/>
      <c r="CP67" s="40"/>
      <c r="CQ67" s="40"/>
      <c r="CR67" s="40"/>
      <c r="CS67" s="40"/>
      <c r="DF67" s="564">
        <v>31</v>
      </c>
      <c r="DG67" s="528">
        <f t="shared" si="3"/>
        <v>532</v>
      </c>
      <c r="DH67" s="18">
        <f t="shared" si="4"/>
        <v>523.91772460249467</v>
      </c>
      <c r="DI67" s="218">
        <f t="shared" si="0"/>
        <v>312.24058272985047</v>
      </c>
      <c r="DJ67" s="219">
        <f t="shared" si="1"/>
        <v>312.24058272985047</v>
      </c>
      <c r="DK67" s="219">
        <f t="shared" si="5"/>
        <v>8.9197948020905073</v>
      </c>
      <c r="DL67" s="219" t="b">
        <f t="shared" si="2"/>
        <v>0</v>
      </c>
      <c r="DM67" s="565">
        <v>31</v>
      </c>
    </row>
    <row r="68" spans="2:117" ht="23" hidden="1" thickBot="1" x14ac:dyDescent="0.35">
      <c r="D68" s="26"/>
      <c r="G68" s="890"/>
      <c r="H68" s="22"/>
      <c r="I68" s="22"/>
      <c r="J68" s="22"/>
      <c r="K68" s="22"/>
      <c r="L68" s="22"/>
      <c r="M68" s="22"/>
      <c r="N68" s="22"/>
      <c r="O68" s="883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Q68" s="85"/>
      <c r="AR68" s="86"/>
      <c r="AS68" s="86"/>
      <c r="AT68" s="81"/>
      <c r="AU68" s="81"/>
      <c r="AV68" s="81"/>
      <c r="AW68" s="81"/>
      <c r="BB68" s="855"/>
      <c r="BC68" s="47"/>
      <c r="BD68" s="932"/>
      <c r="BE68" s="100"/>
      <c r="BF68" s="100"/>
      <c r="BG68" s="101"/>
      <c r="BH68" s="100"/>
      <c r="BI68" s="100"/>
      <c r="BJ68" s="100"/>
      <c r="BP68" s="105">
        <v>11</v>
      </c>
      <c r="BR68" s="68" t="b">
        <f>IF(CA81=22,2)</f>
        <v>0</v>
      </c>
      <c r="BS68" s="100"/>
      <c r="BT68" s="100"/>
      <c r="BV68" s="108"/>
      <c r="BW68" s="108"/>
      <c r="BX68" s="69"/>
      <c r="BY68" s="108"/>
      <c r="BZ68" s="69"/>
      <c r="CA68" s="108"/>
      <c r="CB68" s="69"/>
      <c r="CC68" s="108"/>
      <c r="CD68" s="69"/>
      <c r="CE68" s="69"/>
      <c r="CF68" s="64"/>
      <c r="CH68" s="40"/>
      <c r="CI68" s="40"/>
      <c r="CJ68" s="60" t="b">
        <f>IF(CA81=22,20)</f>
        <v>0</v>
      </c>
      <c r="CK68" s="40"/>
      <c r="CL68" s="40"/>
      <c r="CM68" s="40"/>
      <c r="CN68" s="40"/>
      <c r="CO68" s="40"/>
      <c r="CP68" s="40"/>
      <c r="CQ68" s="40"/>
      <c r="CR68" s="40"/>
      <c r="CS68" s="40"/>
      <c r="DF68" s="564">
        <v>32</v>
      </c>
      <c r="DG68" s="528">
        <f t="shared" si="3"/>
        <v>560</v>
      </c>
      <c r="DH68" s="18">
        <f t="shared" si="4"/>
        <v>551.49234168683654</v>
      </c>
      <c r="DI68" s="218">
        <f t="shared" si="0"/>
        <v>339.81519981419234</v>
      </c>
      <c r="DJ68" s="219">
        <f t="shared" si="1"/>
        <v>339.81519981419234</v>
      </c>
      <c r="DK68" s="219">
        <f t="shared" si="5"/>
        <v>8.9197948020905073</v>
      </c>
      <c r="DL68" s="219" t="b">
        <f t="shared" si="2"/>
        <v>0</v>
      </c>
      <c r="DM68" s="565">
        <v>32</v>
      </c>
    </row>
    <row r="69" spans="2:117" ht="23" hidden="1" thickBot="1" x14ac:dyDescent="0.35">
      <c r="D69" s="26"/>
      <c r="G69" s="890"/>
      <c r="H69" s="22"/>
      <c r="I69" s="22"/>
      <c r="J69" s="22"/>
      <c r="K69" s="22"/>
      <c r="L69" s="22"/>
      <c r="M69" s="22"/>
      <c r="N69" s="22"/>
      <c r="O69" s="883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Q69" s="85"/>
      <c r="AR69" s="86"/>
      <c r="AS69" s="86"/>
      <c r="AT69" s="81"/>
      <c r="AU69" s="81"/>
      <c r="AV69" s="81"/>
      <c r="AW69" s="81"/>
      <c r="BB69" s="855"/>
      <c r="BC69" s="47"/>
      <c r="BD69" s="932"/>
      <c r="BE69" s="100"/>
      <c r="BF69" s="100"/>
      <c r="BG69" s="101"/>
      <c r="BH69" s="100"/>
      <c r="BI69" s="100"/>
      <c r="BJ69" s="100"/>
      <c r="BP69" s="105">
        <v>10</v>
      </c>
      <c r="BQ69" s="68" t="b">
        <f>IF(BZ81=21,1)</f>
        <v>0</v>
      </c>
      <c r="BR69" s="100"/>
      <c r="BT69" s="108"/>
      <c r="BU69" s="108"/>
      <c r="BV69" s="69"/>
      <c r="BW69" s="69"/>
      <c r="BX69" s="69"/>
      <c r="BY69" s="108"/>
      <c r="BZ69" s="108"/>
      <c r="CA69" s="108"/>
      <c r="CB69" s="69"/>
      <c r="CC69" s="108"/>
      <c r="CD69" s="69"/>
      <c r="CE69" s="69"/>
      <c r="CF69" s="64"/>
      <c r="CH69" s="40"/>
      <c r="CI69" s="60" t="b">
        <f>IF(BZ81=21,20)</f>
        <v>0</v>
      </c>
      <c r="CJ69" s="40"/>
      <c r="CK69" s="40"/>
      <c r="CL69" s="40"/>
      <c r="CM69" s="40"/>
      <c r="CN69" s="40"/>
      <c r="CO69" s="40"/>
      <c r="CP69" s="40"/>
      <c r="CQ69" s="40"/>
      <c r="CR69" s="40"/>
      <c r="CS69" s="40"/>
      <c r="DF69" s="564">
        <v>33</v>
      </c>
      <c r="DG69" s="528">
        <f t="shared" si="3"/>
        <v>588</v>
      </c>
      <c r="DH69" s="18">
        <f t="shared" si="4"/>
        <v>579.06695877117841</v>
      </c>
      <c r="DI69" s="218">
        <f t="shared" si="0"/>
        <v>367.38981689853421</v>
      </c>
      <c r="DJ69" s="219">
        <f t="shared" si="1"/>
        <v>367.38981689853421</v>
      </c>
      <c r="DK69" s="219">
        <f t="shared" si="5"/>
        <v>8.9197948020905073</v>
      </c>
      <c r="DL69" s="219" t="b">
        <f t="shared" si="2"/>
        <v>0</v>
      </c>
      <c r="DM69" s="565">
        <v>33</v>
      </c>
    </row>
    <row r="70" spans="2:117" ht="23" hidden="1" thickBot="1" x14ac:dyDescent="0.35">
      <c r="B70" s="110"/>
      <c r="C70" s="110"/>
      <c r="D70" s="26"/>
      <c r="G70" s="890"/>
      <c r="H70" s="22"/>
      <c r="I70" s="22"/>
      <c r="J70" s="22"/>
      <c r="K70" s="22"/>
      <c r="L70" s="22"/>
      <c r="M70" s="22"/>
      <c r="N70" s="22"/>
      <c r="O70" s="883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Q70" s="85"/>
      <c r="AR70" s="86"/>
      <c r="AS70" s="86"/>
      <c r="AT70" s="81"/>
      <c r="AU70" s="81"/>
      <c r="AV70" s="81"/>
      <c r="AW70" s="81"/>
      <c r="BB70" s="855"/>
      <c r="BC70" s="47"/>
      <c r="BD70" s="932"/>
      <c r="BE70" s="100"/>
      <c r="BF70" s="100"/>
      <c r="BG70" s="101"/>
      <c r="BH70" s="100"/>
      <c r="BI70" s="100"/>
      <c r="BJ70" s="100"/>
      <c r="BP70" s="105">
        <v>9</v>
      </c>
      <c r="BQ70" s="68">
        <f>IF(BY81=20,1)</f>
        <v>1</v>
      </c>
      <c r="BR70" s="108"/>
      <c r="BS70" s="108"/>
      <c r="BT70" s="69"/>
      <c r="BU70" s="108"/>
      <c r="BV70" s="108"/>
      <c r="BW70" s="108"/>
      <c r="BX70" s="108"/>
      <c r="BY70" s="108"/>
      <c r="BZ70" s="108"/>
      <c r="CA70" s="108"/>
      <c r="CB70" s="108"/>
      <c r="CC70" s="108"/>
      <c r="CD70" s="69"/>
      <c r="CE70" s="69"/>
      <c r="CF70" s="64"/>
      <c r="CG70" s="60">
        <f>IF(BY81=20,17)</f>
        <v>17</v>
      </c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DF70" s="564">
        <v>34</v>
      </c>
      <c r="DG70" s="528">
        <f t="shared" si="3"/>
        <v>616</v>
      </c>
      <c r="DH70" s="18">
        <f t="shared" si="4"/>
        <v>606.64157585552027</v>
      </c>
      <c r="DI70" s="218">
        <f t="shared" si="0"/>
        <v>394.96443398287607</v>
      </c>
      <c r="DJ70" s="219">
        <f t="shared" si="1"/>
        <v>394.96443398287607</v>
      </c>
      <c r="DK70" s="219">
        <f t="shared" si="5"/>
        <v>8.9197948020905073</v>
      </c>
      <c r="DL70" s="219" t="b">
        <f t="shared" si="2"/>
        <v>0</v>
      </c>
      <c r="DM70" s="565">
        <v>34</v>
      </c>
    </row>
    <row r="71" spans="2:117" ht="23" hidden="1" thickBot="1" x14ac:dyDescent="0.35">
      <c r="B71" s="110"/>
      <c r="C71" s="110"/>
      <c r="D71" s="26"/>
      <c r="G71" s="890"/>
      <c r="H71" s="22"/>
      <c r="I71" s="22"/>
      <c r="J71" s="22"/>
      <c r="K71" s="22"/>
      <c r="L71" s="22"/>
      <c r="M71" s="22"/>
      <c r="N71" s="22"/>
      <c r="O71" s="883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Q71" s="85"/>
      <c r="AR71" s="86"/>
      <c r="AS71" s="86"/>
      <c r="AT71" s="81"/>
      <c r="AU71" s="81"/>
      <c r="AV71" s="81"/>
      <c r="AW71" s="81"/>
      <c r="BB71" s="855"/>
      <c r="BC71" s="47"/>
      <c r="BD71" s="932"/>
      <c r="BE71" s="100"/>
      <c r="BF71" s="100"/>
      <c r="BG71" s="101"/>
      <c r="BH71" s="100"/>
      <c r="BI71" s="100"/>
      <c r="BJ71" s="100"/>
      <c r="BP71" s="105">
        <v>8</v>
      </c>
      <c r="BQ71" s="71" t="b">
        <f>IF(BX81=19,1)</f>
        <v>0</v>
      </c>
      <c r="BR71" s="73"/>
      <c r="BS71" s="109"/>
      <c r="BT71" s="109"/>
      <c r="BU71" s="109"/>
      <c r="BV71" s="109"/>
      <c r="BW71" s="109"/>
      <c r="BX71" s="109"/>
      <c r="BY71" s="109"/>
      <c r="BZ71" s="109"/>
      <c r="CA71" s="109"/>
      <c r="CB71" s="109"/>
      <c r="CC71" s="109"/>
      <c r="CD71" s="73"/>
      <c r="CE71" s="75" t="b">
        <f>IF(BX81=19,15)</f>
        <v>0</v>
      </c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DF71" s="564">
        <v>35</v>
      </c>
      <c r="DG71" s="528">
        <f t="shared" si="3"/>
        <v>644</v>
      </c>
      <c r="DH71" s="18">
        <f t="shared" si="4"/>
        <v>634.21619293986214</v>
      </c>
      <c r="DI71" s="218">
        <f t="shared" si="0"/>
        <v>422.53905106721794</v>
      </c>
      <c r="DJ71" s="219">
        <f t="shared" si="1"/>
        <v>422.53905106721794</v>
      </c>
      <c r="DK71" s="219">
        <f t="shared" si="5"/>
        <v>8.9197948020905073</v>
      </c>
      <c r="DL71" s="219" t="b">
        <f t="shared" si="2"/>
        <v>0</v>
      </c>
      <c r="DM71" s="565">
        <v>35</v>
      </c>
    </row>
    <row r="72" spans="2:117" ht="23" hidden="1" thickBot="1" x14ac:dyDescent="0.35">
      <c r="G72" s="890"/>
      <c r="H72" s="22"/>
      <c r="I72" s="22"/>
      <c r="J72" s="22"/>
      <c r="K72" s="22"/>
      <c r="L72" s="22"/>
      <c r="M72" s="22"/>
      <c r="N72" s="22"/>
      <c r="O72" s="883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Q72" s="85"/>
      <c r="AR72" s="86"/>
      <c r="AS72" s="86"/>
      <c r="AT72" s="81"/>
      <c r="AU72" s="81"/>
      <c r="AV72" s="81"/>
      <c r="AW72" s="81"/>
      <c r="BB72" s="855"/>
      <c r="BC72" s="47"/>
      <c r="BD72" s="932"/>
      <c r="BE72" s="100"/>
      <c r="BF72" s="100"/>
      <c r="BG72" s="101"/>
      <c r="BH72" s="100"/>
      <c r="BI72" s="100"/>
      <c r="BJ72" s="100"/>
      <c r="BP72" s="105">
        <v>7</v>
      </c>
      <c r="BQ72" s="71" t="b">
        <f>IF(BW81=18,1)</f>
        <v>0</v>
      </c>
      <c r="BR72" s="109"/>
      <c r="BS72" s="109"/>
      <c r="BT72" s="109"/>
      <c r="BU72" s="109"/>
      <c r="BV72" s="109"/>
      <c r="BW72" s="109"/>
      <c r="BX72" s="109"/>
      <c r="BY72" s="109"/>
      <c r="BZ72" s="109"/>
      <c r="CA72" s="109"/>
      <c r="CB72" s="109"/>
      <c r="CC72" s="75" t="b">
        <f>IF(BW81=18,13)</f>
        <v>0</v>
      </c>
      <c r="CD72" s="101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DF72" s="564">
        <v>36</v>
      </c>
      <c r="DG72" s="528">
        <f t="shared" si="3"/>
        <v>672</v>
      </c>
      <c r="DH72" s="18">
        <f t="shared" si="4"/>
        <v>661.79081002420401</v>
      </c>
      <c r="DI72" s="218">
        <f t="shared" si="0"/>
        <v>450.11366815155981</v>
      </c>
      <c r="DJ72" s="219">
        <f t="shared" si="1"/>
        <v>450.11366815155981</v>
      </c>
      <c r="DK72" s="219">
        <f t="shared" si="5"/>
        <v>8.9197948020905073</v>
      </c>
      <c r="DL72" s="219" t="b">
        <f t="shared" si="2"/>
        <v>0</v>
      </c>
      <c r="DM72" s="565">
        <v>36</v>
      </c>
    </row>
    <row r="73" spans="2:117" ht="23" hidden="1" thickBot="1" x14ac:dyDescent="0.35">
      <c r="G73" s="890"/>
      <c r="H73" s="22"/>
      <c r="I73" s="22"/>
      <c r="J73" s="22"/>
      <c r="K73" s="22"/>
      <c r="L73" s="22"/>
      <c r="M73" s="22"/>
      <c r="N73" s="22"/>
      <c r="O73" s="883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Q73" s="85"/>
      <c r="AR73" s="86"/>
      <c r="AS73" s="86"/>
      <c r="AT73" s="81"/>
      <c r="AU73" s="81"/>
      <c r="AV73" s="81"/>
      <c r="AW73" s="81"/>
      <c r="BB73" s="855"/>
      <c r="BC73" s="47"/>
      <c r="BD73" s="932"/>
      <c r="BE73" s="100"/>
      <c r="BF73" s="100"/>
      <c r="BG73" s="101"/>
      <c r="BH73" s="100"/>
      <c r="BI73" s="100"/>
      <c r="BJ73" s="100"/>
      <c r="BP73" s="105">
        <v>6</v>
      </c>
      <c r="BQ73" s="71" t="b">
        <f>IF(BV81=17,1)</f>
        <v>0</v>
      </c>
      <c r="BR73" s="109"/>
      <c r="BS73" s="109"/>
      <c r="BT73" s="109"/>
      <c r="BU73" s="109"/>
      <c r="BV73" s="109"/>
      <c r="BW73" s="109"/>
      <c r="BX73" s="109"/>
      <c r="BY73" s="109"/>
      <c r="BZ73" s="109"/>
      <c r="CA73" s="75" t="b">
        <f>IF(BV81=17,11)</f>
        <v>0</v>
      </c>
      <c r="CB73" s="100"/>
      <c r="CC73" s="100"/>
      <c r="CD73" s="101"/>
      <c r="CF73" s="40"/>
      <c r="CG73" s="40"/>
      <c r="CH73" s="40"/>
      <c r="CI73" s="40"/>
      <c r="CJ73" s="40"/>
      <c r="CK73" s="40"/>
      <c r="CL73" s="40"/>
      <c r="CM73" s="40"/>
      <c r="CN73" s="40"/>
      <c r="CO73" s="40"/>
      <c r="CP73" s="40"/>
      <c r="CQ73" s="40"/>
      <c r="CR73" s="40"/>
      <c r="CS73" s="40"/>
      <c r="DF73" s="566">
        <v>37</v>
      </c>
      <c r="DG73" s="528">
        <f t="shared" si="3"/>
        <v>700</v>
      </c>
      <c r="DH73" s="18">
        <f t="shared" si="4"/>
        <v>689.36542710854587</v>
      </c>
      <c r="DI73" s="218">
        <f t="shared" si="0"/>
        <v>477.68828523590167</v>
      </c>
      <c r="DJ73" s="219">
        <f t="shared" si="1"/>
        <v>477.68828523590167</v>
      </c>
      <c r="DK73" s="219">
        <f t="shared" si="5"/>
        <v>8.9197948020905073</v>
      </c>
      <c r="DL73" s="219" t="b">
        <f t="shared" si="2"/>
        <v>0</v>
      </c>
      <c r="DM73" s="567">
        <v>37</v>
      </c>
    </row>
    <row r="74" spans="2:117" ht="23" hidden="1" thickBot="1" x14ac:dyDescent="0.35">
      <c r="G74" s="890"/>
      <c r="H74" s="22"/>
      <c r="I74" s="22"/>
      <c r="J74" s="22"/>
      <c r="K74" s="22"/>
      <c r="L74" s="22"/>
      <c r="M74" s="22"/>
      <c r="N74" s="22"/>
      <c r="O74" s="883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Q74" s="85"/>
      <c r="AR74" s="86"/>
      <c r="AS74" s="86"/>
      <c r="AT74" s="81"/>
      <c r="AU74" s="81"/>
      <c r="AV74" s="81"/>
      <c r="AW74" s="81"/>
      <c r="BB74" s="855"/>
      <c r="BC74" s="47"/>
      <c r="BD74" s="932"/>
      <c r="BE74" s="100"/>
      <c r="BF74" s="100"/>
      <c r="BG74" s="101"/>
      <c r="BH74" s="100"/>
      <c r="BI74" s="100"/>
      <c r="BJ74" s="100"/>
      <c r="BP74" s="105">
        <v>5</v>
      </c>
      <c r="BQ74" s="68" t="b">
        <f>IF(BU81=16,1)</f>
        <v>0</v>
      </c>
      <c r="BR74" s="108"/>
      <c r="BS74" s="108"/>
      <c r="BT74" s="69"/>
      <c r="BU74" s="108"/>
      <c r="BV74" s="69"/>
      <c r="BW74" s="108"/>
      <c r="BX74" s="108"/>
      <c r="BY74" s="60" t="b">
        <f>IF(BU81=16,9)</f>
        <v>0</v>
      </c>
      <c r="BZ74" s="100"/>
      <c r="CA74" s="100"/>
      <c r="CB74" s="100"/>
      <c r="CC74" s="100"/>
      <c r="CD74" s="101"/>
      <c r="CF74" s="40"/>
      <c r="CG74" s="40"/>
      <c r="CH74" s="40"/>
      <c r="CI74" s="40"/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DF74" s="566">
        <v>38</v>
      </c>
      <c r="DG74" s="528">
        <f t="shared" si="3"/>
        <v>728</v>
      </c>
      <c r="DH74" s="18">
        <f t="shared" si="4"/>
        <v>716.94004419288774</v>
      </c>
      <c r="DI74" s="218">
        <f t="shared" si="0"/>
        <v>505.26290232024354</v>
      </c>
      <c r="DJ74" s="219">
        <f t="shared" si="1"/>
        <v>505.26290232024354</v>
      </c>
      <c r="DK74" s="219">
        <f t="shared" si="5"/>
        <v>8.9197948020905073</v>
      </c>
      <c r="DL74" s="219" t="b">
        <f t="shared" si="2"/>
        <v>0</v>
      </c>
      <c r="DM74" s="567">
        <v>38</v>
      </c>
    </row>
    <row r="75" spans="2:117" ht="23" hidden="1" thickBot="1" x14ac:dyDescent="0.35">
      <c r="B75" s="110"/>
      <c r="C75" s="110"/>
      <c r="D75" s="26"/>
      <c r="G75" s="890"/>
      <c r="H75" s="22"/>
      <c r="I75" s="22"/>
      <c r="J75" s="22"/>
      <c r="K75" s="22"/>
      <c r="L75" s="22"/>
      <c r="M75" s="22"/>
      <c r="N75" s="22"/>
      <c r="O75" s="883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Q75" s="85"/>
      <c r="AR75" s="86"/>
      <c r="AS75" s="86"/>
      <c r="AT75" s="81"/>
      <c r="AU75" s="81"/>
      <c r="AV75" s="81"/>
      <c r="AW75" s="81"/>
      <c r="BB75" s="855"/>
      <c r="BC75" s="47"/>
      <c r="BD75" s="932"/>
      <c r="BE75" s="100"/>
      <c r="BF75" s="100"/>
      <c r="BG75" s="101"/>
      <c r="BH75" s="100"/>
      <c r="BI75" s="100"/>
      <c r="BJ75" s="100"/>
      <c r="BP75" s="105">
        <v>4</v>
      </c>
      <c r="BQ75" s="68" t="b">
        <f>IF(BT81=15,1)</f>
        <v>0</v>
      </c>
      <c r="BR75" s="69"/>
      <c r="BS75" s="69"/>
      <c r="BT75" s="108"/>
      <c r="BU75" s="69"/>
      <c r="BV75" s="69"/>
      <c r="BW75" s="60" t="b">
        <f>IF(BT81=15,7)</f>
        <v>0</v>
      </c>
      <c r="BX75" s="100"/>
      <c r="BY75" s="100"/>
      <c r="BZ75" s="100"/>
      <c r="CA75" s="100"/>
      <c r="CB75" s="100"/>
      <c r="CC75" s="100"/>
      <c r="CD75" s="101"/>
      <c r="CF75" s="40"/>
      <c r="CG75" s="40"/>
      <c r="CH75" s="40"/>
      <c r="CI75" s="40"/>
      <c r="CJ75" s="40"/>
      <c r="CK75" s="40"/>
      <c r="CL75" s="40"/>
      <c r="CM75" s="40"/>
      <c r="CN75" s="40"/>
      <c r="CO75" s="40"/>
      <c r="CP75" s="40"/>
      <c r="CQ75" s="40"/>
      <c r="CR75" s="40"/>
      <c r="CS75" s="40"/>
      <c r="DF75" s="566">
        <v>39</v>
      </c>
      <c r="DG75" s="528">
        <f t="shared" si="3"/>
        <v>756</v>
      </c>
      <c r="DH75" s="18">
        <f t="shared" si="4"/>
        <v>744.51466127722961</v>
      </c>
      <c r="DI75" s="218">
        <f t="shared" si="0"/>
        <v>532.83751940458546</v>
      </c>
      <c r="DJ75" s="219">
        <f t="shared" si="1"/>
        <v>532.83751940458546</v>
      </c>
      <c r="DK75" s="219">
        <f t="shared" si="5"/>
        <v>8.9197948020905073</v>
      </c>
      <c r="DL75" s="219" t="b">
        <f t="shared" si="2"/>
        <v>0</v>
      </c>
      <c r="DM75" s="567">
        <v>39</v>
      </c>
    </row>
    <row r="76" spans="2:117" ht="23" hidden="1" thickBot="1" x14ac:dyDescent="0.35">
      <c r="B76" s="110"/>
      <c r="G76" s="890"/>
      <c r="H76" s="22"/>
      <c r="I76" s="22"/>
      <c r="J76" s="22"/>
      <c r="K76" s="22"/>
      <c r="L76" s="22"/>
      <c r="M76" s="22"/>
      <c r="N76" s="22"/>
      <c r="O76" s="883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Q76" s="85"/>
      <c r="AR76" s="86"/>
      <c r="AS76" s="86"/>
      <c r="AT76" s="81"/>
      <c r="AU76" s="81"/>
      <c r="AV76" s="81"/>
      <c r="AW76" s="81"/>
      <c r="BB76" s="855"/>
      <c r="BC76" s="47"/>
      <c r="BD76" s="932"/>
      <c r="BE76" s="100"/>
      <c r="BF76" s="100"/>
      <c r="BG76" s="101"/>
      <c r="BH76" s="100"/>
      <c r="BI76" s="100"/>
      <c r="BJ76" s="100"/>
      <c r="BP76" s="105">
        <v>3</v>
      </c>
      <c r="BQ76" s="71" t="b">
        <f>IF(BS81=14,1)</f>
        <v>0</v>
      </c>
      <c r="BR76" s="109"/>
      <c r="BS76" s="109"/>
      <c r="BT76" s="109"/>
      <c r="BU76" s="75" t="b">
        <f>IF(BS81=14,5)</f>
        <v>0</v>
      </c>
      <c r="BV76" s="100"/>
      <c r="BW76" s="100"/>
      <c r="BX76" s="100"/>
      <c r="BY76" s="100"/>
      <c r="BZ76" s="100"/>
      <c r="CA76" s="100"/>
      <c r="CB76" s="100"/>
      <c r="CC76" s="100"/>
      <c r="CD76" s="101"/>
      <c r="CF76" s="40"/>
      <c r="CG76" s="40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DF76" s="566">
        <v>40</v>
      </c>
      <c r="DG76" s="528">
        <f t="shared" si="3"/>
        <v>784</v>
      </c>
      <c r="DH76" s="18">
        <f t="shared" si="4"/>
        <v>772.08927836157147</v>
      </c>
      <c r="DI76" s="218">
        <f t="shared" si="0"/>
        <v>560.41213648892722</v>
      </c>
      <c r="DJ76" s="219">
        <f t="shared" si="1"/>
        <v>560.41213648892722</v>
      </c>
      <c r="DK76" s="219">
        <f t="shared" si="5"/>
        <v>8.9197948020905073</v>
      </c>
      <c r="DL76" s="219" t="b">
        <f t="shared" si="2"/>
        <v>0</v>
      </c>
      <c r="DM76" s="567">
        <v>40</v>
      </c>
    </row>
    <row r="77" spans="2:117" ht="23" hidden="1" thickBot="1" x14ac:dyDescent="0.35">
      <c r="G77" s="890"/>
      <c r="H77" s="22"/>
      <c r="I77" s="22"/>
      <c r="J77" s="22"/>
      <c r="K77" s="22"/>
      <c r="L77" s="22"/>
      <c r="M77" s="22"/>
      <c r="N77" s="22"/>
      <c r="O77" s="883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Q77" s="85"/>
      <c r="AR77" s="86"/>
      <c r="AS77" s="86"/>
      <c r="AT77" s="81"/>
      <c r="AU77" s="81"/>
      <c r="AV77" s="81"/>
      <c r="AW77" s="81"/>
      <c r="BB77" s="855"/>
      <c r="BC77" s="47"/>
      <c r="BD77" s="932"/>
      <c r="BE77" s="100"/>
      <c r="BF77" s="100"/>
      <c r="BG77" s="101"/>
      <c r="BH77" s="100"/>
      <c r="BI77" s="100"/>
      <c r="BJ77" s="100"/>
      <c r="BP77" s="105">
        <v>2</v>
      </c>
      <c r="BQ77" s="71" t="b">
        <f>IF(BR81=13,1)</f>
        <v>0</v>
      </c>
      <c r="BR77" s="109"/>
      <c r="BS77" s="75" t="b">
        <f>IF(BR81=13,3)</f>
        <v>0</v>
      </c>
      <c r="BT77" s="100"/>
      <c r="BU77" s="100"/>
      <c r="BV77" s="100"/>
      <c r="BW77" s="100"/>
      <c r="BX77" s="100"/>
      <c r="BY77" s="100"/>
      <c r="BZ77" s="100"/>
      <c r="CA77" s="100"/>
      <c r="CB77" s="100"/>
      <c r="CC77" s="100"/>
      <c r="CD77" s="101"/>
      <c r="CF77" s="40"/>
      <c r="CG77" s="40"/>
      <c r="CH77" s="40"/>
      <c r="CI77" s="40"/>
      <c r="CJ77" s="40"/>
      <c r="CK77" s="40"/>
      <c r="CL77" s="40"/>
      <c r="CM77" s="40"/>
      <c r="CN77" s="40"/>
      <c r="CO77" s="40"/>
      <c r="CP77" s="40"/>
      <c r="CQ77" s="40"/>
      <c r="CR77" s="40"/>
      <c r="CS77" s="40"/>
      <c r="DF77" s="568">
        <v>41</v>
      </c>
      <c r="DG77" s="569">
        <f t="shared" si="3"/>
        <v>812</v>
      </c>
      <c r="DH77" s="570">
        <f t="shared" si="4"/>
        <v>799.66389544591334</v>
      </c>
      <c r="DI77" s="571">
        <f t="shared" si="0"/>
        <v>587.9867535732692</v>
      </c>
      <c r="DJ77" s="572">
        <f t="shared" si="1"/>
        <v>587.9867535732692</v>
      </c>
      <c r="DK77" s="572">
        <f t="shared" si="5"/>
        <v>8.9197948020905073</v>
      </c>
      <c r="DL77" s="572" t="b">
        <f t="shared" si="2"/>
        <v>0</v>
      </c>
      <c r="DM77" s="573">
        <v>41</v>
      </c>
    </row>
    <row r="78" spans="2:117" ht="18" customHeight="1" thickBot="1" x14ac:dyDescent="0.25">
      <c r="G78" s="890"/>
      <c r="H78" s="22"/>
      <c r="I78" s="22"/>
      <c r="J78" s="22"/>
      <c r="K78" s="22"/>
      <c r="L78" s="22"/>
      <c r="M78" s="22"/>
      <c r="N78" s="22"/>
      <c r="O78" s="883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Q78" s="85"/>
      <c r="AR78" s="86"/>
      <c r="AS78" s="86"/>
      <c r="AT78" s="81"/>
      <c r="AU78" s="81"/>
      <c r="AV78" s="81"/>
      <c r="AW78" s="81"/>
      <c r="BB78" s="855"/>
      <c r="BC78" s="47"/>
      <c r="BD78" s="932"/>
      <c r="BE78" s="100"/>
      <c r="BF78" s="100"/>
      <c r="BG78" s="101"/>
      <c r="BH78" s="100"/>
      <c r="BI78" s="100"/>
      <c r="BJ78" s="100"/>
      <c r="BK78" s="38"/>
      <c r="BL78" s="100"/>
      <c r="BP78" s="100"/>
      <c r="BQ78" s="100"/>
      <c r="BR78" s="100"/>
      <c r="BS78" s="100"/>
      <c r="BT78" s="100"/>
      <c r="BU78" s="100"/>
      <c r="BV78" s="100"/>
      <c r="BW78" s="100"/>
      <c r="BX78" s="100"/>
      <c r="BY78" s="100"/>
      <c r="BZ78" s="100"/>
      <c r="CA78" s="101"/>
      <c r="CB78" s="62"/>
      <c r="CC78" s="62"/>
      <c r="CD78" s="62"/>
      <c r="CF78" s="40"/>
      <c r="CG78" s="40"/>
      <c r="CH78" s="40"/>
      <c r="CI78" s="40"/>
      <c r="CJ78" s="40"/>
      <c r="CK78" s="40"/>
      <c r="CL78" s="40"/>
      <c r="CM78" s="40"/>
      <c r="CN78" s="40"/>
      <c r="CO78" s="40"/>
      <c r="CP78" s="40"/>
      <c r="CQ78" s="40"/>
      <c r="CR78" s="40"/>
      <c r="CS78" s="40"/>
    </row>
    <row r="79" spans="2:117" ht="43.5" customHeight="1" thickBot="1" x14ac:dyDescent="0.3">
      <c r="G79" s="834"/>
      <c r="H79" s="22"/>
      <c r="I79" s="22"/>
      <c r="J79" s="22"/>
      <c r="K79" s="22"/>
      <c r="L79" s="22"/>
      <c r="M79" s="22"/>
      <c r="N79" s="22"/>
      <c r="O79" s="883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Q79" s="85"/>
      <c r="AS79" s="86"/>
      <c r="AT79" s="81"/>
      <c r="AU79" s="81"/>
      <c r="AV79" s="81"/>
      <c r="AW79" s="81"/>
      <c r="AX79" s="81"/>
      <c r="AZ79" s="81"/>
      <c r="BA79" s="81"/>
      <c r="BB79" s="856"/>
      <c r="BC79" s="111"/>
      <c r="BD79" s="936" t="s">
        <v>110</v>
      </c>
      <c r="BE79" s="874" t="s">
        <v>115</v>
      </c>
      <c r="BF79" s="112"/>
      <c r="BG79" s="113"/>
      <c r="BH79" s="113"/>
      <c r="BI79" s="113"/>
      <c r="BJ79" s="113"/>
      <c r="BK79" s="113"/>
      <c r="BL79" s="113"/>
      <c r="BM79" s="113"/>
      <c r="BN79" s="113"/>
      <c r="BO79" s="113"/>
      <c r="BP79" s="113"/>
      <c r="BQ79" s="450">
        <f t="shared" ref="BQ79:CF79" si="6">SUM(BQ60:BQ78)</f>
        <v>1</v>
      </c>
      <c r="BR79" s="451">
        <f t="shared" si="6"/>
        <v>0</v>
      </c>
      <c r="BS79" s="451">
        <f t="shared" si="6"/>
        <v>0</v>
      </c>
      <c r="BT79" s="451">
        <f t="shared" si="6"/>
        <v>0</v>
      </c>
      <c r="BU79" s="451">
        <f t="shared" si="6"/>
        <v>0</v>
      </c>
      <c r="BV79" s="451">
        <f t="shared" si="6"/>
        <v>0</v>
      </c>
      <c r="BW79" s="451">
        <f t="shared" si="6"/>
        <v>0</v>
      </c>
      <c r="BX79" s="451">
        <f t="shared" si="6"/>
        <v>0</v>
      </c>
      <c r="BY79" s="451">
        <f t="shared" si="6"/>
        <v>0</v>
      </c>
      <c r="BZ79" s="451">
        <f t="shared" si="6"/>
        <v>0</v>
      </c>
      <c r="CA79" s="451">
        <f t="shared" si="6"/>
        <v>0</v>
      </c>
      <c r="CB79" s="451">
        <f t="shared" si="6"/>
        <v>0</v>
      </c>
      <c r="CC79" s="451">
        <f t="shared" si="6"/>
        <v>0</v>
      </c>
      <c r="CD79" s="451">
        <f t="shared" si="6"/>
        <v>0</v>
      </c>
      <c r="CE79" s="451">
        <f t="shared" si="6"/>
        <v>0</v>
      </c>
      <c r="CF79" s="451">
        <f t="shared" si="6"/>
        <v>0</v>
      </c>
      <c r="CG79" s="451">
        <f>SUM(CG60:CG78)</f>
        <v>17</v>
      </c>
      <c r="CH79" s="451">
        <f>SUM(CH60:CH78)</f>
        <v>0</v>
      </c>
      <c r="CI79" s="451">
        <f>SUM(CI60:CI78)</f>
        <v>0</v>
      </c>
      <c r="CJ79" s="452">
        <f>SUM(CJ60:CJ78)</f>
        <v>0</v>
      </c>
      <c r="CK79" s="113"/>
      <c r="CL79" s="113"/>
      <c r="CM79" s="113"/>
      <c r="CN79" s="114"/>
      <c r="CO79" s="114"/>
      <c r="CP79" s="114"/>
      <c r="CQ79" s="114"/>
      <c r="CR79" s="114"/>
      <c r="CS79" s="114"/>
      <c r="CT79" s="115"/>
    </row>
    <row r="80" spans="2:117" ht="43.5" customHeight="1" thickBot="1" x14ac:dyDescent="0.3">
      <c r="G80" s="890"/>
      <c r="H80" s="22"/>
      <c r="I80" s="22"/>
      <c r="J80" s="22"/>
      <c r="K80" s="22"/>
      <c r="L80" s="22"/>
      <c r="M80" s="22"/>
      <c r="N80" s="22"/>
      <c r="O80" s="883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Q80" s="85"/>
      <c r="AR80" s="86"/>
      <c r="AS80" s="86"/>
      <c r="AT80" s="81"/>
      <c r="AU80" s="81"/>
      <c r="AV80" s="81"/>
      <c r="AW80" s="81"/>
      <c r="AX80" s="81"/>
      <c r="AY80" s="81"/>
      <c r="AZ80" s="81"/>
      <c r="BA80" s="667" t="s">
        <v>219</v>
      </c>
      <c r="BB80" s="855" t="b">
        <f>AND(BD80&gt;=10,$AN$150&gt;=10,$AO$150&gt;=10)</f>
        <v>1</v>
      </c>
      <c r="BC80" s="873" t="str">
        <f>IF(BB80=TRUE,"O K","OVERLOAD")</f>
        <v>O K</v>
      </c>
      <c r="BD80" s="947">
        <f>+$D$8/(BF49/2)</f>
        <v>250</v>
      </c>
      <c r="BE80" s="116"/>
      <c r="BF80" s="62"/>
      <c r="BG80" s="63"/>
      <c r="BH80" s="62"/>
      <c r="BI80" s="62"/>
      <c r="BJ80" s="62"/>
      <c r="BK80" s="63"/>
      <c r="BL80" s="62"/>
      <c r="BM80" s="62"/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  <c r="CE80" s="62"/>
      <c r="CF80" s="62"/>
      <c r="CG80" s="62"/>
      <c r="CH80" s="40"/>
      <c r="CI80" s="40"/>
      <c r="CJ80" s="40"/>
      <c r="CK80" s="40"/>
      <c r="CL80" s="40"/>
      <c r="CM80" s="40"/>
      <c r="CN80" s="40"/>
      <c r="CO80" s="40"/>
      <c r="CP80" s="40"/>
      <c r="CQ80" s="40"/>
      <c r="CR80" s="40"/>
      <c r="CS80" s="40"/>
    </row>
    <row r="81" spans="7:98" ht="20" hidden="1" x14ac:dyDescent="0.2">
      <c r="G81" s="890"/>
      <c r="H81" s="22"/>
      <c r="I81" s="22"/>
      <c r="J81" s="22"/>
      <c r="K81" s="22"/>
      <c r="L81" s="22"/>
      <c r="M81" s="22"/>
      <c r="N81" s="22"/>
      <c r="O81" s="883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Q81" s="85"/>
      <c r="AR81" s="86"/>
      <c r="AS81" s="86"/>
      <c r="AT81" s="81"/>
      <c r="AU81" s="81"/>
      <c r="AV81" s="81"/>
      <c r="AW81" s="81"/>
      <c r="AX81" s="81"/>
      <c r="AY81" s="81"/>
      <c r="AZ81" s="81"/>
      <c r="BA81" s="81"/>
      <c r="BB81" s="856"/>
      <c r="BC81" s="111"/>
      <c r="BD81" s="932"/>
      <c r="BE81" s="38"/>
      <c r="BF81" s="117" t="b">
        <f>+DL37</f>
        <v>0</v>
      </c>
      <c r="BG81" s="117" t="b">
        <f>+DL38</f>
        <v>0</v>
      </c>
      <c r="BH81" s="117" t="b">
        <f>+DL39</f>
        <v>0</v>
      </c>
      <c r="BI81" s="117" t="b">
        <f>+DL40</f>
        <v>0</v>
      </c>
      <c r="BJ81" s="117" t="b">
        <f>+DL41</f>
        <v>0</v>
      </c>
      <c r="BK81" s="117" t="b">
        <f>+DL42</f>
        <v>0</v>
      </c>
      <c r="BL81" s="117" t="b">
        <f>+DL43</f>
        <v>0</v>
      </c>
      <c r="BM81" s="117" t="b">
        <f>+DL44</f>
        <v>0</v>
      </c>
      <c r="BN81" s="117" t="b">
        <f>+DL45</f>
        <v>0</v>
      </c>
      <c r="BO81" s="117" t="b">
        <f>+DL46</f>
        <v>0</v>
      </c>
      <c r="BP81" s="117" t="b">
        <f>+DL47</f>
        <v>0</v>
      </c>
      <c r="BQ81" s="117" t="b">
        <f>+DL48</f>
        <v>0</v>
      </c>
      <c r="BR81" s="117" t="b">
        <f>+DL49</f>
        <v>0</v>
      </c>
      <c r="BS81" s="117" t="b">
        <f>+DL50</f>
        <v>0</v>
      </c>
      <c r="BT81" s="117" t="b">
        <f>+DL51</f>
        <v>0</v>
      </c>
      <c r="BU81" s="117" t="b">
        <f>+DL52</f>
        <v>0</v>
      </c>
      <c r="BV81" s="117" t="b">
        <f>+DL53</f>
        <v>0</v>
      </c>
      <c r="BW81" s="117" t="b">
        <f>+DL54</f>
        <v>0</v>
      </c>
      <c r="BX81" s="117" t="b">
        <f>+DL55</f>
        <v>0</v>
      </c>
      <c r="BY81" s="117">
        <f>+DL56</f>
        <v>20</v>
      </c>
      <c r="BZ81" s="117" t="b">
        <f>+DL57</f>
        <v>0</v>
      </c>
      <c r="CA81" s="117" t="b">
        <f>+DL58</f>
        <v>0</v>
      </c>
      <c r="CB81" s="117" t="b">
        <f>+DL59</f>
        <v>0</v>
      </c>
      <c r="CC81" s="117" t="b">
        <f>+DL60</f>
        <v>0</v>
      </c>
      <c r="CD81" s="117" t="b">
        <f>+DL61</f>
        <v>0</v>
      </c>
      <c r="CE81" s="117" t="b">
        <f>+DL62</f>
        <v>0</v>
      </c>
      <c r="CF81" s="117" t="b">
        <f>+DL63</f>
        <v>0</v>
      </c>
      <c r="CG81" s="117" t="b">
        <f>+DL64</f>
        <v>0</v>
      </c>
      <c r="CH81" s="117" t="b">
        <f>+DL65</f>
        <v>0</v>
      </c>
      <c r="CI81" s="117" t="b">
        <f>+DL66</f>
        <v>0</v>
      </c>
      <c r="CJ81" s="117" t="b">
        <f>+DL67</f>
        <v>0</v>
      </c>
      <c r="CK81" s="117" t="b">
        <f>+DL68</f>
        <v>0</v>
      </c>
      <c r="CL81" s="117" t="b">
        <f>+DL69</f>
        <v>0</v>
      </c>
      <c r="CM81" s="117" t="b">
        <f>+DL70</f>
        <v>0</v>
      </c>
      <c r="CN81" s="117" t="b">
        <f>+DL71</f>
        <v>0</v>
      </c>
      <c r="CO81" s="117" t="b">
        <f>+DL72</f>
        <v>0</v>
      </c>
      <c r="CP81" s="117" t="b">
        <f>+DL73</f>
        <v>0</v>
      </c>
      <c r="CQ81" s="117" t="b">
        <f>+DL74</f>
        <v>0</v>
      </c>
      <c r="CR81" s="117" t="b">
        <f>+DL75</f>
        <v>0</v>
      </c>
      <c r="CS81" s="117" t="b">
        <f>+DL76</f>
        <v>0</v>
      </c>
      <c r="CT81" s="117" t="b">
        <f>+DL77</f>
        <v>0</v>
      </c>
    </row>
    <row r="82" spans="7:98" ht="21" hidden="1" thickBot="1" x14ac:dyDescent="0.25">
      <c r="G82" s="890"/>
      <c r="H82" s="22"/>
      <c r="I82" s="22"/>
      <c r="J82" s="22"/>
      <c r="K82" s="22"/>
      <c r="L82" s="22"/>
      <c r="M82" s="22"/>
      <c r="N82" s="22"/>
      <c r="O82" s="883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Q82" s="85"/>
      <c r="AR82" s="86"/>
      <c r="AS82" s="86"/>
      <c r="AT82" s="81"/>
      <c r="AU82" s="81"/>
      <c r="AV82" s="81"/>
      <c r="AW82" s="81"/>
      <c r="AX82" s="81"/>
      <c r="AY82" s="81"/>
      <c r="AZ82" s="81"/>
      <c r="BA82" s="81"/>
      <c r="BB82" s="856"/>
      <c r="BC82" s="111"/>
      <c r="BD82" s="932"/>
      <c r="BE82" s="40"/>
      <c r="BF82" s="118" t="b">
        <f>+BF81</f>
        <v>0</v>
      </c>
      <c r="BG82" s="118" t="b">
        <f t="shared" ref="BG82:BX82" si="7">+BG81</f>
        <v>0</v>
      </c>
      <c r="BH82" s="118" t="b">
        <f t="shared" si="7"/>
        <v>0</v>
      </c>
      <c r="BI82" s="118" t="b">
        <f t="shared" si="7"/>
        <v>0</v>
      </c>
      <c r="BJ82" s="118" t="b">
        <f t="shared" si="7"/>
        <v>0</v>
      </c>
      <c r="BK82" s="118" t="b">
        <f t="shared" si="7"/>
        <v>0</v>
      </c>
      <c r="BL82" s="118" t="b">
        <f>+BL81</f>
        <v>0</v>
      </c>
      <c r="BM82" s="118" t="b">
        <f t="shared" si="7"/>
        <v>0</v>
      </c>
      <c r="BN82" s="118" t="b">
        <f t="shared" si="7"/>
        <v>0</v>
      </c>
      <c r="BO82" s="118" t="b">
        <f t="shared" si="7"/>
        <v>0</v>
      </c>
      <c r="BP82" s="118" t="b">
        <f t="shared" si="7"/>
        <v>0</v>
      </c>
      <c r="BQ82" s="118" t="b">
        <f>+BQ81</f>
        <v>0</v>
      </c>
      <c r="BR82" s="118" t="b">
        <f>+BR81</f>
        <v>0</v>
      </c>
      <c r="BS82" s="118" t="b">
        <f>+BS81</f>
        <v>0</v>
      </c>
      <c r="BT82" s="118" t="b">
        <f>+BT81</f>
        <v>0</v>
      </c>
      <c r="BU82" s="118" t="b">
        <f>+BU81</f>
        <v>0</v>
      </c>
      <c r="BV82" s="118" t="b">
        <f t="shared" si="7"/>
        <v>0</v>
      </c>
      <c r="BW82" s="118" t="b">
        <f t="shared" si="7"/>
        <v>0</v>
      </c>
      <c r="BX82" s="118" t="b">
        <f t="shared" si="7"/>
        <v>0</v>
      </c>
      <c r="BY82" s="118">
        <f>+BY81</f>
        <v>20</v>
      </c>
      <c r="BZ82" s="118" t="b">
        <f>+BZ81</f>
        <v>0</v>
      </c>
      <c r="CA82" s="118" t="b">
        <f t="shared" ref="CA82:CT82" si="8">+CA81</f>
        <v>0</v>
      </c>
      <c r="CB82" s="118" t="b">
        <f t="shared" si="8"/>
        <v>0</v>
      </c>
      <c r="CC82" s="118" t="b">
        <f t="shared" si="8"/>
        <v>0</v>
      </c>
      <c r="CD82" s="118" t="b">
        <f t="shared" si="8"/>
        <v>0</v>
      </c>
      <c r="CE82" s="118" t="b">
        <f t="shared" si="8"/>
        <v>0</v>
      </c>
      <c r="CF82" s="118" t="b">
        <f t="shared" si="8"/>
        <v>0</v>
      </c>
      <c r="CG82" s="118" t="b">
        <f t="shared" si="8"/>
        <v>0</v>
      </c>
      <c r="CH82" s="118" t="b">
        <f t="shared" si="8"/>
        <v>0</v>
      </c>
      <c r="CI82" s="118" t="b">
        <f t="shared" si="8"/>
        <v>0</v>
      </c>
      <c r="CJ82" s="118" t="b">
        <f t="shared" si="8"/>
        <v>0</v>
      </c>
      <c r="CK82" s="118" t="b">
        <f t="shared" si="8"/>
        <v>0</v>
      </c>
      <c r="CL82" s="118" t="b">
        <f t="shared" si="8"/>
        <v>0</v>
      </c>
      <c r="CM82" s="118" t="b">
        <f t="shared" si="8"/>
        <v>0</v>
      </c>
      <c r="CN82" s="118" t="b">
        <f t="shared" si="8"/>
        <v>0</v>
      </c>
      <c r="CO82" s="118" t="b">
        <f t="shared" si="8"/>
        <v>0</v>
      </c>
      <c r="CP82" s="118" t="b">
        <f t="shared" si="8"/>
        <v>0</v>
      </c>
      <c r="CQ82" s="118" t="b">
        <f t="shared" si="8"/>
        <v>0</v>
      </c>
      <c r="CR82" s="118" t="b">
        <f t="shared" si="8"/>
        <v>0</v>
      </c>
      <c r="CS82" s="118" t="b">
        <f t="shared" si="8"/>
        <v>0</v>
      </c>
      <c r="CT82" s="118" t="b">
        <f t="shared" si="8"/>
        <v>0</v>
      </c>
    </row>
    <row r="83" spans="7:98" ht="18" customHeight="1" thickBot="1" x14ac:dyDescent="0.25">
      <c r="G83" s="890"/>
      <c r="H83" s="22"/>
      <c r="I83" s="22"/>
      <c r="J83" s="22"/>
      <c r="K83" s="835">
        <v>5</v>
      </c>
      <c r="L83" s="22"/>
      <c r="M83" s="835">
        <v>51</v>
      </c>
      <c r="N83" s="22"/>
      <c r="O83" s="883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Q83" s="85"/>
      <c r="AR83" s="86"/>
      <c r="AS83" s="86"/>
      <c r="AT83" s="81"/>
      <c r="AU83" s="81"/>
      <c r="AV83" s="81"/>
      <c r="AW83" s="81"/>
      <c r="AX83" s="81"/>
      <c r="AY83" s="81"/>
      <c r="AZ83" s="81"/>
      <c r="BA83" s="81"/>
      <c r="BB83" s="856"/>
      <c r="BC83" s="111"/>
      <c r="BD83" s="932"/>
      <c r="BE83" s="40"/>
      <c r="BF83" s="118"/>
      <c r="BG83" s="118"/>
      <c r="BH83" s="118"/>
      <c r="BI83" s="118"/>
      <c r="BJ83" s="118"/>
      <c r="BK83" s="118"/>
      <c r="BL83" s="118"/>
      <c r="BM83" s="118"/>
      <c r="BN83" s="118"/>
      <c r="BO83" s="118"/>
      <c r="BP83" s="118"/>
      <c r="BQ83" s="118"/>
      <c r="BR83" s="118"/>
      <c r="BS83" s="118"/>
      <c r="BT83" s="118"/>
      <c r="BU83" s="118"/>
      <c r="BV83" s="118"/>
      <c r="BW83" s="118"/>
      <c r="BX83" s="118"/>
      <c r="BY83" s="118"/>
      <c r="BZ83" s="118"/>
      <c r="CA83" s="118"/>
      <c r="CB83" s="118"/>
      <c r="CC83" s="118"/>
      <c r="CD83" s="118"/>
      <c r="CE83" s="118"/>
      <c r="CF83" s="118"/>
      <c r="CG83" s="118"/>
      <c r="CH83" s="118"/>
      <c r="CI83" s="118"/>
      <c r="CJ83" s="118"/>
      <c r="CK83" s="118"/>
      <c r="CL83" s="118"/>
      <c r="CM83" s="118"/>
      <c r="CN83" s="118"/>
      <c r="CO83" s="118"/>
      <c r="CP83" s="118"/>
      <c r="CQ83" s="118"/>
      <c r="CR83" s="40"/>
      <c r="CS83" s="40"/>
    </row>
    <row r="84" spans="7:98" ht="43.5" customHeight="1" thickBot="1" x14ac:dyDescent="0.3">
      <c r="G84" s="890"/>
      <c r="H84" s="22"/>
      <c r="I84" s="22"/>
      <c r="J84" s="22"/>
      <c r="K84" s="836" t="s">
        <v>220</v>
      </c>
      <c r="L84" s="836" t="s">
        <v>221</v>
      </c>
      <c r="M84" s="836" t="s">
        <v>222</v>
      </c>
      <c r="N84" s="22"/>
      <c r="O84" s="883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Q84" s="85"/>
      <c r="AS84" s="86"/>
      <c r="AT84" s="81"/>
      <c r="AU84" s="81"/>
      <c r="AV84" s="81"/>
      <c r="AW84" s="81"/>
      <c r="AX84" s="81"/>
      <c r="AY84" s="81"/>
      <c r="AZ84" s="81"/>
      <c r="BA84" s="81"/>
      <c r="BB84" s="856"/>
      <c r="BC84" s="111"/>
      <c r="BD84" s="876" t="s">
        <v>110</v>
      </c>
      <c r="BE84" s="790" t="s">
        <v>80</v>
      </c>
      <c r="BF84" s="447" t="str">
        <f>IF(BF82=1,20,"")</f>
        <v/>
      </c>
      <c r="BG84" s="447" t="str">
        <f>IF(BG82=2,19,"")</f>
        <v/>
      </c>
      <c r="BH84" s="447" t="str">
        <f>IF(BH82=3,18,"")</f>
        <v/>
      </c>
      <c r="BI84" s="447" t="str">
        <f>IF(BI82=4,17,"")</f>
        <v/>
      </c>
      <c r="BJ84" s="447" t="str">
        <f>IF(BJ82=5,16,"")</f>
        <v/>
      </c>
      <c r="BK84" s="447" t="str">
        <f>IF(BK82=6,15,"")</f>
        <v/>
      </c>
      <c r="BL84" s="447" t="str">
        <f>IF(BL82=7,14,"")</f>
        <v/>
      </c>
      <c r="BM84" s="447" t="str">
        <f>IF(BM82=8,13,"")</f>
        <v/>
      </c>
      <c r="BN84" s="447" t="str">
        <f>IF(BN82=9,12,"")</f>
        <v/>
      </c>
      <c r="BO84" s="447" t="str">
        <f>IF(BO82=10,11,"")</f>
        <v/>
      </c>
      <c r="BP84" s="447" t="str">
        <f>IF(BP82=11,10,"")</f>
        <v/>
      </c>
      <c r="BQ84" s="515" t="str">
        <f>IF(BQ82=12,1,"")</f>
        <v/>
      </c>
      <c r="BR84" s="445" t="str">
        <f>IF(BR82=13,2,"")</f>
        <v/>
      </c>
      <c r="BS84" s="445" t="str">
        <f>IF(BS82=14,3,"")</f>
        <v/>
      </c>
      <c r="BT84" s="445" t="str">
        <f>IF(BT82=15,4,"")</f>
        <v/>
      </c>
      <c r="BU84" s="445" t="str">
        <f>IF(BU82=16,5,"")</f>
        <v/>
      </c>
      <c r="BV84" s="445" t="str">
        <f>IF(BV82=17,6,"")</f>
        <v/>
      </c>
      <c r="BW84" s="445" t="str">
        <f>IF(BW82=18,7,"")</f>
        <v/>
      </c>
      <c r="BX84" s="445" t="str">
        <f>IF(BX82=19,8,"")</f>
        <v/>
      </c>
      <c r="BY84" s="445">
        <f>IF(BY82=20,9,"")</f>
        <v>9</v>
      </c>
      <c r="BZ84" s="445" t="str">
        <f>IF(BZ82=21,10,"")</f>
        <v/>
      </c>
      <c r="CA84" s="445" t="str">
        <f>IF(CA82=22,11,"")</f>
        <v/>
      </c>
      <c r="CB84" s="445" t="str">
        <f>IF(CB82=23,12,"")</f>
        <v/>
      </c>
      <c r="CC84" s="445" t="str">
        <f>IF(CC82=24,13,"")</f>
        <v/>
      </c>
      <c r="CD84" s="445" t="str">
        <f>IF(CD82=25,14,"")</f>
        <v/>
      </c>
      <c r="CE84" s="445" t="str">
        <f>IF(CE82=26,15,"")</f>
        <v/>
      </c>
      <c r="CF84" s="445" t="str">
        <f>IF(CF82=27,16,"")</f>
        <v/>
      </c>
      <c r="CG84" s="445" t="str">
        <f>IF(CG82=28,17,"")</f>
        <v/>
      </c>
      <c r="CH84" s="445" t="str">
        <f>IF(CH82=29,18,"")</f>
        <v/>
      </c>
      <c r="CI84" s="445" t="str">
        <f>IF(CI82=30,19,"")</f>
        <v/>
      </c>
      <c r="CJ84" s="445" t="str">
        <f>IF(CJ82=31,20,"")</f>
        <v/>
      </c>
      <c r="CK84" s="787" t="str">
        <f>IF(CK82=32,11,"")</f>
        <v/>
      </c>
      <c r="CL84" s="788" t="str">
        <f>IF(CL82=33,12,"")</f>
        <v/>
      </c>
      <c r="CM84" s="788" t="str">
        <f>IF(CM82=34,13,"")</f>
        <v/>
      </c>
      <c r="CN84" s="788" t="str">
        <f>IF(CN82=35,14,"")</f>
        <v/>
      </c>
      <c r="CO84" s="788" t="str">
        <f>IF(CO82=36,15,"")</f>
        <v/>
      </c>
      <c r="CP84" s="788" t="str">
        <f>IF(CP82=37,16,"")</f>
        <v/>
      </c>
      <c r="CQ84" s="788" t="str">
        <f>IF(CQ82=38,17,"")</f>
        <v/>
      </c>
      <c r="CR84" s="788" t="str">
        <f>IF(CR82=39,18,"")</f>
        <v/>
      </c>
      <c r="CS84" s="788" t="str">
        <f>IF(CS82=40,19,"")</f>
        <v/>
      </c>
      <c r="CT84" s="789" t="str">
        <f>IF(CT82=41,20,"")</f>
        <v/>
      </c>
    </row>
    <row r="85" spans="7:98" ht="43.5" customHeight="1" thickBot="1" x14ac:dyDescent="0.3">
      <c r="G85" s="890"/>
      <c r="H85" s="22"/>
      <c r="I85" s="22"/>
      <c r="J85" s="897" t="s">
        <v>192</v>
      </c>
      <c r="K85" s="898">
        <f>+MIN(J19:K20)</f>
        <v>125</v>
      </c>
      <c r="L85" s="899">
        <f>+$D$8/(BF49)</f>
        <v>125</v>
      </c>
      <c r="M85" s="899">
        <f>+MIN(K25:L26)</f>
        <v>113.08620509994819</v>
      </c>
      <c r="N85" s="22"/>
      <c r="O85" s="883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Q85" s="85"/>
      <c r="AS85" s="86"/>
      <c r="AT85" s="81"/>
      <c r="AU85" s="81"/>
      <c r="AV85" s="81"/>
      <c r="AW85" s="81"/>
      <c r="AX85" s="81"/>
      <c r="AY85" s="81"/>
      <c r="AZ85" s="81"/>
      <c r="BA85" s="667">
        <v>5</v>
      </c>
      <c r="BB85" s="855" t="b">
        <f>AND(BD85&gt;=10,$AN$150&gt;=10,$AO$150&gt;=10)</f>
        <v>1</v>
      </c>
      <c r="BC85" s="45" t="str">
        <f>IF(BB85=TRUE,"O K","OVERLOAD")</f>
        <v>O K</v>
      </c>
      <c r="BD85" s="934">
        <f>IF(SUM(BF84:BP84)&gt;0,K85,0)+IF(SUM(BQ84:CJ84)&gt;0,L85,0)+IF(SUM(CK84:CT84)&gt;0,M85,0)</f>
        <v>125</v>
      </c>
      <c r="BE85" s="786" t="s">
        <v>92</v>
      </c>
      <c r="BF85" s="780">
        <v>-10</v>
      </c>
      <c r="BG85" s="780">
        <v>-9</v>
      </c>
      <c r="BH85" s="780">
        <v>-8</v>
      </c>
      <c r="BI85" s="780">
        <v>-7</v>
      </c>
      <c r="BJ85" s="780">
        <v>-6</v>
      </c>
      <c r="BK85" s="780">
        <v>-5</v>
      </c>
      <c r="BL85" s="780">
        <v>-4</v>
      </c>
      <c r="BM85" s="780">
        <v>-3</v>
      </c>
      <c r="BN85" s="780">
        <v>-2</v>
      </c>
      <c r="BO85" s="780">
        <v>-1</v>
      </c>
      <c r="BP85" s="780">
        <v>0</v>
      </c>
      <c r="BQ85" s="780">
        <v>1</v>
      </c>
      <c r="BR85" s="780">
        <v>2</v>
      </c>
      <c r="BS85" s="780">
        <v>3</v>
      </c>
      <c r="BT85" s="780">
        <v>4</v>
      </c>
      <c r="BU85" s="780">
        <v>5</v>
      </c>
      <c r="BV85" s="780">
        <v>6</v>
      </c>
      <c r="BW85" s="780">
        <v>7</v>
      </c>
      <c r="BX85" s="780">
        <v>8</v>
      </c>
      <c r="BY85" s="780">
        <v>9</v>
      </c>
      <c r="BZ85" s="780">
        <v>10</v>
      </c>
      <c r="CA85" s="780">
        <v>11</v>
      </c>
      <c r="CB85" s="780">
        <v>12</v>
      </c>
      <c r="CC85" s="780">
        <v>13</v>
      </c>
      <c r="CD85" s="780">
        <v>14</v>
      </c>
      <c r="CE85" s="780">
        <v>15</v>
      </c>
      <c r="CF85" s="780">
        <v>16</v>
      </c>
      <c r="CG85" s="780">
        <v>17</v>
      </c>
      <c r="CH85" s="780">
        <v>18</v>
      </c>
      <c r="CI85" s="780">
        <v>19</v>
      </c>
      <c r="CJ85" s="780">
        <v>20</v>
      </c>
      <c r="CK85" s="780">
        <v>21</v>
      </c>
      <c r="CL85" s="780">
        <v>22</v>
      </c>
      <c r="CM85" s="780">
        <v>23</v>
      </c>
      <c r="CN85" s="780">
        <v>24</v>
      </c>
      <c r="CO85" s="780">
        <v>25</v>
      </c>
      <c r="CP85" s="780">
        <v>26</v>
      </c>
      <c r="CQ85" s="780">
        <v>27</v>
      </c>
      <c r="CR85" s="780">
        <v>28</v>
      </c>
      <c r="CS85" s="780">
        <v>29</v>
      </c>
      <c r="CT85" s="780">
        <v>30</v>
      </c>
    </row>
    <row r="86" spans="7:98" ht="30" hidden="1" customHeight="1" thickBot="1" x14ac:dyDescent="0.25">
      <c r="G86" s="890"/>
      <c r="H86" s="22"/>
      <c r="I86" s="814">
        <v>6</v>
      </c>
      <c r="J86" s="814">
        <v>61</v>
      </c>
      <c r="K86" s="814">
        <v>62</v>
      </c>
      <c r="L86" s="814">
        <v>63</v>
      </c>
      <c r="M86" s="835">
        <v>64</v>
      </c>
      <c r="N86" s="22"/>
      <c r="O86" s="883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Q86" s="85"/>
      <c r="AR86" s="86"/>
      <c r="AS86" s="86"/>
      <c r="AT86" s="81"/>
      <c r="AU86" s="81"/>
      <c r="AV86" s="81"/>
      <c r="AW86" s="81"/>
      <c r="AX86" s="81"/>
      <c r="AY86" s="81"/>
      <c r="AZ86" s="81"/>
      <c r="BA86" s="81"/>
      <c r="BB86" s="81"/>
      <c r="BC86" s="81"/>
      <c r="BD86" s="105"/>
      <c r="BE86" s="40"/>
      <c r="BF86" s="120">
        <v>1</v>
      </c>
      <c r="BG86" s="120">
        <v>2</v>
      </c>
      <c r="BH86" s="120">
        <v>3</v>
      </c>
      <c r="BI86" s="120">
        <v>4</v>
      </c>
      <c r="BJ86" s="120">
        <v>5</v>
      </c>
      <c r="BK86" s="120">
        <v>6</v>
      </c>
      <c r="BL86" s="120">
        <v>7</v>
      </c>
      <c r="BM86" s="120">
        <v>8</v>
      </c>
      <c r="BN86" s="120">
        <v>9</v>
      </c>
      <c r="BO86" s="120">
        <v>10</v>
      </c>
      <c r="BP86" s="120">
        <v>11</v>
      </c>
      <c r="BQ86" s="120">
        <v>12</v>
      </c>
      <c r="BR86" s="120">
        <v>13</v>
      </c>
      <c r="BS86" s="120">
        <v>14</v>
      </c>
      <c r="BT86" s="120">
        <v>15</v>
      </c>
      <c r="BU86" s="120">
        <v>16</v>
      </c>
      <c r="BV86" s="120">
        <v>17</v>
      </c>
      <c r="BW86" s="120">
        <v>18</v>
      </c>
      <c r="BX86" s="120">
        <v>19</v>
      </c>
      <c r="BY86" s="120">
        <v>20</v>
      </c>
      <c r="BZ86" s="120">
        <v>21</v>
      </c>
      <c r="CA86" s="120">
        <v>22</v>
      </c>
      <c r="CB86" s="120">
        <v>23</v>
      </c>
      <c r="CC86" s="120">
        <v>24</v>
      </c>
      <c r="CD86" s="120">
        <v>25</v>
      </c>
      <c r="CE86" s="120">
        <v>26</v>
      </c>
      <c r="CF86" s="120">
        <v>27</v>
      </c>
      <c r="CG86" s="120">
        <v>28</v>
      </c>
      <c r="CH86" s="120">
        <v>29</v>
      </c>
      <c r="CI86" s="120">
        <v>30</v>
      </c>
      <c r="CJ86" s="120">
        <v>31</v>
      </c>
      <c r="CK86" s="120">
        <v>32</v>
      </c>
      <c r="CL86" s="120">
        <v>33</v>
      </c>
      <c r="CM86" s="120">
        <v>34</v>
      </c>
      <c r="CN86" s="120">
        <v>35</v>
      </c>
      <c r="CO86" s="120">
        <v>36</v>
      </c>
      <c r="CP86" s="120">
        <v>37</v>
      </c>
      <c r="CQ86" s="120">
        <v>38</v>
      </c>
      <c r="CR86" s="120">
        <v>39</v>
      </c>
      <c r="CS86" s="120">
        <v>40</v>
      </c>
      <c r="CT86" s="120">
        <v>41</v>
      </c>
    </row>
    <row r="87" spans="7:98" ht="30" hidden="1" customHeight="1" x14ac:dyDescent="0.2">
      <c r="G87" s="890"/>
      <c r="H87" s="22"/>
      <c r="I87" s="22"/>
      <c r="J87" s="22"/>
      <c r="K87" s="22"/>
      <c r="L87" s="22"/>
      <c r="M87" s="22"/>
      <c r="N87" s="22"/>
      <c r="O87" s="883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Q87" s="85"/>
      <c r="AR87" s="86"/>
      <c r="AS87" s="86"/>
      <c r="AT87" s="81"/>
      <c r="AU87" s="81"/>
      <c r="AV87" s="81"/>
      <c r="AW87" s="81"/>
      <c r="AX87" s="81"/>
      <c r="AY87" s="81"/>
      <c r="AZ87" s="81"/>
      <c r="BA87" s="81"/>
      <c r="BB87" s="81"/>
      <c r="BC87" s="81"/>
      <c r="BD87" s="105"/>
      <c r="BE87" s="40"/>
      <c r="BF87" s="120"/>
      <c r="BG87" s="120"/>
      <c r="BH87" s="120"/>
      <c r="BI87" s="120"/>
      <c r="BJ87" s="120"/>
      <c r="BK87" s="120"/>
      <c r="BL87" s="120"/>
      <c r="BM87" s="120"/>
      <c r="BN87" s="120"/>
      <c r="BO87" s="120"/>
      <c r="BP87" s="120"/>
      <c r="BQ87" s="120"/>
      <c r="BR87" s="120"/>
      <c r="BS87" s="120"/>
      <c r="BT87" s="120"/>
      <c r="BU87" s="120"/>
      <c r="BV87" s="120"/>
      <c r="BW87" s="120"/>
      <c r="BX87" s="120"/>
      <c r="BY87" s="120"/>
      <c r="BZ87" s="120"/>
      <c r="CA87" s="120"/>
      <c r="CB87" s="120"/>
      <c r="CC87" s="120"/>
      <c r="CD87" s="120"/>
      <c r="CE87" s="120"/>
      <c r="CF87" s="120"/>
      <c r="CG87" s="120"/>
      <c r="CH87" s="120"/>
      <c r="CI87" s="120"/>
      <c r="CJ87" s="120"/>
      <c r="CK87" s="120"/>
      <c r="CL87" s="120"/>
      <c r="CM87" s="120"/>
      <c r="CN87" s="120"/>
      <c r="CO87" s="120"/>
      <c r="CP87" s="120"/>
      <c r="CQ87" s="120"/>
      <c r="CR87" s="120"/>
      <c r="CS87" s="120"/>
      <c r="CT87" s="120"/>
    </row>
    <row r="88" spans="7:98" ht="30" hidden="1" customHeight="1" x14ac:dyDescent="0.2">
      <c r="G88" s="890"/>
      <c r="H88" s="22"/>
      <c r="I88" s="22"/>
      <c r="J88" s="22"/>
      <c r="K88" s="22"/>
      <c r="L88" s="22"/>
      <c r="M88" s="22"/>
      <c r="N88" s="22"/>
      <c r="O88" s="883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Q88" s="85"/>
      <c r="AR88" s="86"/>
      <c r="AS88" s="86"/>
      <c r="AT88" s="81"/>
      <c r="AU88" s="81"/>
      <c r="AV88" s="81"/>
      <c r="AW88" s="81"/>
      <c r="AX88" s="81"/>
      <c r="AY88" s="81"/>
      <c r="AZ88" s="81"/>
      <c r="BA88" s="81"/>
      <c r="BB88" s="81"/>
      <c r="BC88" s="81"/>
      <c r="BD88" s="105"/>
      <c r="BE88" s="40"/>
      <c r="BF88" s="120"/>
      <c r="BG88" s="120"/>
      <c r="BH88" s="120"/>
      <c r="BI88" s="120"/>
      <c r="BJ88" s="120"/>
      <c r="BK88" s="120"/>
      <c r="BL88" s="120"/>
      <c r="BM88" s="120"/>
      <c r="BN88" s="120"/>
      <c r="BO88" s="120"/>
      <c r="BP88" s="120"/>
      <c r="BQ88" s="120"/>
      <c r="BR88" s="120"/>
      <c r="BS88" s="120"/>
      <c r="BT88" s="120"/>
      <c r="BU88" s="120"/>
      <c r="BV88" s="120"/>
      <c r="BW88" s="120"/>
      <c r="BX88" s="120"/>
      <c r="BY88" s="120"/>
      <c r="BZ88" s="120"/>
      <c r="CA88" s="120"/>
      <c r="CB88" s="120"/>
      <c r="CC88" s="120"/>
      <c r="CD88" s="120"/>
      <c r="CE88" s="120"/>
      <c r="CF88" s="120"/>
      <c r="CG88" s="120"/>
      <c r="CH88" s="120"/>
      <c r="CI88" s="120"/>
      <c r="CJ88" s="120"/>
      <c r="CK88" s="120"/>
      <c r="CL88" s="120"/>
      <c r="CM88" s="120"/>
      <c r="CN88" s="120"/>
      <c r="CO88" s="120"/>
      <c r="CP88" s="120"/>
      <c r="CQ88" s="120"/>
      <c r="CR88" s="120"/>
      <c r="CS88" s="120"/>
      <c r="CT88" s="120"/>
    </row>
    <row r="89" spans="7:98" ht="30" hidden="1" customHeight="1" x14ac:dyDescent="0.2">
      <c r="G89" s="890"/>
      <c r="H89" s="22"/>
      <c r="I89" s="22"/>
      <c r="J89" s="22"/>
      <c r="K89" s="22"/>
      <c r="L89" s="22"/>
      <c r="M89" s="22"/>
      <c r="N89" s="22"/>
      <c r="O89" s="883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Q89" s="85"/>
      <c r="AR89" s="86"/>
      <c r="AS89" s="86"/>
      <c r="AT89" s="81"/>
      <c r="AU89" s="81"/>
      <c r="AV89" s="81"/>
      <c r="AW89" s="81"/>
      <c r="AX89" s="81"/>
      <c r="AY89" s="81"/>
      <c r="AZ89" s="81"/>
      <c r="BA89" s="81"/>
      <c r="BB89" s="81"/>
      <c r="BC89" s="81"/>
      <c r="BD89" s="105"/>
      <c r="BE89" s="40"/>
      <c r="BF89" s="120"/>
      <c r="BG89" s="120"/>
      <c r="BH89" s="120"/>
      <c r="BI89" s="120"/>
      <c r="BJ89" s="120"/>
      <c r="BK89" s="120"/>
      <c r="BL89" s="120"/>
      <c r="BM89" s="120"/>
      <c r="BN89" s="120"/>
      <c r="BO89" s="120"/>
      <c r="BP89" s="120"/>
      <c r="BQ89" s="120"/>
      <c r="BR89" s="120"/>
      <c r="BS89" s="120"/>
      <c r="BT89" s="120"/>
      <c r="BU89" s="120"/>
      <c r="BV89" s="120"/>
      <c r="BW89" s="120"/>
      <c r="BX89" s="120"/>
      <c r="BY89" s="120"/>
      <c r="BZ89" s="120"/>
      <c r="CA89" s="120"/>
      <c r="CB89" s="120"/>
      <c r="CC89" s="120"/>
      <c r="CD89" s="120"/>
      <c r="CE89" s="120"/>
      <c r="CF89" s="120"/>
      <c r="CG89" s="120"/>
      <c r="CH89" s="120"/>
      <c r="CI89" s="120"/>
      <c r="CJ89" s="120"/>
      <c r="CK89" s="120"/>
      <c r="CL89" s="120"/>
      <c r="CM89" s="120"/>
      <c r="CN89" s="120"/>
      <c r="CO89" s="120"/>
      <c r="CP89" s="120"/>
      <c r="CQ89" s="120"/>
      <c r="CR89" s="120"/>
      <c r="CS89" s="120"/>
      <c r="CT89" s="120"/>
    </row>
    <row r="90" spans="7:98" ht="53.25" hidden="1" customHeight="1" x14ac:dyDescent="0.2">
      <c r="G90" s="890"/>
      <c r="H90" s="22"/>
      <c r="I90" s="22"/>
      <c r="J90" s="22"/>
      <c r="K90" s="22"/>
      <c r="L90" s="22"/>
      <c r="M90" s="22"/>
      <c r="N90" s="22"/>
      <c r="O90" s="883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Q90" s="85"/>
      <c r="AR90" s="86"/>
      <c r="AS90" s="86"/>
      <c r="AT90" s="81"/>
      <c r="AU90" s="81"/>
      <c r="AV90" s="81"/>
      <c r="AW90" s="81"/>
      <c r="AX90" s="81"/>
      <c r="AY90" s="81"/>
      <c r="AZ90" s="81"/>
      <c r="BA90" s="81"/>
      <c r="BB90" s="81"/>
      <c r="BC90" s="81"/>
      <c r="BD90" s="105"/>
      <c r="BE90" s="40"/>
      <c r="BF90" s="120"/>
      <c r="BG90" s="120"/>
      <c r="BH90" s="120"/>
      <c r="BI90" s="120"/>
      <c r="BJ90" s="120"/>
      <c r="BK90" s="120"/>
      <c r="BL90" s="120"/>
      <c r="BM90" s="120"/>
      <c r="BN90" s="120"/>
      <c r="BO90" s="120"/>
      <c r="BP90" s="120"/>
      <c r="BQ90" s="120"/>
      <c r="BR90" s="120"/>
      <c r="BS90" s="120"/>
      <c r="BT90" s="120"/>
      <c r="BU90" s="120"/>
      <c r="BV90" s="120"/>
      <c r="BW90" s="120"/>
      <c r="BX90" s="120"/>
      <c r="BY90" s="120"/>
      <c r="BZ90" s="120"/>
      <c r="CA90" s="120"/>
      <c r="CB90" s="120"/>
      <c r="CC90" s="120"/>
      <c r="CD90" s="120"/>
      <c r="CE90" s="120"/>
      <c r="CF90" s="120"/>
      <c r="CG90" s="120"/>
      <c r="CH90" s="120"/>
      <c r="CI90" s="120"/>
      <c r="CJ90" s="120"/>
      <c r="CK90" s="120"/>
      <c r="CL90" s="120"/>
      <c r="CM90" s="120"/>
      <c r="CN90" s="120"/>
      <c r="CO90" s="120"/>
      <c r="CP90" s="120"/>
      <c r="CQ90" s="120"/>
      <c r="CR90" s="120"/>
      <c r="CS90" s="120"/>
      <c r="CT90" s="120"/>
    </row>
    <row r="91" spans="7:98" ht="30" hidden="1" customHeight="1" x14ac:dyDescent="0.2">
      <c r="G91" s="890"/>
      <c r="H91" s="22"/>
      <c r="I91" s="22"/>
      <c r="J91" s="22"/>
      <c r="K91" s="22"/>
      <c r="L91" s="22"/>
      <c r="M91" s="22"/>
      <c r="N91" s="22"/>
      <c r="O91" s="883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Q91" s="85"/>
      <c r="AR91" s="86"/>
      <c r="AS91" s="86"/>
      <c r="AT91" s="81"/>
      <c r="AU91" s="81"/>
      <c r="AV91" s="81"/>
      <c r="AW91" s="81"/>
      <c r="AX91" s="81"/>
      <c r="AY91" s="81"/>
      <c r="AZ91" s="81"/>
      <c r="BA91" s="81"/>
      <c r="BB91" s="81"/>
      <c r="BC91" s="81"/>
      <c r="BD91" s="105"/>
      <c r="BE91" s="40"/>
      <c r="BF91" s="120"/>
      <c r="BG91" s="120"/>
      <c r="BH91" s="120"/>
      <c r="BI91" s="120"/>
      <c r="BJ91" s="120"/>
      <c r="BK91" s="120"/>
      <c r="BL91" s="120"/>
      <c r="BM91" s="120"/>
      <c r="BN91" s="120"/>
      <c r="BO91" s="120"/>
      <c r="BP91" s="120"/>
      <c r="BQ91" s="120"/>
      <c r="BR91" s="120"/>
      <c r="BS91" s="120"/>
      <c r="BT91" s="120"/>
      <c r="BU91" s="120"/>
      <c r="BV91" s="120"/>
      <c r="BW91" s="120"/>
      <c r="BX91" s="120"/>
      <c r="BY91" s="120"/>
      <c r="BZ91" s="120"/>
      <c r="CA91" s="120"/>
      <c r="CB91" s="120"/>
      <c r="CC91" s="120"/>
      <c r="CD91" s="120"/>
      <c r="CE91" s="120"/>
      <c r="CF91" s="120"/>
      <c r="CG91" s="120"/>
      <c r="CH91" s="120"/>
      <c r="CI91" s="120"/>
      <c r="CJ91" s="120"/>
      <c r="CK91" s="120"/>
      <c r="CL91" s="120"/>
      <c r="CM91" s="120"/>
      <c r="CN91" s="120"/>
      <c r="CO91" s="120"/>
      <c r="CP91" s="120"/>
      <c r="CQ91" s="120"/>
      <c r="CR91" s="120"/>
      <c r="CS91" s="120"/>
      <c r="CT91" s="120"/>
    </row>
    <row r="92" spans="7:98" ht="30" hidden="1" customHeight="1" x14ac:dyDescent="0.2">
      <c r="G92" s="890"/>
      <c r="H92" s="22"/>
      <c r="I92" s="22"/>
      <c r="J92" s="22"/>
      <c r="K92" s="22"/>
      <c r="L92" s="22"/>
      <c r="M92" s="22"/>
      <c r="N92" s="22"/>
      <c r="O92" s="883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Q92" s="85"/>
      <c r="AR92" s="86"/>
      <c r="AS92" s="86"/>
      <c r="AT92" s="81"/>
      <c r="AU92" s="81"/>
      <c r="AV92" s="81"/>
      <c r="AW92" s="81"/>
      <c r="AX92" s="81"/>
      <c r="AY92" s="81"/>
      <c r="AZ92" s="81"/>
      <c r="BA92" s="81"/>
      <c r="BB92" s="81"/>
      <c r="BC92" s="81"/>
      <c r="BD92" s="105"/>
      <c r="BE92" s="40"/>
      <c r="BF92" s="120"/>
      <c r="BG92" s="120"/>
      <c r="BH92" s="120"/>
      <c r="BI92" s="120"/>
      <c r="BJ92" s="120"/>
      <c r="BK92" s="120"/>
      <c r="BL92" s="120"/>
      <c r="BM92" s="120"/>
      <c r="BN92" s="120"/>
      <c r="BO92" s="120"/>
      <c r="BP92" s="120"/>
      <c r="BQ92" s="120"/>
      <c r="BR92" s="120"/>
      <c r="BS92" s="120"/>
      <c r="BT92" s="120"/>
      <c r="BU92" s="120"/>
      <c r="BV92" s="120"/>
      <c r="BW92" s="120"/>
      <c r="BX92" s="120"/>
      <c r="BY92" s="120"/>
      <c r="BZ92" s="120"/>
      <c r="CA92" s="120"/>
      <c r="CB92" s="120"/>
      <c r="CC92" s="120"/>
      <c r="CD92" s="120"/>
      <c r="CE92" s="120"/>
      <c r="CF92" s="120"/>
      <c r="CG92" s="120"/>
      <c r="CH92" s="120"/>
      <c r="CI92" s="120"/>
      <c r="CJ92" s="120"/>
      <c r="CK92" s="120"/>
      <c r="CL92" s="120"/>
      <c r="CM92" s="120"/>
      <c r="CN92" s="120"/>
      <c r="CO92" s="120"/>
      <c r="CP92" s="120"/>
      <c r="CQ92" s="120"/>
      <c r="CR92" s="120"/>
      <c r="CS92" s="120"/>
      <c r="CT92" s="120"/>
    </row>
    <row r="93" spans="7:98" ht="30" hidden="1" customHeight="1" x14ac:dyDescent="0.2">
      <c r="G93" s="890"/>
      <c r="H93" s="22"/>
      <c r="I93" s="22"/>
      <c r="J93" s="22"/>
      <c r="K93" s="22"/>
      <c r="L93" s="22"/>
      <c r="M93" s="22"/>
      <c r="N93" s="22"/>
      <c r="O93" s="883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Q93" s="85"/>
      <c r="AR93" s="86"/>
      <c r="AS93" s="86"/>
      <c r="AT93" s="81"/>
      <c r="AU93" s="81"/>
      <c r="AV93" s="81"/>
      <c r="AW93" s="81"/>
      <c r="AX93" s="81"/>
      <c r="AY93" s="81"/>
      <c r="AZ93" s="81"/>
      <c r="BA93" s="81"/>
      <c r="BB93" s="81"/>
      <c r="BC93" s="81"/>
      <c r="BD93" s="105"/>
      <c r="BE93" s="40"/>
      <c r="BF93" s="120"/>
      <c r="BG93" s="120"/>
      <c r="BH93" s="120"/>
      <c r="BI93" s="120"/>
      <c r="BJ93" s="120"/>
      <c r="BK93" s="120"/>
      <c r="BL93" s="120"/>
      <c r="BM93" s="120"/>
      <c r="BN93" s="120"/>
      <c r="BO93" s="120"/>
      <c r="BP93" s="120"/>
      <c r="BQ93" s="120"/>
      <c r="BR93" s="120"/>
      <c r="BS93" s="120"/>
      <c r="BT93" s="120"/>
      <c r="BU93" s="120"/>
      <c r="BV93" s="120"/>
      <c r="BW93" s="120"/>
      <c r="BX93" s="120"/>
      <c r="BY93" s="120"/>
      <c r="BZ93" s="120"/>
      <c r="CA93" s="120"/>
      <c r="CB93" s="120"/>
      <c r="CC93" s="120"/>
      <c r="CD93" s="120"/>
      <c r="CE93" s="120"/>
      <c r="CF93" s="120"/>
      <c r="CG93" s="120"/>
      <c r="CH93" s="120"/>
      <c r="CI93" s="120"/>
      <c r="CJ93" s="120"/>
      <c r="CK93" s="120"/>
      <c r="CL93" s="120"/>
      <c r="CM93" s="120"/>
      <c r="CN93" s="120"/>
      <c r="CO93" s="120"/>
      <c r="CP93" s="120"/>
      <c r="CQ93" s="120"/>
      <c r="CR93" s="120"/>
      <c r="CS93" s="120"/>
      <c r="CT93" s="120"/>
    </row>
    <row r="94" spans="7:98" ht="30" hidden="1" customHeight="1" thickBot="1" x14ac:dyDescent="0.25">
      <c r="G94" s="890"/>
      <c r="H94" s="22"/>
      <c r="I94" s="22"/>
      <c r="J94" s="22"/>
      <c r="K94" s="22"/>
      <c r="L94" s="22"/>
      <c r="M94" s="22"/>
      <c r="N94" s="22"/>
      <c r="O94" s="883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Q94" s="85"/>
      <c r="AR94" s="86"/>
      <c r="AS94" s="86"/>
      <c r="AT94" s="81"/>
      <c r="AU94" s="81"/>
      <c r="AV94" s="81"/>
      <c r="AW94" s="81"/>
      <c r="AX94" s="81"/>
      <c r="AY94" s="81"/>
      <c r="AZ94" s="81"/>
      <c r="BA94" s="81"/>
      <c r="BB94" s="81"/>
      <c r="BC94" s="81"/>
      <c r="BD94" s="105"/>
      <c r="BE94" s="40"/>
      <c r="BF94" s="120"/>
      <c r="BG94" s="120"/>
      <c r="BH94" s="120"/>
      <c r="BI94" s="120"/>
      <c r="BJ94" s="120"/>
      <c r="BK94" s="120"/>
      <c r="BL94" s="120"/>
      <c r="BM94" s="120"/>
      <c r="BN94" s="120"/>
      <c r="BO94" s="120"/>
      <c r="BP94" s="120"/>
      <c r="BQ94" s="120"/>
      <c r="BR94" s="120"/>
      <c r="BS94" s="120"/>
      <c r="BT94" s="120"/>
      <c r="BU94" s="120"/>
      <c r="BV94" s="120"/>
      <c r="BW94" s="120"/>
      <c r="BX94" s="120"/>
      <c r="BY94" s="120"/>
      <c r="BZ94" s="120"/>
      <c r="CA94" s="120"/>
      <c r="CB94" s="120"/>
      <c r="CC94" s="120"/>
      <c r="CD94" s="120"/>
      <c r="CE94" s="120"/>
      <c r="CF94" s="120"/>
      <c r="CG94" s="120"/>
      <c r="CH94" s="120"/>
      <c r="CI94" s="120"/>
      <c r="CJ94" s="120"/>
      <c r="CK94" s="120"/>
      <c r="CL94" s="120"/>
      <c r="CM94" s="120"/>
      <c r="CN94" s="120"/>
      <c r="CO94" s="120"/>
      <c r="CP94" s="120"/>
      <c r="CQ94" s="120"/>
      <c r="CR94" s="120"/>
      <c r="CS94" s="120"/>
      <c r="CT94" s="120"/>
    </row>
    <row r="95" spans="7:98" ht="24" hidden="1" thickBot="1" x14ac:dyDescent="0.3">
      <c r="G95" s="890"/>
      <c r="H95" s="22"/>
      <c r="I95" s="22"/>
      <c r="J95" s="22"/>
      <c r="K95" s="22"/>
      <c r="L95" s="22"/>
      <c r="M95" s="22"/>
      <c r="N95" s="22"/>
      <c r="O95" s="883"/>
      <c r="BC95" s="47"/>
      <c r="BD95" s="930"/>
      <c r="BE95" s="56"/>
      <c r="BF95" s="57"/>
      <c r="BG95" s="57"/>
      <c r="BH95" s="57"/>
      <c r="BI95" s="57"/>
      <c r="BJ95" s="57"/>
      <c r="BK95" s="57"/>
      <c r="BL95" s="57"/>
      <c r="BM95" s="57"/>
      <c r="BN95" s="54"/>
      <c r="BO95" s="54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90"/>
      <c r="CA95" s="50"/>
      <c r="CB95" s="50"/>
      <c r="CC95" s="17"/>
      <c r="CD95" s="55"/>
      <c r="CE95" s="55"/>
      <c r="CF95" s="55"/>
      <c r="CG95" s="55"/>
      <c r="CH95" s="52"/>
      <c r="CI95" s="52"/>
      <c r="CJ95" s="52"/>
      <c r="CK95" s="52"/>
      <c r="CL95" s="52"/>
      <c r="CM95" s="52"/>
      <c r="CN95" s="52"/>
      <c r="CO95" s="52"/>
      <c r="CP95" s="52"/>
      <c r="CQ95" s="52"/>
      <c r="CR95" s="4"/>
      <c r="CS95" s="40"/>
    </row>
    <row r="96" spans="7:98" ht="21" hidden="1" thickBot="1" x14ac:dyDescent="0.25">
      <c r="G96" s="890"/>
      <c r="H96" s="22"/>
      <c r="I96" s="22"/>
      <c r="J96" s="22"/>
      <c r="K96" s="22"/>
      <c r="L96" s="22"/>
      <c r="M96" s="22"/>
      <c r="N96" s="22"/>
      <c r="O96" s="883"/>
      <c r="BC96" s="47"/>
      <c r="BD96" s="930"/>
      <c r="BE96" s="56"/>
      <c r="BF96" s="57"/>
      <c r="BG96" s="57"/>
      <c r="BH96" s="57"/>
      <c r="BI96" s="57"/>
      <c r="BJ96" s="57"/>
      <c r="BK96" s="57"/>
      <c r="BL96" s="57"/>
      <c r="BM96" s="57"/>
      <c r="BN96" s="54"/>
      <c r="BO96" s="54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78"/>
      <c r="CA96" s="50"/>
      <c r="CB96" s="50"/>
      <c r="CC96" s="17"/>
      <c r="CD96" s="55"/>
      <c r="CE96" s="55"/>
      <c r="CF96" s="55"/>
      <c r="CG96" s="55"/>
      <c r="CH96" s="52"/>
      <c r="CI96" s="52"/>
      <c r="CJ96" s="52"/>
      <c r="CK96" s="52"/>
      <c r="CL96" s="52"/>
      <c r="CM96" s="52"/>
      <c r="CN96" s="52"/>
      <c r="CO96" s="52"/>
      <c r="CP96" s="52"/>
      <c r="CQ96" s="52"/>
      <c r="CR96" s="60" t="b">
        <f>IF(CS81=40,39)</f>
        <v>0</v>
      </c>
      <c r="CS96" s="40"/>
      <c r="CT96" s="60" t="b">
        <f>IF(CS81=40,41)</f>
        <v>0</v>
      </c>
    </row>
    <row r="97" spans="5:98" ht="24" hidden="1" thickBot="1" x14ac:dyDescent="0.3">
      <c r="G97" s="890"/>
      <c r="H97" s="22"/>
      <c r="I97" s="22"/>
      <c r="J97" s="22"/>
      <c r="K97" s="22"/>
      <c r="L97" s="22"/>
      <c r="M97" s="22"/>
      <c r="N97" s="22"/>
      <c r="O97" s="883"/>
      <c r="BC97" s="47"/>
      <c r="BD97" s="930"/>
      <c r="BE97" s="56"/>
      <c r="BF97" s="57"/>
      <c r="BG97" s="57"/>
      <c r="BH97" s="57"/>
      <c r="BI97" s="57"/>
      <c r="BJ97" s="57"/>
      <c r="BK97" s="57"/>
      <c r="BL97" s="57"/>
      <c r="BM97" s="57"/>
      <c r="BN97" s="54"/>
      <c r="BO97" s="54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78"/>
      <c r="CA97" s="50"/>
      <c r="CB97" s="50"/>
      <c r="CC97" s="17"/>
      <c r="CD97" s="55"/>
      <c r="CE97" s="55"/>
      <c r="CF97" s="55"/>
      <c r="CG97" s="55"/>
      <c r="CH97" s="52"/>
      <c r="CI97" s="52"/>
      <c r="CJ97" s="52"/>
      <c r="CK97" s="52"/>
      <c r="CL97" s="52"/>
      <c r="CM97" s="52"/>
      <c r="CN97" s="52"/>
      <c r="CO97" s="52"/>
      <c r="CP97" s="60" t="b">
        <f>IF(CR81=39,37)</f>
        <v>0</v>
      </c>
      <c r="CQ97" s="52"/>
      <c r="CR97" s="4"/>
      <c r="CS97" s="40"/>
      <c r="CT97" s="60" t="b">
        <f>IF(CR81=39,41)</f>
        <v>0</v>
      </c>
    </row>
    <row r="98" spans="5:98" ht="24" hidden="1" thickBot="1" x14ac:dyDescent="0.3">
      <c r="G98" s="890"/>
      <c r="H98" s="22"/>
      <c r="I98" s="22"/>
      <c r="J98" s="22"/>
      <c r="K98" s="22"/>
      <c r="L98" s="22"/>
      <c r="M98" s="22"/>
      <c r="N98" s="22"/>
      <c r="O98" s="883"/>
      <c r="BC98" s="47"/>
      <c r="BD98" s="930"/>
      <c r="BE98" s="56"/>
      <c r="BF98" s="57"/>
      <c r="BG98" s="57"/>
      <c r="BH98" s="57"/>
      <c r="BI98" s="57"/>
      <c r="BJ98" s="57"/>
      <c r="BK98" s="57"/>
      <c r="BL98" s="57"/>
      <c r="BM98" s="57"/>
      <c r="BN98" s="54"/>
      <c r="BO98" s="54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78"/>
      <c r="CA98" s="50"/>
      <c r="CB98" s="50"/>
      <c r="CC98" s="17"/>
      <c r="CD98" s="55"/>
      <c r="CE98" s="55"/>
      <c r="CF98" s="55"/>
      <c r="CG98" s="55"/>
      <c r="CH98" s="52"/>
      <c r="CI98" s="52"/>
      <c r="CJ98" s="52"/>
      <c r="CK98" s="52"/>
      <c r="CL98" s="52"/>
      <c r="CM98" s="52"/>
      <c r="CN98" s="60" t="b">
        <f>IF(CQ81=38,35)</f>
        <v>0</v>
      </c>
      <c r="CO98" s="52"/>
      <c r="CP98" s="52"/>
      <c r="CQ98" s="52"/>
      <c r="CR98" s="4"/>
      <c r="CS98" s="40"/>
      <c r="CT98" s="60" t="b">
        <f>IF(CQ81=38,41)</f>
        <v>0</v>
      </c>
    </row>
    <row r="99" spans="5:98" ht="24" hidden="1" thickBot="1" x14ac:dyDescent="0.3">
      <c r="G99" s="890"/>
      <c r="H99" s="22"/>
      <c r="I99" s="22"/>
      <c r="J99" s="22"/>
      <c r="K99" s="22"/>
      <c r="L99" s="22"/>
      <c r="M99" s="22"/>
      <c r="N99" s="22"/>
      <c r="O99" s="883"/>
      <c r="BC99" s="47"/>
      <c r="BD99" s="930"/>
      <c r="BE99" s="56"/>
      <c r="BF99" s="57"/>
      <c r="BG99" s="57"/>
      <c r="BH99" s="57"/>
      <c r="BI99" s="57"/>
      <c r="BJ99" s="57"/>
      <c r="BK99" s="57"/>
      <c r="BL99" s="57"/>
      <c r="BM99" s="57"/>
      <c r="BN99" s="54"/>
      <c r="BO99" s="54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78"/>
      <c r="CA99" s="50"/>
      <c r="CB99" s="50"/>
      <c r="CC99" s="17"/>
      <c r="CD99" s="55"/>
      <c r="CE99" s="55"/>
      <c r="CF99" s="55"/>
      <c r="CG99" s="55"/>
      <c r="CH99" s="52"/>
      <c r="CI99" s="52"/>
      <c r="CJ99" s="52"/>
      <c r="CK99" s="52"/>
      <c r="CL99" s="60" t="b">
        <f>IF(CP81=37,33)</f>
        <v>0</v>
      </c>
      <c r="CM99" s="52"/>
      <c r="CN99" s="52"/>
      <c r="CO99" s="52"/>
      <c r="CP99" s="52"/>
      <c r="CQ99" s="52"/>
      <c r="CR99" s="4"/>
      <c r="CS99" s="40"/>
      <c r="CT99" s="60" t="b">
        <f>IF(CP81=37,41)</f>
        <v>0</v>
      </c>
    </row>
    <row r="100" spans="5:98" ht="24" hidden="1" thickBot="1" x14ac:dyDescent="0.3">
      <c r="G100" s="890"/>
      <c r="H100" s="22"/>
      <c r="I100" s="22"/>
      <c r="J100" s="22"/>
      <c r="K100" s="22"/>
      <c r="L100" s="22"/>
      <c r="M100" s="22"/>
      <c r="N100" s="22"/>
      <c r="O100" s="883"/>
      <c r="BC100" s="47"/>
      <c r="BD100" s="930"/>
      <c r="BE100" s="56">
        <v>36</v>
      </c>
      <c r="BF100" s="57"/>
      <c r="BG100" s="57"/>
      <c r="BH100" s="57"/>
      <c r="BI100" s="57"/>
      <c r="BJ100" s="57"/>
      <c r="BK100" s="57"/>
      <c r="BL100" s="57"/>
      <c r="BM100" s="57"/>
      <c r="BN100" s="54"/>
      <c r="BO100" s="54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78"/>
      <c r="CA100" s="50"/>
      <c r="CB100" s="50"/>
      <c r="CC100" s="17"/>
      <c r="CD100" s="55"/>
      <c r="CE100" s="55"/>
      <c r="CF100" s="55"/>
      <c r="CG100" s="55"/>
      <c r="CH100" s="52"/>
      <c r="CI100" s="52"/>
      <c r="CJ100" s="58" t="b">
        <f>IF(CO81=36,31)</f>
        <v>0</v>
      </c>
      <c r="CK100" s="52"/>
      <c r="CL100" s="52"/>
      <c r="CM100" s="52"/>
      <c r="CO100" s="59"/>
      <c r="CQ100" s="52"/>
      <c r="CR100" s="4"/>
      <c r="CS100" s="40"/>
      <c r="CT100" s="60" t="b">
        <f>IF(CO81=36,41)</f>
        <v>0</v>
      </c>
    </row>
    <row r="101" spans="5:98" ht="24" hidden="1" thickBot="1" x14ac:dyDescent="0.3">
      <c r="G101" s="890"/>
      <c r="H101" s="22"/>
      <c r="I101" s="22"/>
      <c r="J101" s="22"/>
      <c r="K101" s="22"/>
      <c r="L101" s="22"/>
      <c r="M101" s="22"/>
      <c r="N101" s="22"/>
      <c r="O101" s="883"/>
      <c r="BC101" s="47"/>
      <c r="BD101" s="930"/>
      <c r="BE101" s="56">
        <v>35</v>
      </c>
      <c r="BF101" s="57"/>
      <c r="BG101" s="57"/>
      <c r="BH101" s="57"/>
      <c r="BI101" s="57"/>
      <c r="BJ101" s="57"/>
      <c r="BK101" s="57"/>
      <c r="BL101" s="57"/>
      <c r="BM101" s="57"/>
      <c r="BN101" s="54"/>
      <c r="BO101" s="54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78"/>
      <c r="CA101" s="50"/>
      <c r="CB101" s="50"/>
      <c r="CC101" s="17"/>
      <c r="CD101" s="55"/>
      <c r="CE101" s="55"/>
      <c r="CF101" s="55"/>
      <c r="CG101" s="55"/>
      <c r="CH101" s="58" t="b">
        <f>IF(CN81=35,29)</f>
        <v>0</v>
      </c>
      <c r="CI101" s="52"/>
      <c r="CJ101" s="52"/>
      <c r="CK101" s="52"/>
      <c r="CM101" s="59"/>
      <c r="CN101" s="59"/>
      <c r="CO101" s="59"/>
      <c r="CQ101" s="52"/>
      <c r="CR101" s="4"/>
      <c r="CS101" s="40"/>
      <c r="CT101" s="60" t="b">
        <f>IF(CN81=35,41)</f>
        <v>0</v>
      </c>
    </row>
    <row r="102" spans="5:98" ht="24" hidden="1" thickBot="1" x14ac:dyDescent="0.3">
      <c r="G102" s="890"/>
      <c r="H102" s="22"/>
      <c r="I102" s="22"/>
      <c r="J102" s="22"/>
      <c r="K102" s="22"/>
      <c r="L102" s="22"/>
      <c r="M102" s="22"/>
      <c r="N102" s="22"/>
      <c r="O102" s="883"/>
      <c r="BC102" s="47"/>
      <c r="BD102" s="930"/>
      <c r="BE102" s="56">
        <v>34</v>
      </c>
      <c r="BF102" s="57"/>
      <c r="BG102" s="57"/>
      <c r="BH102" s="57"/>
      <c r="BI102" s="57"/>
      <c r="BJ102" s="57"/>
      <c r="BK102" s="57"/>
      <c r="BL102" s="57"/>
      <c r="BM102" s="57"/>
      <c r="BN102" s="54"/>
      <c r="BO102" s="54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78"/>
      <c r="CA102" s="50"/>
      <c r="CB102" s="50"/>
      <c r="CC102" s="17"/>
      <c r="CD102" s="55"/>
      <c r="CE102" s="55"/>
      <c r="CF102" s="58" t="b">
        <f>IF(CM81=34,27)</f>
        <v>0</v>
      </c>
      <c r="CG102" s="55"/>
      <c r="CH102" s="52"/>
      <c r="CI102" s="52"/>
      <c r="CK102" s="59"/>
      <c r="CL102" s="59"/>
      <c r="CM102" s="59"/>
      <c r="CN102" s="59"/>
      <c r="CO102" s="59"/>
      <c r="CQ102" s="52"/>
      <c r="CR102" s="4"/>
      <c r="CS102" s="40"/>
      <c r="CT102" s="60" t="b">
        <f>IF(CM81=34,41)</f>
        <v>0</v>
      </c>
    </row>
    <row r="103" spans="5:98" ht="24" hidden="1" thickBot="1" x14ac:dyDescent="0.3">
      <c r="G103" s="890"/>
      <c r="H103" s="22"/>
      <c r="I103" s="22"/>
      <c r="J103" s="22"/>
      <c r="K103" s="22"/>
      <c r="L103" s="22"/>
      <c r="M103" s="22"/>
      <c r="N103" s="22"/>
      <c r="O103" s="883"/>
      <c r="BC103" s="47"/>
      <c r="BD103" s="930"/>
      <c r="BE103" s="56">
        <v>33</v>
      </c>
      <c r="BF103" s="57"/>
      <c r="BG103" s="57"/>
      <c r="BH103" s="57"/>
      <c r="BI103" s="57"/>
      <c r="BJ103" s="57"/>
      <c r="BK103" s="57"/>
      <c r="BL103" s="57"/>
      <c r="BM103" s="57"/>
      <c r="BN103" s="54"/>
      <c r="BO103" s="54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78"/>
      <c r="CA103" s="50"/>
      <c r="CB103" s="50"/>
      <c r="CC103" s="17"/>
      <c r="CD103" s="58" t="b">
        <f>IF(CL81=33,25)</f>
        <v>0</v>
      </c>
      <c r="CE103" s="55"/>
      <c r="CF103" s="55"/>
      <c r="CG103" s="55"/>
      <c r="CI103" s="59"/>
      <c r="CJ103" s="59"/>
      <c r="CK103" s="59"/>
      <c r="CL103" s="59"/>
      <c r="CM103" s="59"/>
      <c r="CN103" s="59"/>
      <c r="CO103" s="59"/>
      <c r="CQ103" s="52"/>
      <c r="CR103" s="4"/>
      <c r="CS103" s="40"/>
      <c r="CT103" s="60" t="b">
        <f>IF(CL81=33,41)</f>
        <v>0</v>
      </c>
    </row>
    <row r="104" spans="5:98" ht="21" hidden="1" thickBot="1" x14ac:dyDescent="0.25">
      <c r="G104" s="890"/>
      <c r="H104" s="22"/>
      <c r="I104" s="22"/>
      <c r="J104" s="22"/>
      <c r="K104" s="22"/>
      <c r="L104" s="22"/>
      <c r="M104" s="22"/>
      <c r="N104" s="22"/>
      <c r="O104" s="883"/>
      <c r="AR104" s="61"/>
      <c r="AS104" s="61"/>
      <c r="BC104" s="47"/>
      <c r="BD104" s="105"/>
      <c r="BE104" s="56">
        <v>32</v>
      </c>
      <c r="BF104" s="62"/>
      <c r="BG104" s="62"/>
      <c r="BH104" s="62"/>
      <c r="BI104" s="62"/>
      <c r="BJ104" s="62"/>
      <c r="BK104" s="63"/>
      <c r="BL104" s="62"/>
      <c r="BM104" s="62"/>
      <c r="BN104" s="62"/>
      <c r="BO104" s="62"/>
      <c r="BP104" s="62"/>
      <c r="BQ104" s="62"/>
      <c r="BR104" s="62"/>
      <c r="BS104" s="62"/>
      <c r="BT104" s="62"/>
      <c r="BU104" s="62"/>
      <c r="BV104" s="62"/>
      <c r="BW104" s="62"/>
      <c r="BX104" s="62"/>
      <c r="BY104" s="62"/>
      <c r="BZ104" s="579"/>
      <c r="CA104" s="62"/>
      <c r="CB104" s="58" t="b">
        <f>IF(CK81=32,23)</f>
        <v>0</v>
      </c>
      <c r="CC104" s="63"/>
      <c r="CD104" s="40"/>
      <c r="CE104" s="40"/>
      <c r="CG104" s="64"/>
      <c r="CH104" s="64"/>
      <c r="CI104" s="64"/>
      <c r="CJ104" s="64"/>
      <c r="CK104" s="64"/>
      <c r="CL104" s="64"/>
      <c r="CM104" s="64"/>
      <c r="CN104" s="64"/>
      <c r="CO104" s="64"/>
      <c r="CQ104" s="40"/>
      <c r="CR104" s="40"/>
      <c r="CT104" s="60" t="b">
        <f>IF(CK81=32,41)</f>
        <v>0</v>
      </c>
    </row>
    <row r="105" spans="5:98" ht="21" hidden="1" thickBot="1" x14ac:dyDescent="0.25">
      <c r="G105" s="890"/>
      <c r="H105" s="22"/>
      <c r="I105" s="22"/>
      <c r="J105" s="22"/>
      <c r="K105" s="22"/>
      <c r="L105" s="22"/>
      <c r="M105" s="22"/>
      <c r="N105" s="22"/>
      <c r="O105" s="883"/>
      <c r="AR105" s="61"/>
      <c r="AS105" s="61"/>
      <c r="BC105" s="47"/>
      <c r="BD105" s="105"/>
      <c r="BE105" s="56">
        <v>31</v>
      </c>
      <c r="BF105" s="62"/>
      <c r="BG105" s="62"/>
      <c r="BH105" s="62"/>
      <c r="BI105" s="62"/>
      <c r="BJ105" s="62"/>
      <c r="BK105" s="63"/>
      <c r="BL105" s="62"/>
      <c r="BM105" s="62"/>
      <c r="BN105" s="62"/>
      <c r="BO105" s="62"/>
      <c r="BP105" s="62"/>
      <c r="BQ105" s="62"/>
      <c r="BR105" s="62"/>
      <c r="BS105" s="62"/>
      <c r="BT105" s="62"/>
      <c r="BU105" s="62"/>
      <c r="BV105" s="62"/>
      <c r="BW105" s="62"/>
      <c r="BX105" s="62"/>
      <c r="BY105" s="62"/>
      <c r="BZ105" s="579"/>
      <c r="CA105" s="58" t="b">
        <f>IF(CJ81=31,22)</f>
        <v>0</v>
      </c>
      <c r="CB105" s="62"/>
      <c r="CC105" s="63"/>
      <c r="CE105" s="64"/>
      <c r="CF105" s="64"/>
      <c r="CG105" s="64"/>
      <c r="CH105" s="64"/>
      <c r="CI105" s="64"/>
      <c r="CJ105" s="64"/>
      <c r="CK105" s="64"/>
      <c r="CL105" s="64"/>
      <c r="CM105" s="64"/>
      <c r="CN105" s="64"/>
      <c r="CO105" s="64"/>
      <c r="CQ105" s="40"/>
      <c r="CR105" s="40"/>
      <c r="CS105" s="60" t="b">
        <f>IF(CJ81=31,40)</f>
        <v>0</v>
      </c>
    </row>
    <row r="106" spans="5:98" ht="21" hidden="1" thickBot="1" x14ac:dyDescent="0.25">
      <c r="G106" s="890"/>
      <c r="H106" s="22"/>
      <c r="I106" s="22"/>
      <c r="J106" s="22"/>
      <c r="K106" s="22"/>
      <c r="L106" s="22"/>
      <c r="M106" s="22"/>
      <c r="N106" s="22"/>
      <c r="O106" s="883"/>
      <c r="AR106" s="61"/>
      <c r="AS106" s="61"/>
      <c r="BC106" s="47"/>
      <c r="BD106" s="105"/>
      <c r="BE106" s="56">
        <v>30</v>
      </c>
      <c r="BF106" s="62"/>
      <c r="BG106" s="62"/>
      <c r="BH106" s="62"/>
      <c r="BI106" s="62"/>
      <c r="BJ106" s="62"/>
      <c r="BK106" s="63"/>
      <c r="BL106" s="62"/>
      <c r="BM106" s="62"/>
      <c r="BN106" s="62"/>
      <c r="BO106" s="62"/>
      <c r="BP106" s="62"/>
      <c r="BQ106" s="62"/>
      <c r="BR106" s="62"/>
      <c r="BS106" s="62"/>
      <c r="BT106" s="62"/>
      <c r="BU106" s="62"/>
      <c r="BV106" s="62"/>
      <c r="BW106" s="62"/>
      <c r="BX106" s="62"/>
      <c r="BY106" s="62"/>
      <c r="BZ106" s="579"/>
      <c r="CA106" s="58" t="b">
        <f>IF(CI81=30,22)</f>
        <v>0</v>
      </c>
      <c r="CC106" s="65"/>
      <c r="CD106" s="64"/>
      <c r="CE106" s="64"/>
      <c r="CF106" s="64"/>
      <c r="CG106" s="64"/>
      <c r="CH106" s="64"/>
      <c r="CI106" s="64"/>
      <c r="CJ106" s="64"/>
      <c r="CK106" s="64"/>
      <c r="CL106" s="64"/>
      <c r="CM106" s="64"/>
      <c r="CN106" s="64"/>
      <c r="CO106" s="64"/>
      <c r="CQ106" s="60" t="b">
        <f>IF(CI81=30,38)</f>
        <v>0</v>
      </c>
      <c r="CR106" s="40"/>
      <c r="CS106" s="40"/>
    </row>
    <row r="107" spans="5:98" ht="21" hidden="1" thickBot="1" x14ac:dyDescent="0.25">
      <c r="G107" s="890"/>
      <c r="H107" s="22"/>
      <c r="I107" s="22"/>
      <c r="J107" s="22"/>
      <c r="K107" s="22"/>
      <c r="L107" s="22"/>
      <c r="M107" s="22"/>
      <c r="N107" s="22"/>
      <c r="O107" s="883"/>
      <c r="AT107" s="66"/>
      <c r="AU107" s="66"/>
      <c r="AV107" s="66"/>
      <c r="AW107" s="66"/>
      <c r="BC107" s="47"/>
      <c r="BD107" s="929"/>
      <c r="BE107" s="56">
        <v>29</v>
      </c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CA107" s="580" t="b">
        <f>IF(CH81=29,22)</f>
        <v>0</v>
      </c>
      <c r="CB107" s="64"/>
      <c r="CC107" s="64"/>
      <c r="CD107" s="64"/>
      <c r="CE107" s="64"/>
      <c r="CF107" s="64"/>
      <c r="CG107" s="69"/>
      <c r="CH107" s="64"/>
      <c r="CI107" s="69"/>
      <c r="CJ107" s="70"/>
      <c r="CK107" s="70"/>
      <c r="CL107" s="70"/>
      <c r="CM107" s="70"/>
      <c r="CN107" s="70"/>
      <c r="CO107" s="60" t="b">
        <f>IF(CH81=29,36)</f>
        <v>0</v>
      </c>
      <c r="CQ107" s="38"/>
      <c r="CR107" s="40"/>
      <c r="CS107" s="40"/>
    </row>
    <row r="108" spans="5:98" ht="21" hidden="1" thickBot="1" x14ac:dyDescent="0.25">
      <c r="G108" s="890"/>
      <c r="H108" s="22"/>
      <c r="I108" s="22"/>
      <c r="J108" s="22"/>
      <c r="K108" s="22"/>
      <c r="L108" s="22"/>
      <c r="M108" s="22"/>
      <c r="N108" s="22"/>
      <c r="O108" s="883"/>
      <c r="AT108" s="66"/>
      <c r="AU108" s="66"/>
      <c r="AV108" s="66"/>
      <c r="AW108" s="66"/>
      <c r="BC108" s="47"/>
      <c r="BD108" s="929"/>
      <c r="BE108" s="56">
        <v>28</v>
      </c>
      <c r="BF108" s="40"/>
      <c r="BG108" s="40"/>
      <c r="BH108" s="40"/>
      <c r="BI108" s="40"/>
      <c r="BJ108" s="40"/>
      <c r="BK108" s="40"/>
      <c r="BL108" s="40"/>
      <c r="BM108" s="40"/>
      <c r="BN108" s="40"/>
      <c r="BO108" s="40"/>
      <c r="BP108" s="40"/>
      <c r="BQ108" s="40"/>
      <c r="BR108" s="40"/>
      <c r="BS108" s="40"/>
      <c r="BT108" s="40"/>
      <c r="BU108" s="40"/>
      <c r="BV108" s="40"/>
      <c r="BW108" s="40"/>
      <c r="BX108" s="40"/>
      <c r="BY108" s="40"/>
      <c r="CA108" s="581" t="b">
        <f>IF(CG81=28,22)</f>
        <v>0</v>
      </c>
      <c r="CB108" s="72"/>
      <c r="CC108" s="72"/>
      <c r="CD108" s="72"/>
      <c r="CE108" s="73"/>
      <c r="CF108" s="72"/>
      <c r="CG108" s="72"/>
      <c r="CH108" s="72"/>
      <c r="CI108" s="73"/>
      <c r="CJ108" s="74"/>
      <c r="CK108" s="74"/>
      <c r="CL108" s="74"/>
      <c r="CM108" s="75" t="b">
        <f>IF(CG81=28,34)</f>
        <v>0</v>
      </c>
      <c r="CO108" s="38"/>
      <c r="CP108" s="38"/>
      <c r="CQ108" s="38"/>
      <c r="CR108" s="40"/>
      <c r="CS108" s="40"/>
    </row>
    <row r="109" spans="5:98" ht="21" hidden="1" thickBot="1" x14ac:dyDescent="0.25">
      <c r="G109" s="890"/>
      <c r="H109" s="22"/>
      <c r="I109" s="22"/>
      <c r="J109" s="22"/>
      <c r="K109" s="22"/>
      <c r="L109" s="22"/>
      <c r="M109" s="22"/>
      <c r="N109" s="22"/>
      <c r="O109" s="883"/>
      <c r="AR109" s="66"/>
      <c r="AS109" s="66"/>
      <c r="AT109" s="66"/>
      <c r="AU109" s="66"/>
      <c r="AV109" s="66"/>
      <c r="AW109" s="66"/>
      <c r="BC109" s="47"/>
      <c r="BD109" s="929"/>
      <c r="BE109" s="56">
        <v>27</v>
      </c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0"/>
      <c r="BR109" s="581" t="b">
        <f>IF(CF81=27,13)</f>
        <v>0</v>
      </c>
      <c r="BS109" s="40"/>
      <c r="BT109" s="40"/>
      <c r="BU109" s="40"/>
      <c r="BV109" s="40"/>
      <c r="BW109" s="40"/>
      <c r="BX109" s="40"/>
      <c r="BY109" s="40"/>
      <c r="CA109" s="72"/>
      <c r="CB109" s="72"/>
      <c r="CC109" s="73"/>
      <c r="CD109" s="72"/>
      <c r="CE109" s="72"/>
      <c r="CF109" s="72"/>
      <c r="CG109" s="72"/>
      <c r="CH109" s="72"/>
      <c r="CI109" s="73"/>
      <c r="CJ109" s="74"/>
      <c r="CK109" s="74"/>
      <c r="CM109" s="38"/>
      <c r="CN109" s="38"/>
      <c r="CO109" s="38"/>
      <c r="CP109" s="38"/>
      <c r="CQ109" s="38"/>
      <c r="CR109" s="40"/>
      <c r="CS109" s="75" t="b">
        <f>IF(CF81=27,40)</f>
        <v>0</v>
      </c>
    </row>
    <row r="110" spans="5:98" ht="21" hidden="1" thickBot="1" x14ac:dyDescent="0.25">
      <c r="G110" s="890"/>
      <c r="H110" s="22"/>
      <c r="I110" s="22"/>
      <c r="J110" s="22"/>
      <c r="K110" s="22"/>
      <c r="L110" s="22"/>
      <c r="M110" s="22"/>
      <c r="N110" s="22"/>
      <c r="O110" s="883"/>
      <c r="U110" s="76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BC110" s="47"/>
      <c r="BD110" s="105"/>
      <c r="BE110" s="56">
        <v>26</v>
      </c>
      <c r="BF110" s="40"/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581" t="b">
        <f>IF(CE81=26,13)</f>
        <v>0</v>
      </c>
      <c r="BS110" s="40"/>
      <c r="BT110" s="40"/>
      <c r="BU110" s="40"/>
      <c r="BV110" s="40"/>
      <c r="BW110" s="40"/>
      <c r="BX110" s="40"/>
      <c r="BY110" s="40"/>
      <c r="CA110" s="73"/>
      <c r="CB110" s="72"/>
      <c r="CC110" s="72"/>
      <c r="CD110" s="72"/>
      <c r="CE110" s="72"/>
      <c r="CF110" s="72"/>
      <c r="CG110" s="72"/>
      <c r="CH110" s="72"/>
      <c r="CI110" s="73"/>
      <c r="CK110" s="38"/>
      <c r="CL110" s="38"/>
      <c r="CM110" s="38"/>
      <c r="CN110" s="38"/>
      <c r="CO110" s="38"/>
      <c r="CP110" s="38"/>
      <c r="CQ110" s="75" t="b">
        <f>IF(CE81=26,38)</f>
        <v>0</v>
      </c>
      <c r="CR110" s="40"/>
      <c r="CS110" s="40"/>
    </row>
    <row r="111" spans="5:98" ht="21" hidden="1" thickBot="1" x14ac:dyDescent="0.25">
      <c r="E111" s="78"/>
      <c r="F111" s="78"/>
      <c r="G111" s="890"/>
      <c r="H111" s="22"/>
      <c r="I111" s="22"/>
      <c r="J111" s="22"/>
      <c r="K111" s="22"/>
      <c r="L111" s="22"/>
      <c r="M111" s="22"/>
      <c r="N111" s="22"/>
      <c r="O111" s="883"/>
      <c r="U111" s="76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T111" s="77"/>
      <c r="AU111" s="77"/>
      <c r="AV111" s="77"/>
      <c r="AW111" s="77"/>
      <c r="BC111" s="47"/>
      <c r="BD111" s="38"/>
      <c r="BE111" s="56">
        <v>25</v>
      </c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R111" s="581" t="b">
        <f>IF(CD81=25,13)</f>
        <v>0</v>
      </c>
      <c r="BS111" s="40"/>
      <c r="BT111" s="40"/>
      <c r="BU111" s="40"/>
      <c r="BV111" s="40"/>
      <c r="BW111" s="40"/>
      <c r="BX111" s="40"/>
      <c r="CA111" s="72"/>
      <c r="CB111" s="72"/>
      <c r="CC111" s="72"/>
      <c r="CD111" s="72"/>
      <c r="CE111" s="72"/>
      <c r="CF111" s="72"/>
      <c r="CG111" s="72"/>
      <c r="CJ111" s="38"/>
      <c r="CK111" s="38"/>
      <c r="CL111" s="38"/>
      <c r="CM111" s="38"/>
      <c r="CN111" s="38"/>
      <c r="CO111" s="75" t="b">
        <f>IF(CD81=25,36)</f>
        <v>0</v>
      </c>
      <c r="CP111" s="38"/>
      <c r="CQ111" s="38"/>
      <c r="CR111" s="40"/>
      <c r="CS111" s="40"/>
    </row>
    <row r="112" spans="5:98" ht="21" hidden="1" thickBot="1" x14ac:dyDescent="0.25">
      <c r="E112" s="78"/>
      <c r="F112" s="78"/>
      <c r="G112" s="890"/>
      <c r="H112" s="22"/>
      <c r="I112" s="22"/>
      <c r="J112" s="22"/>
      <c r="K112" s="22"/>
      <c r="L112" s="22"/>
      <c r="M112" s="22"/>
      <c r="N112" s="22"/>
      <c r="O112" s="883"/>
      <c r="U112" s="76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T112" s="77"/>
      <c r="AU112" s="77"/>
      <c r="AV112" s="77"/>
      <c r="AW112" s="77"/>
      <c r="BC112" s="47"/>
      <c r="BD112" s="38"/>
      <c r="BE112" s="56">
        <v>24</v>
      </c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R112" s="68" t="b">
        <f>IF(CC81=24,13)</f>
        <v>0</v>
      </c>
      <c r="BS112" s="64"/>
      <c r="BT112" s="64"/>
      <c r="BU112" s="64"/>
      <c r="BV112" s="64"/>
      <c r="BW112" s="256"/>
      <c r="BX112" s="575"/>
      <c r="BY112" s="575"/>
      <c r="BZ112" s="582"/>
      <c r="CA112" s="64"/>
      <c r="CB112" s="64"/>
      <c r="CC112" s="64"/>
      <c r="CD112" s="64"/>
      <c r="CE112" s="64"/>
      <c r="CF112" s="64"/>
      <c r="CG112" s="64"/>
      <c r="CH112" s="64"/>
      <c r="CI112" s="69"/>
      <c r="CJ112" s="70"/>
      <c r="CK112" s="70"/>
      <c r="CL112" s="70"/>
      <c r="CM112" s="60" t="b">
        <f>IF(CC81=24,34)</f>
        <v>0</v>
      </c>
      <c r="CN112" s="70"/>
      <c r="CP112" s="38"/>
      <c r="CQ112" s="38"/>
      <c r="CR112" s="40"/>
      <c r="CS112" s="40"/>
    </row>
    <row r="113" spans="2:97" ht="21" hidden="1" thickBot="1" x14ac:dyDescent="0.25">
      <c r="E113" s="79"/>
      <c r="F113" s="79"/>
      <c r="G113" s="890"/>
      <c r="H113" s="22"/>
      <c r="I113" s="22"/>
      <c r="J113" s="22"/>
      <c r="K113" s="22"/>
      <c r="L113" s="22"/>
      <c r="M113" s="22"/>
      <c r="N113" s="22"/>
      <c r="O113" s="883"/>
      <c r="U113" s="80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T113" s="77"/>
      <c r="AU113" s="77"/>
      <c r="AV113" s="77"/>
      <c r="AW113" s="77"/>
      <c r="BC113" s="47"/>
      <c r="BD113" s="38"/>
      <c r="BE113" s="56">
        <v>23</v>
      </c>
      <c r="BF113" s="40"/>
      <c r="BG113" s="40"/>
      <c r="BH113" s="40"/>
      <c r="BI113" s="40"/>
      <c r="BJ113" s="40"/>
      <c r="BK113" s="40"/>
      <c r="BL113" s="40"/>
      <c r="BM113" s="40"/>
      <c r="BN113" s="40"/>
      <c r="BO113" s="40"/>
      <c r="BP113" s="40"/>
      <c r="BR113" s="71" t="b">
        <f>IF(CB81=23,13)</f>
        <v>0</v>
      </c>
      <c r="BS113" s="72"/>
      <c r="BT113" s="72"/>
      <c r="BU113" s="73"/>
      <c r="BV113" s="72"/>
      <c r="BW113" s="575"/>
      <c r="BX113" s="575"/>
      <c r="BY113" s="575"/>
      <c r="BZ113" s="583"/>
      <c r="CA113" s="72"/>
      <c r="CB113" s="72"/>
      <c r="CC113" s="72"/>
      <c r="CD113" s="72"/>
      <c r="CE113" s="72"/>
      <c r="CF113" s="72"/>
      <c r="CG113" s="72"/>
      <c r="CH113" s="72"/>
      <c r="CI113" s="73"/>
      <c r="CJ113" s="74"/>
      <c r="CK113" s="75" t="b">
        <f>IF(CB81=23,32)</f>
        <v>0</v>
      </c>
      <c r="CL113" s="74"/>
      <c r="CN113" s="38"/>
      <c r="CO113" s="38"/>
      <c r="CP113" s="38"/>
      <c r="CQ113" s="38"/>
      <c r="CR113" s="40"/>
      <c r="CS113" s="40"/>
    </row>
    <row r="114" spans="2:97" ht="21" hidden="1" thickBot="1" x14ac:dyDescent="0.25">
      <c r="E114" s="79"/>
      <c r="F114" s="79"/>
      <c r="G114" s="890"/>
      <c r="H114" s="22"/>
      <c r="I114" s="22"/>
      <c r="J114" s="22"/>
      <c r="K114" s="22"/>
      <c r="L114" s="22"/>
      <c r="M114" s="22"/>
      <c r="N114" s="22"/>
      <c r="O114" s="883"/>
      <c r="U114" s="76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T114" s="77"/>
      <c r="AU114" s="77"/>
      <c r="AV114" s="77"/>
      <c r="AW114" s="77"/>
      <c r="BC114" s="47"/>
      <c r="BD114" s="38"/>
      <c r="BE114" s="56">
        <v>22</v>
      </c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R114" s="71" t="b">
        <f>IF(CA81=22,13)</f>
        <v>0</v>
      </c>
      <c r="BS114" s="74"/>
      <c r="BT114" s="74"/>
      <c r="BU114" s="73"/>
      <c r="BV114" s="74"/>
      <c r="BW114" s="95"/>
      <c r="BX114" s="95"/>
      <c r="BY114" s="95"/>
      <c r="BZ114" s="581"/>
      <c r="CA114" s="74"/>
      <c r="CB114" s="74"/>
      <c r="CC114" s="74"/>
      <c r="CD114" s="72"/>
      <c r="CE114" s="72"/>
      <c r="CF114" s="73"/>
      <c r="CG114" s="72"/>
      <c r="CH114" s="72"/>
      <c r="CI114" s="75" t="b">
        <f>IF(CA81=22,30)</f>
        <v>0</v>
      </c>
      <c r="CJ114" s="72"/>
      <c r="CL114" s="40"/>
      <c r="CM114" s="40"/>
      <c r="CN114" s="40"/>
      <c r="CO114" s="40"/>
      <c r="CP114" s="40"/>
      <c r="CQ114" s="40"/>
      <c r="CR114" s="40"/>
      <c r="CS114" s="40"/>
    </row>
    <row r="115" spans="2:97" ht="21" hidden="1" thickBot="1" x14ac:dyDescent="0.25">
      <c r="G115" s="890"/>
      <c r="H115" s="22"/>
      <c r="I115" s="22"/>
      <c r="J115" s="22"/>
      <c r="K115" s="22"/>
      <c r="L115" s="22"/>
      <c r="M115" s="22"/>
      <c r="N115" s="22"/>
      <c r="O115" s="883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T115" s="77"/>
      <c r="AU115" s="77"/>
      <c r="AV115" s="77"/>
      <c r="AW115" s="77"/>
      <c r="BC115" s="47"/>
      <c r="BD115" s="38"/>
      <c r="BE115" s="56">
        <v>21</v>
      </c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R115" s="71" t="b">
        <f>IF(BZ81=21,13)</f>
        <v>0</v>
      </c>
      <c r="BS115" s="72"/>
      <c r="BT115" s="72"/>
      <c r="BU115" s="72"/>
      <c r="BV115" s="72"/>
      <c r="BW115" s="575"/>
      <c r="BX115" s="575"/>
      <c r="BY115" s="575"/>
      <c r="BZ115" s="583"/>
      <c r="CA115" s="72"/>
      <c r="CB115" s="72"/>
      <c r="CC115" s="72"/>
      <c r="CD115" s="72"/>
      <c r="CE115" s="72"/>
      <c r="CF115" s="72"/>
      <c r="CG115" s="72"/>
      <c r="CH115" s="75" t="b">
        <f>IF(BZ81=21,29)</f>
        <v>0</v>
      </c>
      <c r="CJ115" s="38"/>
      <c r="CK115" s="38"/>
      <c r="CL115" s="38"/>
      <c r="CM115" s="38"/>
      <c r="CN115" s="38"/>
      <c r="CO115" s="38"/>
      <c r="CP115" s="38"/>
      <c r="CQ115" s="38"/>
      <c r="CR115" s="40"/>
      <c r="CS115" s="40"/>
    </row>
    <row r="116" spans="2:97" ht="21" hidden="1" thickBot="1" x14ac:dyDescent="0.25">
      <c r="G116" s="890"/>
      <c r="H116" s="22"/>
      <c r="I116" s="22"/>
      <c r="J116" s="22"/>
      <c r="K116" s="22"/>
      <c r="L116" s="22"/>
      <c r="M116" s="22"/>
      <c r="N116" s="22"/>
      <c r="O116" s="883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T116" s="81"/>
      <c r="AU116" s="81"/>
      <c r="AV116" s="81"/>
      <c r="AW116" s="81"/>
      <c r="BC116" s="47"/>
      <c r="BD116" s="932"/>
      <c r="BE116" s="56">
        <v>20</v>
      </c>
      <c r="BF116" s="40"/>
      <c r="BG116" s="40"/>
      <c r="BH116" s="40"/>
      <c r="BI116" s="40"/>
      <c r="BJ116" s="40"/>
      <c r="BK116" s="40"/>
      <c r="BL116" s="40"/>
      <c r="BM116" s="40"/>
      <c r="BP116" s="82"/>
      <c r="BQ116" s="68">
        <f>IF(BY81=20,12)</f>
        <v>12</v>
      </c>
      <c r="BR116" s="64"/>
      <c r="BS116" s="64"/>
      <c r="BT116" s="64"/>
      <c r="BU116" s="64"/>
      <c r="BV116" s="64"/>
      <c r="BW116" s="575"/>
      <c r="BX116" s="575"/>
      <c r="BY116" s="575"/>
      <c r="BZ116" s="582"/>
      <c r="CA116" s="64"/>
      <c r="CB116" s="64"/>
      <c r="CC116" s="64"/>
      <c r="CD116" s="64"/>
      <c r="CE116" s="64"/>
      <c r="CF116" s="64"/>
      <c r="CH116" s="60">
        <f>IF(BY81=20,29)</f>
        <v>29</v>
      </c>
      <c r="CJ116" s="38"/>
      <c r="CK116" s="38"/>
      <c r="CL116" s="38"/>
      <c r="CM116" s="38"/>
      <c r="CN116" s="38"/>
      <c r="CO116" s="38"/>
      <c r="CP116" s="38"/>
      <c r="CQ116" s="38"/>
      <c r="CR116" s="40"/>
      <c r="CS116" s="40"/>
    </row>
    <row r="117" spans="2:97" ht="21" hidden="1" thickBot="1" x14ac:dyDescent="0.25">
      <c r="G117" s="890"/>
      <c r="H117" s="22"/>
      <c r="I117" s="22"/>
      <c r="J117" s="22"/>
      <c r="K117" s="22"/>
      <c r="L117" s="22"/>
      <c r="M117" s="22"/>
      <c r="N117" s="22"/>
      <c r="O117" s="883"/>
      <c r="AT117" s="81"/>
      <c r="AU117" s="81"/>
      <c r="AV117" s="81"/>
      <c r="AW117" s="81"/>
      <c r="BC117" s="47"/>
      <c r="BD117" s="932"/>
      <c r="BE117" s="56">
        <v>19</v>
      </c>
      <c r="BF117" s="40"/>
      <c r="BG117" s="40"/>
      <c r="BH117" s="40"/>
      <c r="BI117" s="40"/>
      <c r="BJ117" s="40"/>
      <c r="BK117" s="40"/>
      <c r="BL117" s="40"/>
      <c r="BM117" s="40"/>
      <c r="BO117" s="68" t="b">
        <f>IF(BX81=19,10)</f>
        <v>0</v>
      </c>
      <c r="BP117" s="83"/>
      <c r="BR117" s="70"/>
      <c r="BS117" s="70"/>
      <c r="BT117" s="69"/>
      <c r="BU117" s="70"/>
      <c r="BV117" s="70"/>
      <c r="BW117" s="95"/>
      <c r="BX117" s="95"/>
      <c r="BY117" s="95"/>
      <c r="BZ117" s="584"/>
      <c r="CA117" s="70"/>
      <c r="CB117" s="70"/>
      <c r="CC117" s="70"/>
      <c r="CD117" s="64"/>
      <c r="CF117" s="84"/>
      <c r="CG117" s="82"/>
      <c r="CH117" s="60" t="b">
        <f>IF(BX81=19,29)</f>
        <v>0</v>
      </c>
      <c r="CI117" s="40"/>
      <c r="CJ117" s="40"/>
      <c r="CK117" s="40"/>
      <c r="CL117" s="40"/>
      <c r="CM117" s="40"/>
      <c r="CN117" s="40"/>
      <c r="CO117" s="40"/>
      <c r="CP117" s="40"/>
      <c r="CQ117" s="40"/>
      <c r="CR117" s="40"/>
      <c r="CS117" s="40"/>
    </row>
    <row r="118" spans="2:97" ht="21" hidden="1" thickBot="1" x14ac:dyDescent="0.25">
      <c r="G118" s="890"/>
      <c r="H118" s="22"/>
      <c r="I118" s="22"/>
      <c r="J118" s="22"/>
      <c r="K118" s="22"/>
      <c r="L118" s="22"/>
      <c r="M118" s="22"/>
      <c r="N118" s="22"/>
      <c r="O118" s="883"/>
      <c r="AT118" s="81"/>
      <c r="AU118" s="81"/>
      <c r="AV118" s="81"/>
      <c r="AW118" s="81"/>
      <c r="BC118" s="47"/>
      <c r="BD118" s="932"/>
      <c r="BE118" s="56">
        <v>18</v>
      </c>
      <c r="BF118" s="38"/>
      <c r="BG118" s="38"/>
      <c r="BH118" s="38"/>
      <c r="BI118" s="38"/>
      <c r="BJ118" s="38"/>
      <c r="BK118" s="38"/>
      <c r="BL118" s="38"/>
      <c r="BM118" s="68" t="b">
        <f>IF(BW81=18,8)</f>
        <v>0</v>
      </c>
      <c r="BP118" s="70"/>
      <c r="BQ118" s="70"/>
      <c r="BR118" s="70"/>
      <c r="BS118" s="70"/>
      <c r="BT118" s="69"/>
      <c r="BU118" s="70"/>
      <c r="BV118" s="70"/>
      <c r="BW118" s="95"/>
      <c r="BX118" s="95"/>
      <c r="BY118" s="95"/>
      <c r="BZ118" s="584"/>
      <c r="CA118" s="70"/>
      <c r="CB118" s="70"/>
      <c r="CC118" s="70"/>
      <c r="CD118" s="64"/>
      <c r="CG118" s="40"/>
      <c r="CH118" s="60" t="b">
        <f>IF(BW81=18,29)</f>
        <v>0</v>
      </c>
      <c r="CI118" s="40"/>
      <c r="CJ118" s="40"/>
      <c r="CK118" s="40"/>
      <c r="CL118" s="40"/>
      <c r="CM118" s="40"/>
      <c r="CN118" s="40"/>
      <c r="CO118" s="40"/>
      <c r="CP118" s="40"/>
      <c r="CQ118" s="40"/>
      <c r="CR118" s="40"/>
      <c r="CS118" s="40"/>
    </row>
    <row r="119" spans="2:97" ht="21" hidden="1" thickBot="1" x14ac:dyDescent="0.25">
      <c r="G119" s="890"/>
      <c r="H119" s="22"/>
      <c r="I119" s="22"/>
      <c r="J119" s="22"/>
      <c r="K119" s="22"/>
      <c r="L119" s="22"/>
      <c r="M119" s="22"/>
      <c r="N119" s="22"/>
      <c r="O119" s="883"/>
      <c r="AT119" s="81"/>
      <c r="AU119" s="81"/>
      <c r="AV119" s="81"/>
      <c r="AW119" s="81"/>
      <c r="BC119" s="47"/>
      <c r="BD119" s="932"/>
      <c r="BE119" s="56">
        <v>17</v>
      </c>
      <c r="BF119" s="38"/>
      <c r="BG119" s="38"/>
      <c r="BH119" s="38"/>
      <c r="BI119" s="38"/>
      <c r="BJ119" s="38"/>
      <c r="BK119" s="68" t="b">
        <f>IF(BV81=17,6)</f>
        <v>0</v>
      </c>
      <c r="BL119" s="38"/>
      <c r="BN119" s="69"/>
      <c r="BO119" s="69"/>
      <c r="BP119" s="70"/>
      <c r="BQ119" s="70"/>
      <c r="BR119" s="70"/>
      <c r="BS119" s="70"/>
      <c r="BT119" s="70"/>
      <c r="BU119" s="70"/>
      <c r="BV119" s="70"/>
      <c r="BW119" s="95"/>
      <c r="BX119" s="95"/>
      <c r="BY119" s="95"/>
      <c r="BZ119" s="580"/>
      <c r="CA119" s="70"/>
      <c r="CB119" s="70"/>
      <c r="CC119" s="69"/>
      <c r="CD119" s="69"/>
      <c r="CF119" s="40"/>
      <c r="CG119" s="40"/>
      <c r="CH119" s="60" t="b">
        <f>IF(BV81=17,29)</f>
        <v>0</v>
      </c>
      <c r="CI119" s="40"/>
      <c r="CJ119" s="40"/>
      <c r="CK119" s="40"/>
      <c r="CL119" s="40"/>
      <c r="CM119" s="40"/>
      <c r="CN119" s="40"/>
      <c r="CO119" s="40"/>
      <c r="CP119" s="40"/>
      <c r="CQ119" s="40"/>
      <c r="CR119" s="40"/>
      <c r="CS119" s="40"/>
    </row>
    <row r="120" spans="2:97" ht="21" hidden="1" thickBot="1" x14ac:dyDescent="0.25">
      <c r="G120" s="890"/>
      <c r="H120" s="22"/>
      <c r="I120" s="22"/>
      <c r="J120" s="22"/>
      <c r="K120" s="22"/>
      <c r="L120" s="22"/>
      <c r="M120" s="22"/>
      <c r="N120" s="22"/>
      <c r="O120" s="883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Q120" s="85"/>
      <c r="AR120" s="86"/>
      <c r="AS120" s="86"/>
      <c r="AT120" s="81"/>
      <c r="AU120" s="81"/>
      <c r="AV120" s="81"/>
      <c r="AW120" s="81"/>
      <c r="BC120" s="47"/>
      <c r="BD120" s="932"/>
      <c r="BE120" s="56">
        <v>16</v>
      </c>
      <c r="BF120" s="38"/>
      <c r="BG120" s="38"/>
      <c r="BH120" s="38"/>
      <c r="BI120" s="87" t="b">
        <f>IF(BU81=16,4)</f>
        <v>0</v>
      </c>
      <c r="BJ120" s="38"/>
      <c r="BL120" s="88"/>
      <c r="BM120" s="89"/>
      <c r="BN120" s="89"/>
      <c r="BO120" s="88"/>
      <c r="BP120" s="88"/>
      <c r="BQ120" s="88"/>
      <c r="BR120" s="88"/>
      <c r="BS120" s="88"/>
      <c r="BT120" s="88"/>
      <c r="BU120" s="88"/>
      <c r="BV120" s="88"/>
      <c r="BW120" s="95"/>
      <c r="BX120" s="95"/>
      <c r="BY120" s="95"/>
      <c r="BZ120" s="585"/>
      <c r="CA120" s="88"/>
      <c r="CB120" s="89"/>
      <c r="CC120" s="89"/>
      <c r="CD120" s="90"/>
      <c r="CF120" s="40"/>
      <c r="CG120" s="40"/>
      <c r="CH120" s="91" t="b">
        <f>IF(BU81=16,29)</f>
        <v>0</v>
      </c>
      <c r="CI120" s="40"/>
      <c r="CJ120" s="40"/>
      <c r="CK120" s="40"/>
      <c r="CL120" s="40"/>
      <c r="CM120" s="40"/>
      <c r="CN120" s="40"/>
      <c r="CO120" s="40"/>
      <c r="CP120" s="40"/>
      <c r="CQ120" s="40"/>
      <c r="CR120" s="40"/>
      <c r="CS120" s="40"/>
    </row>
    <row r="121" spans="2:97" ht="21" hidden="1" thickBot="1" x14ac:dyDescent="0.25">
      <c r="G121" s="890"/>
      <c r="H121" s="22"/>
      <c r="I121" s="22"/>
      <c r="J121" s="22"/>
      <c r="K121" s="22"/>
      <c r="L121" s="22"/>
      <c r="M121" s="22"/>
      <c r="N121" s="22"/>
      <c r="O121" s="883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Q121" s="85"/>
      <c r="AR121" s="86"/>
      <c r="AS121" s="86"/>
      <c r="AT121" s="81"/>
      <c r="AU121" s="81"/>
      <c r="AV121" s="81"/>
      <c r="AW121" s="81"/>
      <c r="BC121" s="47"/>
      <c r="BD121" s="932"/>
      <c r="BE121" s="56">
        <v>15</v>
      </c>
      <c r="BF121" s="38"/>
      <c r="BG121" s="68" t="b">
        <f>IF(BT81=15,2)</f>
        <v>0</v>
      </c>
      <c r="BH121" s="38"/>
      <c r="BJ121" s="70"/>
      <c r="BK121" s="70"/>
      <c r="BL121" s="70"/>
      <c r="BM121" s="69"/>
      <c r="BN121" s="70"/>
      <c r="BO121" s="70"/>
      <c r="BP121" s="69"/>
      <c r="BQ121" s="70"/>
      <c r="BR121" s="70"/>
      <c r="BS121" s="70"/>
      <c r="BT121" s="70"/>
      <c r="BU121" s="70"/>
      <c r="BV121" s="70"/>
      <c r="BW121" s="95"/>
      <c r="BX121" s="256"/>
      <c r="BY121" s="95"/>
      <c r="BZ121" s="580"/>
      <c r="CA121" s="69"/>
      <c r="CB121" s="70"/>
      <c r="CC121" s="70"/>
      <c r="CD121" s="64"/>
      <c r="CF121" s="40"/>
      <c r="CG121" s="40"/>
      <c r="CH121" s="60" t="b">
        <f>IF(BT81=15,29)</f>
        <v>0</v>
      </c>
      <c r="CI121" s="40"/>
      <c r="CJ121" s="40"/>
      <c r="CK121" s="40"/>
      <c r="CL121" s="40"/>
      <c r="CM121" s="40"/>
      <c r="CN121" s="40"/>
      <c r="CO121" s="40"/>
      <c r="CP121" s="40"/>
      <c r="CQ121" s="40"/>
      <c r="CR121" s="40"/>
      <c r="CS121" s="40"/>
    </row>
    <row r="122" spans="2:97" ht="21" hidden="1" thickBot="1" x14ac:dyDescent="0.25">
      <c r="G122" s="890"/>
      <c r="H122" s="22"/>
      <c r="I122" s="22"/>
      <c r="J122" s="22"/>
      <c r="K122" s="22"/>
      <c r="L122" s="22"/>
      <c r="M122" s="22"/>
      <c r="N122" s="22"/>
      <c r="O122" s="883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Q122" s="85"/>
      <c r="AR122" s="86"/>
      <c r="AS122" s="86"/>
      <c r="AT122" s="81"/>
      <c r="AU122" s="81"/>
      <c r="AV122" s="81"/>
      <c r="AW122" s="81"/>
      <c r="BC122" s="47"/>
      <c r="BD122" s="932"/>
      <c r="BE122" s="56">
        <v>14</v>
      </c>
      <c r="BF122" s="38"/>
      <c r="BH122" s="70"/>
      <c r="BI122" s="70"/>
      <c r="BJ122" s="70"/>
      <c r="BK122" s="69"/>
      <c r="BL122" s="70"/>
      <c r="BM122" s="68" t="b">
        <f>IF(BS81=14,8)</f>
        <v>0</v>
      </c>
      <c r="BN122" s="69"/>
      <c r="BO122" s="70"/>
      <c r="BP122" s="70"/>
      <c r="BQ122" s="70"/>
      <c r="BR122" s="70"/>
      <c r="BS122" s="70"/>
      <c r="BT122" s="70"/>
      <c r="BU122" s="70"/>
      <c r="BV122" s="70"/>
      <c r="BW122" s="95"/>
      <c r="BX122" s="256"/>
      <c r="BY122" s="60" t="b">
        <f>IF(BS81=14,20)</f>
        <v>0</v>
      </c>
      <c r="BZ122" s="580"/>
      <c r="CA122" s="69"/>
      <c r="CB122" s="70"/>
      <c r="CC122" s="70"/>
      <c r="CD122" s="64"/>
      <c r="CF122" s="40"/>
      <c r="CG122" s="40"/>
      <c r="CH122" s="40"/>
      <c r="CI122" s="40"/>
      <c r="CJ122" s="40"/>
      <c r="CK122" s="40"/>
      <c r="CL122" s="40"/>
      <c r="CM122" s="40"/>
      <c r="CN122" s="40"/>
      <c r="CO122" s="40"/>
      <c r="CP122" s="40"/>
      <c r="CQ122" s="40"/>
      <c r="CR122" s="40"/>
      <c r="CS122" s="40"/>
    </row>
    <row r="123" spans="2:97" ht="21" hidden="1" thickBot="1" x14ac:dyDescent="0.25">
      <c r="G123" s="890"/>
      <c r="H123" s="22"/>
      <c r="I123" s="22"/>
      <c r="J123" s="22"/>
      <c r="K123" s="22"/>
      <c r="L123" s="22"/>
      <c r="M123" s="22"/>
      <c r="N123" s="22"/>
      <c r="O123" s="883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Q123" s="85"/>
      <c r="AR123" s="86"/>
      <c r="AS123" s="86"/>
      <c r="AT123" s="81"/>
      <c r="AU123" s="81"/>
      <c r="AV123" s="81"/>
      <c r="AW123" s="81"/>
      <c r="BC123" s="47"/>
      <c r="BD123" s="932"/>
      <c r="BE123" s="56">
        <v>13</v>
      </c>
      <c r="BF123" s="38"/>
      <c r="BG123" s="38"/>
      <c r="BH123" s="38"/>
      <c r="BJ123" s="92"/>
      <c r="BK123" s="71" t="b">
        <f>IF(BR81=13,6)</f>
        <v>0</v>
      </c>
      <c r="BL123" s="51"/>
      <c r="BM123" s="92"/>
      <c r="BO123" s="74"/>
      <c r="BP123" s="74"/>
      <c r="BQ123" s="74"/>
      <c r="BR123" s="74"/>
      <c r="BS123" s="74"/>
      <c r="BT123" s="74"/>
      <c r="BU123" s="74"/>
      <c r="BW123" s="38"/>
      <c r="BY123" s="74" t="b">
        <f>IF(BR81=13,20)</f>
        <v>0</v>
      </c>
      <c r="BZ123" s="586"/>
      <c r="CB123" s="38"/>
      <c r="CC123" s="38"/>
      <c r="CD123" s="40"/>
      <c r="CE123" s="40"/>
      <c r="CF123" s="40"/>
      <c r="CG123" s="40"/>
      <c r="CH123" s="40"/>
      <c r="CI123" s="40"/>
      <c r="CJ123" s="40"/>
      <c r="CK123" s="40"/>
      <c r="CL123" s="40"/>
      <c r="CM123" s="40"/>
      <c r="CN123" s="40"/>
      <c r="CO123" s="40"/>
      <c r="CP123" s="40"/>
      <c r="CQ123" s="40"/>
      <c r="CR123" s="40"/>
      <c r="CS123" s="40"/>
    </row>
    <row r="124" spans="2:97" ht="127" hidden="1" thickBot="1" x14ac:dyDescent="0.25">
      <c r="G124" s="890"/>
      <c r="H124" s="22"/>
      <c r="I124" s="837" t="s">
        <v>193</v>
      </c>
      <c r="J124" s="837" t="s">
        <v>194</v>
      </c>
      <c r="K124" s="838" t="s">
        <v>195</v>
      </c>
      <c r="L124" s="839" t="s">
        <v>196</v>
      </c>
      <c r="M124" s="840" t="s">
        <v>197</v>
      </c>
      <c r="N124" s="22"/>
      <c r="O124" s="883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Q124" s="85"/>
      <c r="AR124" s="86"/>
      <c r="AS124" s="86"/>
      <c r="AT124" s="81"/>
      <c r="AU124" s="81"/>
      <c r="AV124" s="81"/>
      <c r="AW124" s="81"/>
      <c r="BC124" s="47"/>
      <c r="BD124" s="932"/>
      <c r="BE124" s="56">
        <v>12</v>
      </c>
      <c r="BF124" s="38"/>
      <c r="BH124" s="83"/>
      <c r="BI124" s="68" t="b">
        <f>IF(BQ81=12,4)</f>
        <v>0</v>
      </c>
      <c r="BJ124" s="84"/>
      <c r="BK124" s="83"/>
      <c r="BM124" s="70"/>
      <c r="BN124" s="70"/>
      <c r="BO124" s="70"/>
      <c r="BP124" s="70"/>
      <c r="BQ124" s="70"/>
      <c r="BR124" s="70"/>
      <c r="BS124" s="70"/>
      <c r="BT124" s="70"/>
      <c r="BU124" s="70"/>
      <c r="BW124" s="38"/>
      <c r="BY124" s="70" t="b">
        <f>IF(BQ81=12,20)</f>
        <v>0</v>
      </c>
      <c r="BZ124" s="587"/>
      <c r="CB124" s="38"/>
      <c r="CC124" s="38"/>
      <c r="CD124" s="40"/>
      <c r="CE124" s="40"/>
      <c r="CF124" s="40"/>
      <c r="CG124" s="40"/>
      <c r="CH124" s="40"/>
      <c r="CI124" s="40"/>
      <c r="CJ124" s="40"/>
      <c r="CK124" s="40"/>
      <c r="CL124" s="40"/>
      <c r="CM124" s="40"/>
      <c r="CN124" s="40"/>
      <c r="CO124" s="40"/>
      <c r="CP124" s="40"/>
      <c r="CQ124" s="40"/>
      <c r="CR124" s="40"/>
      <c r="CS124" s="40"/>
    </row>
    <row r="125" spans="2:97" ht="64" hidden="1" thickBot="1" x14ac:dyDescent="0.25">
      <c r="G125" s="890"/>
      <c r="H125" s="22"/>
      <c r="I125" s="836" t="s">
        <v>198</v>
      </c>
      <c r="J125" s="841" t="s">
        <v>199</v>
      </c>
      <c r="K125" s="842" t="s">
        <v>200</v>
      </c>
      <c r="L125" s="843" t="s">
        <v>200</v>
      </c>
      <c r="M125" s="844" t="s">
        <v>200</v>
      </c>
      <c r="N125" s="22"/>
      <c r="O125" s="883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Q125" s="85"/>
      <c r="AR125" s="86"/>
      <c r="AS125" s="86"/>
      <c r="AT125" s="81"/>
      <c r="AU125" s="81"/>
      <c r="AV125" s="81"/>
      <c r="AW125" s="81"/>
      <c r="BC125" s="47"/>
      <c r="BD125" s="932"/>
      <c r="BE125" s="56">
        <v>11</v>
      </c>
      <c r="BG125" s="68" t="b">
        <f>IF(BP81=11,2)</f>
        <v>0</v>
      </c>
      <c r="BH125" s="51"/>
      <c r="BI125" s="92"/>
      <c r="BK125" s="70"/>
      <c r="BL125" s="70"/>
      <c r="BM125" s="70"/>
      <c r="BN125" s="70"/>
      <c r="BO125" s="70"/>
      <c r="BP125" s="70"/>
      <c r="BQ125" s="70"/>
      <c r="BR125" s="70"/>
      <c r="BS125" s="70"/>
      <c r="BT125" s="70"/>
      <c r="BU125" s="70"/>
      <c r="BW125" s="38"/>
      <c r="BY125" s="70" t="b">
        <f>IF(BP81=11,20)</f>
        <v>0</v>
      </c>
      <c r="BZ125" s="588"/>
      <c r="CA125" s="38"/>
      <c r="CB125" s="38"/>
      <c r="CC125" s="38"/>
      <c r="CD125" s="40"/>
      <c r="CE125" s="40"/>
      <c r="CF125" s="40"/>
      <c r="CG125" s="40"/>
      <c r="CH125" s="40"/>
      <c r="CI125" s="40"/>
      <c r="CJ125" s="40"/>
      <c r="CK125" s="40"/>
      <c r="CL125" s="40"/>
      <c r="CM125" s="40"/>
      <c r="CN125" s="40"/>
      <c r="CO125" s="40"/>
      <c r="CP125" s="40"/>
      <c r="CQ125" s="40"/>
      <c r="CR125" s="40"/>
      <c r="CS125" s="40"/>
    </row>
    <row r="126" spans="2:97" ht="35.25" hidden="1" customHeight="1" thickBot="1" x14ac:dyDescent="0.3">
      <c r="B126" s="26"/>
      <c r="G126" s="890"/>
      <c r="H126" s="897" t="s">
        <v>201</v>
      </c>
      <c r="I126" s="898">
        <f>+MIN(K31:L32)</f>
        <v>113.08620509994819</v>
      </c>
      <c r="J126" s="898">
        <f>+MIN(J37:K38)</f>
        <v>143.40453004841149</v>
      </c>
      <c r="K126" s="900">
        <f>+MIN(J43:L44)</f>
        <v>250</v>
      </c>
      <c r="L126" s="901">
        <f>+MIN(J49:L50)</f>
        <v>68.960401935118995</v>
      </c>
      <c r="M126" s="902">
        <f>+MIN(J55:L56)</f>
        <v>250</v>
      </c>
      <c r="N126" s="22"/>
      <c r="O126" s="883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Q126" s="85"/>
      <c r="AR126" s="86"/>
      <c r="AS126" s="86"/>
      <c r="AT126" s="81"/>
      <c r="AU126" s="81"/>
      <c r="AV126" s="81"/>
      <c r="AW126" s="81"/>
      <c r="BC126" s="47"/>
      <c r="BD126" s="932"/>
      <c r="BE126" s="56">
        <v>10</v>
      </c>
      <c r="BF126" s="68" t="b">
        <f>IF(BO81=10,1)</f>
        <v>0</v>
      </c>
      <c r="BG126" s="92"/>
      <c r="BI126" s="70"/>
      <c r="BJ126" s="70"/>
      <c r="BK126" s="70"/>
      <c r="BL126" s="70"/>
      <c r="BM126" s="70"/>
      <c r="BN126" s="70"/>
      <c r="BO126" s="70"/>
      <c r="BP126" s="70"/>
      <c r="BQ126" s="70"/>
      <c r="BR126" s="70"/>
      <c r="BS126" s="70"/>
      <c r="BT126" s="70"/>
      <c r="BU126" s="70"/>
      <c r="BW126" s="38"/>
      <c r="BX126" s="70" t="b">
        <f>IF(BO81=10,19)</f>
        <v>0</v>
      </c>
      <c r="BY126" s="38"/>
      <c r="BZ126" s="589"/>
      <c r="CA126" s="38"/>
      <c r="CB126" s="38"/>
      <c r="CC126" s="38"/>
      <c r="CD126" s="40"/>
      <c r="CE126" s="40"/>
      <c r="CF126" s="40"/>
      <c r="CG126" s="40"/>
      <c r="CH126" s="40"/>
      <c r="CI126" s="40"/>
      <c r="CJ126" s="40"/>
      <c r="CK126" s="40"/>
      <c r="CL126" s="40"/>
      <c r="CM126" s="40"/>
      <c r="CN126" s="40"/>
      <c r="CO126" s="40"/>
      <c r="CP126" s="40"/>
      <c r="CQ126" s="40"/>
      <c r="CR126" s="40"/>
      <c r="CS126" s="40"/>
    </row>
    <row r="127" spans="2:97" ht="21" hidden="1" thickBot="1" x14ac:dyDescent="0.25">
      <c r="G127" s="845"/>
      <c r="H127" s="77"/>
      <c r="I127" s="77"/>
      <c r="J127" s="77"/>
      <c r="K127" s="77"/>
      <c r="L127" s="77"/>
      <c r="M127" s="77"/>
      <c r="N127" s="77"/>
      <c r="O127" s="846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Q127" s="85"/>
      <c r="AR127" s="86"/>
      <c r="AS127" s="86"/>
      <c r="AU127" s="81"/>
      <c r="AV127" s="81"/>
      <c r="AW127" s="81"/>
      <c r="BC127" s="47"/>
      <c r="BD127" s="932"/>
      <c r="BE127" s="56">
        <v>9</v>
      </c>
      <c r="BF127" s="68" t="b">
        <f>IF(BN81=9,1)</f>
        <v>0</v>
      </c>
      <c r="BG127" s="70"/>
      <c r="BH127" s="70"/>
      <c r="BI127" s="70"/>
      <c r="BJ127" s="70"/>
      <c r="BK127" s="70"/>
      <c r="BL127" s="70"/>
      <c r="BM127" s="70"/>
      <c r="BN127" s="70"/>
      <c r="BO127" s="70"/>
      <c r="BP127" s="70"/>
      <c r="BQ127" s="70"/>
      <c r="BR127" s="70"/>
      <c r="BS127" s="70"/>
      <c r="BT127" s="70"/>
      <c r="BU127" s="70"/>
      <c r="BV127" s="70" t="b">
        <f>IF(BN81=9,17)</f>
        <v>0</v>
      </c>
      <c r="BW127" s="38"/>
      <c r="BX127" s="38"/>
      <c r="BY127" s="38"/>
      <c r="BZ127" s="589"/>
      <c r="CA127" s="38"/>
      <c r="CB127" s="38"/>
      <c r="CC127" s="38"/>
      <c r="CD127" s="40"/>
      <c r="CE127" s="40"/>
      <c r="CF127" s="40"/>
      <c r="CG127" s="40"/>
      <c r="CH127" s="40"/>
      <c r="CI127" s="40"/>
      <c r="CJ127" s="40"/>
      <c r="CK127" s="40"/>
      <c r="CL127" s="40"/>
      <c r="CM127" s="40"/>
      <c r="CN127" s="40"/>
      <c r="CO127" s="40"/>
      <c r="CP127" s="40"/>
      <c r="CQ127" s="40"/>
      <c r="CR127" s="40"/>
      <c r="CS127" s="40"/>
    </row>
    <row r="128" spans="2:97" ht="31" hidden="1" thickBot="1" x14ac:dyDescent="0.25">
      <c r="G128" s="890"/>
      <c r="H128" s="122"/>
      <c r="I128" s="122"/>
      <c r="J128" s="122"/>
      <c r="K128" s="122"/>
      <c r="L128" s="122"/>
      <c r="M128" s="122"/>
      <c r="N128" s="122"/>
      <c r="O128" s="84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Q128" s="85"/>
      <c r="AR128" s="86"/>
      <c r="AS128" s="86"/>
      <c r="AT128" s="81"/>
      <c r="AU128" s="81"/>
      <c r="AV128" s="81"/>
      <c r="AW128" s="81"/>
      <c r="BC128" s="47"/>
      <c r="BD128" s="932"/>
      <c r="BE128" s="56">
        <v>8</v>
      </c>
      <c r="BF128" s="68" t="b">
        <f>IF(BM81=8,1)</f>
        <v>0</v>
      </c>
      <c r="BG128" s="70"/>
      <c r="BH128" s="69"/>
      <c r="BI128" s="70"/>
      <c r="BJ128" s="70"/>
      <c r="BK128" s="70"/>
      <c r="BL128" s="70"/>
      <c r="BM128" s="70"/>
      <c r="BN128" s="70"/>
      <c r="BO128" s="70"/>
      <c r="BP128" s="70"/>
      <c r="BQ128" s="70"/>
      <c r="BR128" s="69"/>
      <c r="BS128" s="70"/>
      <c r="BT128" s="60" t="b">
        <f>IF(BM81=8,15)</f>
        <v>0</v>
      </c>
      <c r="BU128" s="38"/>
      <c r="BV128" s="38"/>
      <c r="BW128" s="38"/>
      <c r="BX128" s="38"/>
      <c r="BY128" s="38"/>
      <c r="BZ128" s="589"/>
      <c r="CA128" s="38"/>
      <c r="CB128" s="38"/>
      <c r="CC128" s="38"/>
      <c r="CD128" s="40"/>
      <c r="CE128" s="40"/>
      <c r="CF128" s="40"/>
      <c r="CG128" s="40"/>
      <c r="CH128" s="40"/>
      <c r="CI128" s="40"/>
      <c r="CJ128" s="40"/>
      <c r="CK128" s="40"/>
      <c r="CL128" s="40"/>
      <c r="CM128" s="40"/>
      <c r="CN128" s="40"/>
      <c r="CO128" s="40"/>
      <c r="CP128" s="40"/>
      <c r="CQ128" s="40"/>
      <c r="CR128" s="40"/>
      <c r="CS128" s="40"/>
    </row>
    <row r="129" spans="2:100" ht="21" hidden="1" thickBot="1" x14ac:dyDescent="0.25">
      <c r="G129" s="890"/>
      <c r="H129" s="22"/>
      <c r="I129" s="22"/>
      <c r="J129" s="22"/>
      <c r="K129" s="22"/>
      <c r="L129" s="22"/>
      <c r="M129" s="22"/>
      <c r="N129" s="22"/>
      <c r="O129" s="883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Q129" s="85"/>
      <c r="AR129" s="86"/>
      <c r="AS129" s="86"/>
      <c r="AU129" s="81"/>
      <c r="AV129" s="81"/>
      <c r="AW129" s="81"/>
      <c r="BC129" s="47"/>
      <c r="BD129" s="932"/>
      <c r="BE129" s="56">
        <v>7</v>
      </c>
      <c r="BF129" s="68" t="b">
        <f>IF(BL81=7,1)</f>
        <v>0</v>
      </c>
      <c r="BG129" s="69"/>
      <c r="BH129" s="70"/>
      <c r="BI129" s="70"/>
      <c r="BJ129" s="70"/>
      <c r="BK129" s="70"/>
      <c r="BL129" s="70"/>
      <c r="BM129" s="70"/>
      <c r="BN129" s="70"/>
      <c r="BO129" s="70"/>
      <c r="BP129" s="69"/>
      <c r="BQ129" s="69"/>
      <c r="BR129" s="60" t="b">
        <f>IF(BL81=7,13)</f>
        <v>0</v>
      </c>
      <c r="BS129" s="38"/>
      <c r="BT129" s="38"/>
      <c r="BU129" s="38"/>
      <c r="BV129" s="38"/>
      <c r="BW129" s="38"/>
      <c r="BX129" s="38"/>
      <c r="BY129" s="38"/>
      <c r="BZ129" s="589"/>
      <c r="CA129" s="38"/>
      <c r="CB129" s="38"/>
      <c r="CC129" s="38"/>
      <c r="CD129" s="40"/>
      <c r="CE129" s="40"/>
      <c r="CF129" s="40"/>
      <c r="CG129" s="40"/>
      <c r="CH129" s="40"/>
      <c r="CI129" s="40"/>
      <c r="CJ129" s="40"/>
      <c r="CK129" s="40"/>
      <c r="CL129" s="40"/>
      <c r="CM129" s="40"/>
      <c r="CN129" s="40"/>
      <c r="CO129" s="40"/>
      <c r="CP129" s="40"/>
      <c r="CQ129" s="40"/>
      <c r="CR129" s="40"/>
      <c r="CS129" s="40"/>
    </row>
    <row r="130" spans="2:100" ht="24" hidden="1" thickBot="1" x14ac:dyDescent="0.3">
      <c r="G130" s="890"/>
      <c r="H130" s="22"/>
      <c r="I130" s="848" t="s">
        <v>188</v>
      </c>
      <c r="J130" s="848" t="s">
        <v>183</v>
      </c>
      <c r="K130" s="872" t="s">
        <v>223</v>
      </c>
      <c r="L130" s="872" t="s">
        <v>223</v>
      </c>
      <c r="M130" s="22"/>
      <c r="N130" s="22"/>
      <c r="O130" s="883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Q130" s="85"/>
      <c r="AR130" s="86"/>
      <c r="AS130" s="86"/>
      <c r="AU130" s="81"/>
      <c r="AV130" s="81"/>
      <c r="AW130" s="81"/>
      <c r="BC130" s="47"/>
      <c r="BD130" s="932"/>
      <c r="BE130" s="56">
        <v>6</v>
      </c>
      <c r="BF130" s="71" t="b">
        <f>IF(BK81=6,1)</f>
        <v>0</v>
      </c>
      <c r="BG130" s="74"/>
      <c r="BH130" s="74"/>
      <c r="BI130" s="74"/>
      <c r="BJ130" s="74"/>
      <c r="BK130" s="74"/>
      <c r="BL130" s="74"/>
      <c r="BM130" s="74"/>
      <c r="BN130" s="74"/>
      <c r="BO130" s="74"/>
      <c r="BP130" s="75" t="b">
        <f>IF(BK81=6,11)</f>
        <v>0</v>
      </c>
      <c r="BQ130" s="38"/>
      <c r="BR130" s="38"/>
      <c r="BS130" s="38"/>
      <c r="BT130" s="38"/>
      <c r="BU130" s="38"/>
      <c r="BV130" s="38"/>
      <c r="BW130" s="38"/>
      <c r="BX130" s="38"/>
      <c r="BY130" s="38"/>
      <c r="BZ130" s="589"/>
      <c r="CA130" s="38"/>
      <c r="CB130" s="38"/>
      <c r="CC130" s="38"/>
      <c r="CD130" s="40"/>
      <c r="CE130" s="40"/>
      <c r="CF130" s="40"/>
      <c r="CG130" s="40"/>
      <c r="CH130" s="40"/>
      <c r="CI130" s="40"/>
      <c r="CJ130" s="40"/>
      <c r="CK130" s="40"/>
      <c r="CL130" s="40"/>
      <c r="CM130" s="40"/>
      <c r="CN130" s="40"/>
      <c r="CO130" s="40"/>
      <c r="CP130" s="40"/>
      <c r="CQ130" s="40"/>
      <c r="CR130" s="40"/>
      <c r="CS130" s="40"/>
    </row>
    <row r="131" spans="2:100" ht="24" hidden="1" thickBot="1" x14ac:dyDescent="0.3">
      <c r="G131" s="849"/>
      <c r="H131" s="130"/>
      <c r="I131" s="903">
        <f>COUNTIF(CA135:CT135,"&gt;0")</f>
        <v>1</v>
      </c>
      <c r="J131" s="903">
        <f>COUNTIF(BF135:BY135,"&gt;0")</f>
        <v>1</v>
      </c>
      <c r="K131" s="903" t="b">
        <f>AND(IF(SUM(BF137:BQ137)&gt;0,1,0),IF(CH137="8  ADS-N ",1,0))</f>
        <v>1</v>
      </c>
      <c r="L131" s="903" t="b">
        <f>AND(IF(SUM(CI137:CT137)&gt;0,1,0),IF(BR137="8 ADS-N",1,0))</f>
        <v>0</v>
      </c>
      <c r="M131" s="903" t="b">
        <f>AND(IF(CH137="8  ADS-N ",1,0),IF(BR137="8 ADS-N",1,0))</f>
        <v>0</v>
      </c>
      <c r="N131" s="130"/>
      <c r="O131" s="850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Q131" s="85"/>
      <c r="AR131" s="86"/>
      <c r="AS131" s="86"/>
      <c r="AT131" s="81"/>
      <c r="AU131" s="81"/>
      <c r="AV131" s="81"/>
      <c r="AW131" s="81"/>
      <c r="BC131" s="47"/>
      <c r="BD131" s="932"/>
      <c r="BE131" s="56">
        <v>5</v>
      </c>
      <c r="BF131" s="71" t="b">
        <f>IF(BJ81=5,1)</f>
        <v>0</v>
      </c>
      <c r="BG131" s="73"/>
      <c r="BH131" s="74"/>
      <c r="BI131" s="74"/>
      <c r="BJ131" s="74"/>
      <c r="BK131" s="74"/>
      <c r="BL131" s="74"/>
      <c r="BM131" s="73"/>
      <c r="BN131" s="75" t="b">
        <f>IF(BJ81=5,9)</f>
        <v>0</v>
      </c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589"/>
      <c r="CA131" s="38"/>
      <c r="CB131" s="38"/>
      <c r="CC131" s="38"/>
      <c r="CD131" s="40"/>
      <c r="CE131" s="40"/>
      <c r="CF131" s="40"/>
      <c r="CG131" s="40"/>
      <c r="CH131" s="40"/>
      <c r="CI131" s="40"/>
      <c r="CJ131" s="40"/>
      <c r="CK131" s="40"/>
      <c r="CL131" s="40"/>
      <c r="CM131" s="40"/>
      <c r="CN131" s="40"/>
      <c r="CO131" s="40"/>
      <c r="CP131" s="40"/>
      <c r="CQ131" s="40"/>
      <c r="CR131" s="40"/>
      <c r="CS131" s="40"/>
    </row>
    <row r="132" spans="2:100" ht="24" hidden="1" thickBot="1" x14ac:dyDescent="0.3">
      <c r="G132" s="851"/>
      <c r="H132" s="852"/>
      <c r="I132" s="904">
        <f>IF(I131=2,I126,0)</f>
        <v>0</v>
      </c>
      <c r="J132" s="904">
        <f>IF(J131=2,J126,0)</f>
        <v>0</v>
      </c>
      <c r="K132" s="904">
        <f t="shared" ref="K132:M132" si="9">IF(K131=TRUE,K126,0)</f>
        <v>250</v>
      </c>
      <c r="L132" s="904">
        <f t="shared" si="9"/>
        <v>0</v>
      </c>
      <c r="M132" s="904">
        <f t="shared" si="9"/>
        <v>0</v>
      </c>
      <c r="N132" s="852"/>
      <c r="O132" s="853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Q132" s="85"/>
      <c r="AR132" s="86"/>
      <c r="AS132" s="86"/>
      <c r="AU132" s="81"/>
      <c r="AV132" s="81"/>
      <c r="AW132" s="81"/>
      <c r="BC132" s="47"/>
      <c r="BD132" s="932"/>
      <c r="BE132" s="56">
        <v>4</v>
      </c>
      <c r="BF132" s="71" t="b">
        <f>IF(BI81=4,1)</f>
        <v>0</v>
      </c>
      <c r="BG132" s="74"/>
      <c r="BH132" s="74"/>
      <c r="BI132" s="74"/>
      <c r="BJ132" s="74"/>
      <c r="BK132" s="74"/>
      <c r="BL132" s="75" t="b">
        <f>IF(BI81=4,7)</f>
        <v>0</v>
      </c>
      <c r="BM132" s="38"/>
      <c r="BN132" s="93"/>
      <c r="BO132" s="93"/>
      <c r="BP132" s="38"/>
      <c r="BQ132" s="93"/>
      <c r="BR132" s="38"/>
      <c r="BS132" s="38"/>
      <c r="BT132" s="38"/>
      <c r="BU132" s="38"/>
      <c r="BV132" s="38"/>
      <c r="BW132" s="38"/>
      <c r="BX132" s="38"/>
      <c r="BY132" s="38"/>
      <c r="BZ132" s="589"/>
      <c r="CA132" s="38"/>
      <c r="CB132" s="38"/>
      <c r="CC132" s="38"/>
      <c r="CD132" s="40"/>
      <c r="CE132" s="40"/>
      <c r="CF132" s="40"/>
      <c r="CG132" s="40"/>
      <c r="CH132" s="40"/>
      <c r="CI132" s="40"/>
      <c r="CJ132" s="40"/>
      <c r="CK132" s="40"/>
      <c r="CL132" s="40"/>
      <c r="CM132" s="40"/>
      <c r="CN132" s="40"/>
      <c r="CO132" s="40"/>
      <c r="CP132" s="40"/>
      <c r="CQ132" s="40"/>
      <c r="CR132" s="40"/>
      <c r="CS132" s="40"/>
    </row>
    <row r="133" spans="2:100" ht="21" hidden="1" thickBot="1" x14ac:dyDescent="0.25"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Q133" s="85"/>
      <c r="AR133" s="86"/>
      <c r="AS133" s="86"/>
      <c r="AT133" s="81"/>
      <c r="AU133" s="81"/>
      <c r="AV133" s="81"/>
      <c r="AW133" s="81"/>
      <c r="BC133" s="47"/>
      <c r="BD133" s="932"/>
      <c r="BE133" s="56">
        <v>3</v>
      </c>
      <c r="BF133" s="71" t="b">
        <f>IF(BH81=3,1)</f>
        <v>0</v>
      </c>
      <c r="BG133" s="74"/>
      <c r="BH133" s="74"/>
      <c r="BI133" s="74"/>
      <c r="BJ133" s="75" t="b">
        <f>IF(BH81=3,5)</f>
        <v>0</v>
      </c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589"/>
      <c r="CA133" s="38"/>
      <c r="CB133" s="38"/>
      <c r="CC133" s="38"/>
      <c r="CD133" s="40"/>
      <c r="CE133" s="40"/>
      <c r="CF133" s="40"/>
      <c r="CG133" s="40"/>
      <c r="CH133" s="40"/>
      <c r="CI133" s="40"/>
      <c r="CJ133" s="40"/>
      <c r="CK133" s="40"/>
      <c r="CL133" s="40"/>
      <c r="CM133" s="40"/>
      <c r="CN133" s="40"/>
      <c r="CO133" s="40"/>
      <c r="CP133" s="40"/>
      <c r="CQ133" s="40"/>
      <c r="CR133" s="40"/>
      <c r="CS133" s="40"/>
    </row>
    <row r="134" spans="2:100" ht="21" hidden="1" thickBot="1" x14ac:dyDescent="0.25"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Q134" s="85"/>
      <c r="AR134" s="86"/>
      <c r="AS134" s="86"/>
      <c r="AT134" s="81"/>
      <c r="AU134" s="81"/>
      <c r="AV134" s="81"/>
      <c r="AW134" s="81"/>
      <c r="BC134" s="47"/>
      <c r="BD134" s="932"/>
      <c r="BE134" s="56">
        <v>2</v>
      </c>
      <c r="BF134" s="94" t="b">
        <f>IF(BG81=2,1)</f>
        <v>0</v>
      </c>
      <c r="BG134" s="95"/>
      <c r="BH134" s="96" t="b">
        <f>IF(BG81=2,3)</f>
        <v>0</v>
      </c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589"/>
      <c r="CA134" s="38"/>
      <c r="CB134" s="38"/>
      <c r="CC134" s="38"/>
      <c r="CD134" s="40"/>
      <c r="CE134" s="40"/>
      <c r="CF134" s="40"/>
      <c r="CG134" s="40"/>
      <c r="CH134" s="40"/>
      <c r="CI134" s="40"/>
      <c r="CJ134" s="40"/>
      <c r="CK134" s="40"/>
      <c r="CL134" s="40"/>
      <c r="CM134" s="40"/>
      <c r="CN134" s="40"/>
      <c r="CO134" s="40"/>
      <c r="CP134" s="40"/>
      <c r="CQ134" s="40"/>
      <c r="CR134" s="40"/>
      <c r="CS134" s="40"/>
    </row>
    <row r="135" spans="2:100" ht="32.25" hidden="1" customHeight="1" thickBot="1" x14ac:dyDescent="0.25"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Q135" s="85"/>
      <c r="AR135" s="86"/>
      <c r="AS135" s="86"/>
      <c r="AT135" s="81"/>
      <c r="AU135" s="81"/>
      <c r="AV135" s="81"/>
      <c r="AW135" s="81"/>
      <c r="BC135" s="47"/>
      <c r="BD135" s="932"/>
      <c r="BE135" s="97"/>
      <c r="BF135" s="98">
        <f t="shared" ref="BF135:CS135" si="10">SUM(BF96:BF134)</f>
        <v>0</v>
      </c>
      <c r="BG135" s="98">
        <f t="shared" si="10"/>
        <v>0</v>
      </c>
      <c r="BH135" s="98">
        <f t="shared" si="10"/>
        <v>0</v>
      </c>
      <c r="BI135" s="98">
        <f t="shared" si="10"/>
        <v>0</v>
      </c>
      <c r="BJ135" s="98">
        <f t="shared" si="10"/>
        <v>0</v>
      </c>
      <c r="BK135" s="98">
        <f t="shared" si="10"/>
        <v>0</v>
      </c>
      <c r="BL135" s="98">
        <f t="shared" si="10"/>
        <v>0</v>
      </c>
      <c r="BM135" s="98">
        <f t="shared" si="10"/>
        <v>0</v>
      </c>
      <c r="BN135" s="98">
        <f t="shared" si="10"/>
        <v>0</v>
      </c>
      <c r="BO135" s="98">
        <f t="shared" si="10"/>
        <v>0</v>
      </c>
      <c r="BP135" s="98">
        <f t="shared" si="10"/>
        <v>0</v>
      </c>
      <c r="BQ135" s="98">
        <f t="shared" si="10"/>
        <v>12</v>
      </c>
      <c r="BR135" s="98">
        <f t="shared" si="10"/>
        <v>0</v>
      </c>
      <c r="BS135" s="98">
        <f t="shared" si="10"/>
        <v>0</v>
      </c>
      <c r="BT135" s="98">
        <f t="shared" si="10"/>
        <v>0</v>
      </c>
      <c r="BU135" s="98">
        <f t="shared" si="10"/>
        <v>0</v>
      </c>
      <c r="BV135" s="98">
        <f t="shared" si="10"/>
        <v>0</v>
      </c>
      <c r="BW135" s="98">
        <f t="shared" si="10"/>
        <v>0</v>
      </c>
      <c r="BX135" s="98">
        <f t="shared" si="10"/>
        <v>0</v>
      </c>
      <c r="BY135" s="909">
        <f t="shared" si="10"/>
        <v>0</v>
      </c>
      <c r="BZ135" s="911">
        <f t="shared" si="10"/>
        <v>0</v>
      </c>
      <c r="CA135" s="910">
        <f t="shared" si="10"/>
        <v>0</v>
      </c>
      <c r="CB135" s="98">
        <f t="shared" si="10"/>
        <v>0</v>
      </c>
      <c r="CC135" s="98">
        <f t="shared" si="10"/>
        <v>0</v>
      </c>
      <c r="CD135" s="98">
        <f t="shared" si="10"/>
        <v>0</v>
      </c>
      <c r="CE135" s="98">
        <f t="shared" si="10"/>
        <v>0</v>
      </c>
      <c r="CF135" s="98">
        <f t="shared" si="10"/>
        <v>0</v>
      </c>
      <c r="CG135" s="98">
        <f t="shared" si="10"/>
        <v>0</v>
      </c>
      <c r="CH135" s="98">
        <f t="shared" si="10"/>
        <v>29</v>
      </c>
      <c r="CI135" s="98">
        <f t="shared" si="10"/>
        <v>0</v>
      </c>
      <c r="CJ135" s="98">
        <f t="shared" si="10"/>
        <v>0</v>
      </c>
      <c r="CK135" s="98">
        <f t="shared" si="10"/>
        <v>0</v>
      </c>
      <c r="CL135" s="98">
        <f t="shared" si="10"/>
        <v>0</v>
      </c>
      <c r="CM135" s="98">
        <f t="shared" si="10"/>
        <v>0</v>
      </c>
      <c r="CN135" s="98">
        <f t="shared" si="10"/>
        <v>0</v>
      </c>
      <c r="CO135" s="98">
        <f t="shared" si="10"/>
        <v>0</v>
      </c>
      <c r="CP135" s="98">
        <f t="shared" si="10"/>
        <v>0</v>
      </c>
      <c r="CQ135" s="98">
        <f t="shared" si="10"/>
        <v>0</v>
      </c>
      <c r="CR135" s="98">
        <f t="shared" si="10"/>
        <v>0</v>
      </c>
      <c r="CS135" s="98">
        <f t="shared" si="10"/>
        <v>0</v>
      </c>
      <c r="CT135" s="98">
        <f>SUM(CT96:CT134)</f>
        <v>0</v>
      </c>
    </row>
    <row r="136" spans="2:100" ht="154.5" customHeight="1" thickBot="1" x14ac:dyDescent="0.25"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Q136" s="85"/>
      <c r="AR136" s="86"/>
      <c r="AS136" s="86"/>
      <c r="AT136" s="81"/>
      <c r="AU136" s="81"/>
      <c r="AV136" s="81"/>
      <c r="AW136" s="81"/>
      <c r="BC136" s="47"/>
      <c r="BD136" s="932"/>
      <c r="BE136" s="574"/>
      <c r="BF136" s="99"/>
      <c r="BG136" s="99"/>
      <c r="BH136" s="99"/>
      <c r="BI136" s="99"/>
      <c r="BJ136" s="99"/>
      <c r="BK136" s="99"/>
      <c r="BL136" s="99"/>
      <c r="BM136" s="99"/>
      <c r="BN136" s="99"/>
      <c r="BO136" s="99"/>
      <c r="BP136" s="99"/>
      <c r="BQ136" s="99"/>
      <c r="BR136" s="99"/>
      <c r="BS136" s="99"/>
      <c r="BT136" s="99"/>
      <c r="BU136" s="99"/>
      <c r="BV136" s="99"/>
      <c r="BW136" s="99"/>
      <c r="BX136" s="99"/>
      <c r="BY136" s="99"/>
      <c r="BZ136" s="99"/>
      <c r="CA136" s="99"/>
      <c r="CB136" s="99"/>
      <c r="CC136" s="99"/>
      <c r="CD136" s="99"/>
      <c r="CE136" s="99"/>
      <c r="CF136" s="99"/>
      <c r="CG136" s="99"/>
      <c r="CH136" s="99"/>
      <c r="CI136" s="99"/>
      <c r="CJ136" s="99"/>
      <c r="CK136" s="99"/>
      <c r="CL136" s="99"/>
      <c r="CM136" s="99"/>
      <c r="CN136" s="99"/>
      <c r="CO136" s="99"/>
      <c r="CP136" s="99"/>
      <c r="CQ136" s="40"/>
      <c r="CR136" s="40"/>
      <c r="CS136" s="40"/>
    </row>
    <row r="137" spans="2:100" ht="61.5" customHeight="1" thickTop="1" thickBot="1" x14ac:dyDescent="0.3"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Q137" s="85"/>
      <c r="AR137" s="86"/>
      <c r="AS137" s="86"/>
      <c r="AT137" s="81"/>
      <c r="AU137" s="81"/>
      <c r="AV137" s="81"/>
      <c r="AW137" s="81"/>
      <c r="BC137" s="47"/>
      <c r="BD137" s="933" t="s">
        <v>110</v>
      </c>
      <c r="BE137" s="875" t="s">
        <v>164</v>
      </c>
      <c r="BF137" s="600" t="str">
        <f>IF(BF135=1,20,"")</f>
        <v/>
      </c>
      <c r="BG137" s="601" t="str">
        <f>IF(BG135=2,19,"")</f>
        <v/>
      </c>
      <c r="BH137" s="601" t="str">
        <f>IF(BH135=3,18,"")</f>
        <v/>
      </c>
      <c r="BI137" s="601" t="str">
        <f>IF(BI135=4,17,"")</f>
        <v/>
      </c>
      <c r="BJ137" s="601" t="str">
        <f>IF(BJ135=5,16,"")</f>
        <v/>
      </c>
      <c r="BK137" s="601" t="str">
        <f>IF(BK135=6,15,"")</f>
        <v/>
      </c>
      <c r="BL137" s="601" t="str">
        <f>IF(BL135=7,14,"")</f>
        <v/>
      </c>
      <c r="BM137" s="601" t="str">
        <f>IF(BM135=8,13,"")</f>
        <v/>
      </c>
      <c r="BN137" s="601" t="str">
        <f>IF(BN135=9,12,"")</f>
        <v/>
      </c>
      <c r="BO137" s="601" t="str">
        <f>IF(BO135=10,11,"")</f>
        <v/>
      </c>
      <c r="BP137" s="601" t="str">
        <f>IF(BP135=11,10,"")</f>
        <v/>
      </c>
      <c r="BQ137" s="601">
        <f>IF(BQ135=12,9,"")</f>
        <v>9</v>
      </c>
      <c r="BR137" s="864" t="str">
        <f>IF(BR135=13,"8 ADS-N","")</f>
        <v/>
      </c>
      <c r="BS137" s="863" t="str">
        <f>IF(BS135=14,7,"")</f>
        <v/>
      </c>
      <c r="BT137" s="601" t="str">
        <f>IF(BT135=15,6,"")</f>
        <v/>
      </c>
      <c r="BU137" s="601" t="str">
        <f>IF(BU135=16,5,"")</f>
        <v/>
      </c>
      <c r="BV137" s="601" t="str">
        <f>IF(BV135=17,4,"")</f>
        <v/>
      </c>
      <c r="BW137" s="601" t="str">
        <f>IF(BW135=18,3,"")</f>
        <v/>
      </c>
      <c r="BX137" s="601" t="str">
        <f>IF(BX135=19,2,"")</f>
        <v/>
      </c>
      <c r="BY137" s="601" t="str">
        <f>IF(BY135=20,1,"")</f>
        <v/>
      </c>
      <c r="BZ137" s="602"/>
      <c r="CA137" s="603" t="str">
        <f>IF(CA135=22,1,"")</f>
        <v/>
      </c>
      <c r="CB137" s="603" t="str">
        <f>IF(CB135=23,2,"")</f>
        <v/>
      </c>
      <c r="CC137" s="603" t="str">
        <f>IF(CC135=24,3,"")</f>
        <v/>
      </c>
      <c r="CD137" s="603" t="str">
        <f>IF(CD135=25,4,"")</f>
        <v/>
      </c>
      <c r="CE137" s="603" t="str">
        <f>IF(CE135=26,5,"")</f>
        <v/>
      </c>
      <c r="CF137" s="603" t="str">
        <f>IF(CF135=27,6,"")</f>
        <v/>
      </c>
      <c r="CG137" s="603" t="str">
        <f>IF(CG135=28,7,"")</f>
        <v/>
      </c>
      <c r="CH137" s="866" t="str">
        <f>IF(CH135=29,"8  ADS-N ","")</f>
        <v xml:space="preserve">8  ADS-N </v>
      </c>
      <c r="CI137" s="865" t="str">
        <f>IF(CI135=30,9,"")</f>
        <v/>
      </c>
      <c r="CJ137" s="603" t="str">
        <f>IF(CJ135=31,10,"")</f>
        <v/>
      </c>
      <c r="CK137" s="603" t="str">
        <f>IF(CK135=32,11,"")</f>
        <v/>
      </c>
      <c r="CL137" s="603" t="str">
        <f>IF(CL135=33,12,"")</f>
        <v/>
      </c>
      <c r="CM137" s="603" t="str">
        <f>IF(CM135=34,13,"")</f>
        <v/>
      </c>
      <c r="CN137" s="603" t="str">
        <f>IF(CN135=35,14,"")</f>
        <v/>
      </c>
      <c r="CO137" s="603" t="str">
        <f>IF(CO135=36,15,"")</f>
        <v/>
      </c>
      <c r="CP137" s="603" t="str">
        <f>IF(CP135=37,16,"")</f>
        <v/>
      </c>
      <c r="CQ137" s="603" t="str">
        <f>IF(CQ135=38,17,"")</f>
        <v/>
      </c>
      <c r="CR137" s="603" t="str">
        <f>IF(CR135=39,18,"")</f>
        <v/>
      </c>
      <c r="CS137" s="603" t="str">
        <f>IF(CS135=40,19,"")</f>
        <v/>
      </c>
      <c r="CT137" s="604" t="str">
        <f>IF(CT135=41,20,"")</f>
        <v/>
      </c>
    </row>
    <row r="138" spans="2:100" ht="42.75" customHeight="1" thickTop="1" thickBot="1" x14ac:dyDescent="0.3"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Q138" s="85"/>
      <c r="AR138" s="86"/>
      <c r="AS138" s="86"/>
      <c r="AT138" s="81"/>
      <c r="AU138" s="81"/>
      <c r="AV138" s="81"/>
      <c r="AW138" s="81"/>
      <c r="BA138" s="667">
        <v>6</v>
      </c>
      <c r="BB138" s="857" t="b">
        <f>AND(BD138&gt;=10,$AN$150&gt;=10,$AO$150&gt;=10)</f>
        <v>1</v>
      </c>
      <c r="BC138" s="873" t="str">
        <f>IF(BB138=TRUE,"O K","OVERLOAD")</f>
        <v>O K</v>
      </c>
      <c r="BD138" s="947">
        <f>SUM(I132:M132)</f>
        <v>250</v>
      </c>
      <c r="CH138" s="867"/>
    </row>
    <row r="139" spans="2:100" ht="25" hidden="1" x14ac:dyDescent="0.25"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121"/>
      <c r="AT139" s="81"/>
      <c r="AU139" s="81"/>
      <c r="AV139" s="81"/>
      <c r="AW139" s="81"/>
      <c r="AX139" s="81"/>
      <c r="AY139" s="81"/>
      <c r="AZ139" s="81"/>
      <c r="BA139" s="81"/>
      <c r="BB139" s="81"/>
      <c r="BC139" s="81"/>
      <c r="BD139" s="905"/>
      <c r="BE139" s="457" t="s">
        <v>92</v>
      </c>
      <c r="BF139" s="458">
        <v>-10</v>
      </c>
      <c r="BG139" s="458">
        <v>-9</v>
      </c>
      <c r="BH139" s="458">
        <v>-8</v>
      </c>
      <c r="BI139" s="458">
        <v>-7</v>
      </c>
      <c r="BJ139" s="458">
        <v>-6</v>
      </c>
      <c r="BK139" s="458">
        <v>-5</v>
      </c>
      <c r="BL139" s="458">
        <v>-4</v>
      </c>
      <c r="BM139" s="458">
        <v>-3</v>
      </c>
      <c r="BN139" s="458">
        <v>-2</v>
      </c>
      <c r="BO139" s="458">
        <v>-1</v>
      </c>
      <c r="BP139" s="458">
        <v>0</v>
      </c>
      <c r="BQ139" s="458">
        <v>1</v>
      </c>
      <c r="BR139" s="458">
        <v>2</v>
      </c>
      <c r="BS139" s="458">
        <v>3</v>
      </c>
      <c r="BT139" s="458">
        <v>4</v>
      </c>
      <c r="BU139" s="458">
        <v>5</v>
      </c>
      <c r="BV139" s="458">
        <v>6</v>
      </c>
      <c r="BW139" s="458">
        <v>7</v>
      </c>
      <c r="BX139" s="458">
        <v>8</v>
      </c>
      <c r="BY139" s="458">
        <v>9</v>
      </c>
      <c r="BZ139" s="458">
        <v>10</v>
      </c>
      <c r="CA139" s="458">
        <v>11</v>
      </c>
      <c r="CB139" s="458">
        <v>12</v>
      </c>
      <c r="CC139" s="458">
        <v>13</v>
      </c>
      <c r="CD139" s="458">
        <v>14</v>
      </c>
      <c r="CE139" s="458">
        <v>15</v>
      </c>
      <c r="CF139" s="458">
        <v>16</v>
      </c>
      <c r="CG139" s="458">
        <v>17</v>
      </c>
      <c r="CH139" s="458">
        <v>18</v>
      </c>
      <c r="CI139" s="458">
        <v>19</v>
      </c>
      <c r="CJ139" s="458">
        <v>20</v>
      </c>
      <c r="CK139" s="458">
        <v>21</v>
      </c>
      <c r="CL139" s="458">
        <v>22</v>
      </c>
      <c r="CM139" s="458">
        <v>23</v>
      </c>
      <c r="CN139" s="458">
        <v>24</v>
      </c>
      <c r="CO139" s="458">
        <v>25</v>
      </c>
      <c r="CP139" s="459">
        <v>26</v>
      </c>
      <c r="CQ139" s="459">
        <v>27</v>
      </c>
      <c r="CR139" s="459">
        <v>28</v>
      </c>
      <c r="CS139" s="459">
        <v>29</v>
      </c>
      <c r="CT139" s="459">
        <v>30</v>
      </c>
    </row>
    <row r="140" spans="2:100" ht="30" hidden="1" x14ac:dyDescent="0.2"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2"/>
      <c r="AC140" s="122"/>
      <c r="AD140" s="122"/>
      <c r="AE140" s="122"/>
      <c r="AF140" s="122"/>
      <c r="AG140" s="122"/>
      <c r="AH140" s="122"/>
      <c r="AI140" s="122"/>
      <c r="AJ140" s="122"/>
      <c r="AK140" s="122"/>
      <c r="AL140" s="122"/>
      <c r="AM140" s="122"/>
      <c r="AN140" s="122"/>
      <c r="AO140" s="122"/>
      <c r="AP140" s="122"/>
      <c r="AQ140" s="122"/>
      <c r="AR140" s="122"/>
      <c r="AT140" s="81"/>
      <c r="AU140" s="81"/>
      <c r="AV140" s="81"/>
      <c r="AW140" s="81"/>
      <c r="AX140" s="81"/>
      <c r="AY140" s="81"/>
      <c r="AZ140" s="81"/>
      <c r="BA140" s="81"/>
      <c r="BB140" s="81"/>
      <c r="BC140" s="81"/>
      <c r="BD140" s="905"/>
      <c r="BE140" s="40"/>
      <c r="BF140" s="120">
        <v>1</v>
      </c>
      <c r="BG140" s="120">
        <v>2</v>
      </c>
      <c r="BH140" s="120">
        <v>3</v>
      </c>
      <c r="BI140" s="120">
        <v>4</v>
      </c>
      <c r="BJ140" s="120">
        <v>5</v>
      </c>
      <c r="BK140" s="120">
        <v>6</v>
      </c>
      <c r="BL140" s="120">
        <v>7</v>
      </c>
      <c r="BM140" s="120">
        <v>8</v>
      </c>
      <c r="BN140" s="120">
        <v>9</v>
      </c>
      <c r="BO140" s="120">
        <v>10</v>
      </c>
      <c r="BP140" s="120">
        <v>11</v>
      </c>
      <c r="BQ140" s="120">
        <v>12</v>
      </c>
      <c r="BR140" s="120">
        <v>13</v>
      </c>
      <c r="BS140" s="120">
        <v>14</v>
      </c>
      <c r="BT140" s="120">
        <v>15</v>
      </c>
      <c r="BU140" s="120">
        <v>16</v>
      </c>
      <c r="BV140" s="120">
        <v>17</v>
      </c>
      <c r="BW140" s="120">
        <v>18</v>
      </c>
      <c r="BX140" s="120">
        <v>19</v>
      </c>
      <c r="BY140" s="120">
        <v>20</v>
      </c>
      <c r="BZ140" s="576">
        <v>21</v>
      </c>
      <c r="CA140" s="120">
        <v>22</v>
      </c>
      <c r="CB140" s="120">
        <v>23</v>
      </c>
      <c r="CC140" s="120">
        <v>24</v>
      </c>
      <c r="CD140" s="120">
        <v>25</v>
      </c>
      <c r="CE140" s="120">
        <v>26</v>
      </c>
      <c r="CF140" s="120">
        <v>27</v>
      </c>
      <c r="CG140" s="120">
        <v>28</v>
      </c>
      <c r="CH140" s="120">
        <v>29</v>
      </c>
      <c r="CI140" s="120">
        <v>30</v>
      </c>
      <c r="CJ140" s="120">
        <v>31</v>
      </c>
      <c r="CK140" s="120">
        <v>32</v>
      </c>
      <c r="CL140" s="120">
        <v>33</v>
      </c>
      <c r="CM140" s="120">
        <v>34</v>
      </c>
      <c r="CN140" s="120">
        <v>35</v>
      </c>
      <c r="CO140" s="120">
        <v>36</v>
      </c>
      <c r="CP140" s="120">
        <v>37</v>
      </c>
      <c r="CQ140" s="120">
        <v>38</v>
      </c>
      <c r="CR140" s="120">
        <v>39</v>
      </c>
      <c r="CS140" s="120">
        <v>40</v>
      </c>
      <c r="CT140" s="120">
        <v>41</v>
      </c>
    </row>
    <row r="141" spans="2:100" hidden="1" x14ac:dyDescent="0.2"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Q141" s="85"/>
      <c r="AR141" s="86"/>
      <c r="AT141" s="81"/>
      <c r="AU141" s="81"/>
      <c r="AV141" s="81"/>
      <c r="AW141" s="81"/>
      <c r="AX141" s="81"/>
      <c r="AY141" s="81"/>
      <c r="AZ141" s="81"/>
      <c r="BA141" s="81"/>
      <c r="BB141" s="81"/>
      <c r="BC141" s="81"/>
      <c r="BD141" s="905"/>
      <c r="BE141" s="77"/>
      <c r="BF141" s="77"/>
      <c r="BG141" s="77"/>
      <c r="BH141" s="77"/>
      <c r="BI141" s="77"/>
      <c r="BJ141" s="77"/>
      <c r="BK141" s="124"/>
      <c r="BL141" s="124"/>
      <c r="BM141" s="124"/>
      <c r="BN141" s="124"/>
      <c r="BO141" s="124"/>
      <c r="BP141" s="124"/>
      <c r="BQ141" s="124"/>
      <c r="BR141" s="124"/>
      <c r="BS141" s="124"/>
      <c r="BT141" s="124"/>
      <c r="BU141" s="124"/>
      <c r="BV141" s="124"/>
      <c r="BW141" s="124"/>
      <c r="BX141" s="124"/>
    </row>
    <row r="142" spans="2:100" ht="19" hidden="1" thickBot="1" x14ac:dyDescent="0.25"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Q142" s="85"/>
      <c r="AR142" s="86"/>
      <c r="AS142" s="86"/>
      <c r="AT142" s="81"/>
      <c r="AU142" s="81"/>
      <c r="AV142" s="81"/>
      <c r="AW142" s="81"/>
      <c r="AX142" s="81"/>
      <c r="AY142" s="81"/>
      <c r="BA142" s="125" t="s">
        <v>55</v>
      </c>
      <c r="BB142" s="81"/>
      <c r="BC142" s="110"/>
      <c r="BD142" s="905"/>
      <c r="BE142" s="27"/>
      <c r="BH142" s="77"/>
      <c r="BI142" s="77"/>
      <c r="BJ142" s="77"/>
      <c r="BK142" s="124"/>
      <c r="BL142" s="124"/>
      <c r="BM142" s="124"/>
      <c r="BN142" s="124"/>
      <c r="BO142" s="124"/>
      <c r="BP142" s="124"/>
      <c r="BQ142" s="124"/>
      <c r="BR142" s="124"/>
      <c r="BS142" s="124"/>
      <c r="BT142" s="124"/>
      <c r="BU142" s="124"/>
      <c r="BV142" s="124"/>
      <c r="BW142" s="124"/>
      <c r="BX142" s="124"/>
      <c r="CG142" s="27"/>
      <c r="CV142" s="125" t="s">
        <v>54</v>
      </c>
    </row>
    <row r="143" spans="2:100" ht="54.75" customHeight="1" thickBot="1" x14ac:dyDescent="0.3">
      <c r="B143" s="126" t="s">
        <v>100</v>
      </c>
      <c r="C143" s="127"/>
      <c r="D143" s="128" t="str">
        <f>IF(BA143&gt;0," ","change the angle of frame or of cabinets")</f>
        <v xml:space="preserve"> </v>
      </c>
      <c r="E143" s="129"/>
      <c r="F143" s="129"/>
      <c r="G143" s="129"/>
      <c r="H143" s="130"/>
      <c r="I143" s="130"/>
      <c r="J143" s="130"/>
      <c r="K143" s="130"/>
      <c r="L143" s="130"/>
      <c r="M143" s="130"/>
      <c r="N143" s="130"/>
      <c r="O143" s="130"/>
      <c r="P143" s="130"/>
      <c r="T143" s="468" t="s">
        <v>106</v>
      </c>
      <c r="U143" s="461"/>
      <c r="V143" s="461"/>
      <c r="W143" s="461"/>
      <c r="X143" s="469" t="s">
        <v>107</v>
      </c>
      <c r="Y143" s="130"/>
      <c r="Z143" s="131"/>
      <c r="AA143" s="131"/>
      <c r="AB143" s="131"/>
      <c r="AC143" s="131"/>
      <c r="AD143" s="131"/>
      <c r="AE143" s="131"/>
      <c r="AF143" s="131"/>
      <c r="AG143" s="131"/>
      <c r="AH143" s="131"/>
      <c r="AI143" s="131"/>
      <c r="AJ143" s="131"/>
      <c r="AK143" s="131"/>
      <c r="AL143" s="131"/>
      <c r="AM143" s="131"/>
      <c r="AN143" s="131"/>
      <c r="AO143" s="131"/>
      <c r="AP143" s="130"/>
      <c r="AQ143" s="131"/>
      <c r="AR143" s="131"/>
      <c r="AS143" s="132"/>
      <c r="AT143" s="81"/>
      <c r="AU143" s="81"/>
      <c r="AV143" s="81"/>
      <c r="AW143" s="81"/>
      <c r="AX143" s="81"/>
      <c r="AY143" s="81"/>
      <c r="AZ143" s="133"/>
      <c r="BA143" s="125">
        <f>-+DI37</f>
        <v>514.99792980040434</v>
      </c>
      <c r="BB143" s="81"/>
      <c r="BC143" s="110"/>
      <c r="BD143" s="905"/>
      <c r="BE143" s="27"/>
      <c r="BH143" s="77"/>
      <c r="BI143" s="77"/>
      <c r="BJ143" s="77"/>
      <c r="BK143" s="124"/>
      <c r="BL143" s="124"/>
      <c r="BM143" s="124"/>
      <c r="BN143" s="124"/>
      <c r="BO143" s="124"/>
      <c r="BP143" s="124"/>
      <c r="BQ143" s="124"/>
      <c r="BR143" s="124"/>
      <c r="BS143" s="124"/>
      <c r="BT143" s="124"/>
      <c r="BU143" s="124"/>
      <c r="BV143" s="124"/>
      <c r="BW143" s="124"/>
      <c r="BX143" s="124"/>
      <c r="CE143" s="133"/>
      <c r="CG143" s="27"/>
      <c r="CV143" s="125">
        <f>+-DI77</f>
        <v>-587.9867535732692</v>
      </c>
    </row>
    <row r="144" spans="2:100" ht="45.75" customHeight="1" thickBot="1" x14ac:dyDescent="0.3">
      <c r="B144" s="1">
        <v>-10</v>
      </c>
      <c r="D144" s="128" t="str">
        <f>IF(CV143&lt;0," ","change the angle of frame or of cabinets")</f>
        <v xml:space="preserve"> </v>
      </c>
      <c r="E144" s="129"/>
      <c r="F144" s="129"/>
      <c r="G144" s="129"/>
      <c r="H144" s="130"/>
      <c r="I144" s="130"/>
      <c r="J144" s="130"/>
      <c r="K144" s="130"/>
      <c r="L144" s="130"/>
      <c r="M144" s="130"/>
      <c r="N144" s="130"/>
      <c r="O144" s="130"/>
      <c r="P144" s="130"/>
      <c r="T144" s="437" t="s">
        <v>87</v>
      </c>
      <c r="U144" s="463" t="s">
        <v>88</v>
      </c>
      <c r="V144" s="463" t="s">
        <v>89</v>
      </c>
      <c r="W144" s="464" t="s">
        <v>108</v>
      </c>
      <c r="X144" s="465" t="s">
        <v>91</v>
      </c>
      <c r="Y144" s="130"/>
      <c r="Z144" s="130"/>
      <c r="AA144" s="130"/>
      <c r="AB144" s="130"/>
      <c r="AC144" s="130"/>
      <c r="AD144" s="130"/>
      <c r="AE144" s="130"/>
      <c r="AF144" s="131"/>
      <c r="AG144" s="131"/>
      <c r="AH144" s="131"/>
      <c r="AI144" s="131"/>
      <c r="AJ144" s="131"/>
      <c r="AK144" s="131"/>
      <c r="AL144" s="131"/>
      <c r="AM144" s="131"/>
      <c r="AN144" s="131"/>
      <c r="AO144" s="131"/>
      <c r="AP144" s="130"/>
      <c r="AQ144" s="131"/>
      <c r="AR144" s="131"/>
      <c r="AS144" s="132"/>
      <c r="BB144" s="81"/>
      <c r="BC144" s="81"/>
      <c r="BD144" s="905"/>
      <c r="BE144" s="77"/>
      <c r="BF144" s="77"/>
      <c r="BG144" s="77"/>
      <c r="BH144" s="77"/>
      <c r="BI144" s="77"/>
      <c r="BJ144" s="77"/>
      <c r="BK144" s="124"/>
      <c r="BL144" s="124"/>
      <c r="BM144" s="124"/>
      <c r="BN144" s="124"/>
      <c r="BO144" s="124"/>
      <c r="BP144" s="124"/>
      <c r="BQ144" s="124"/>
      <c r="BR144" s="124"/>
      <c r="BS144" s="124"/>
      <c r="BT144" s="124"/>
      <c r="BU144" s="124"/>
      <c r="BV144" s="124"/>
      <c r="BW144" s="124"/>
      <c r="BX144" s="124"/>
    </row>
    <row r="145" spans="1:94" ht="49.5" customHeight="1" thickBot="1" x14ac:dyDescent="0.35">
      <c r="B145" s="997" t="s">
        <v>86</v>
      </c>
      <c r="C145" s="577"/>
      <c r="D145" s="128" t="str">
        <f>IF(BA143&gt;(+COS(($B$144*-1)*3.14159265358979/180)*294)," ","USE EXBAR-N AT THE FRONT")</f>
        <v xml:space="preserve"> </v>
      </c>
      <c r="E145" s="129"/>
      <c r="F145" s="129"/>
      <c r="G145" s="129"/>
      <c r="H145" s="130"/>
      <c r="I145" s="130"/>
      <c r="J145" s="130"/>
      <c r="K145" s="130"/>
      <c r="L145" s="130"/>
      <c r="M145" s="130"/>
      <c r="N145" s="130"/>
      <c r="O145" s="130"/>
      <c r="P145" s="130"/>
      <c r="T145" s="437">
        <v>3.3679226</v>
      </c>
      <c r="U145" s="463">
        <f>+$B$144-T145</f>
        <v>-13.3679226</v>
      </c>
      <c r="V145" s="466">
        <f>COS(U145*3.14159265358979/180)</f>
        <v>0.97290547126081384</v>
      </c>
      <c r="W145" s="460">
        <f>+V145*273.3307633</f>
        <v>265.92499507846446</v>
      </c>
      <c r="X145" s="467">
        <f>+((X150*AF150)+(W145*9.4))/(AF150+9.4)</f>
        <v>202.35142859091511</v>
      </c>
      <c r="Y145" s="130" t="s">
        <v>109</v>
      </c>
      <c r="Z145" s="130"/>
      <c r="AA145" s="148"/>
      <c r="AB145" s="438"/>
      <c r="AC145" s="130"/>
      <c r="AD145" s="130"/>
      <c r="AE145" s="130"/>
      <c r="AF145" s="131"/>
      <c r="AG145" s="131"/>
      <c r="AH145" s="131"/>
      <c r="AI145" s="131"/>
      <c r="AJ145" s="131"/>
      <c r="AK145" s="131"/>
      <c r="AL145" s="131"/>
      <c r="AM145" s="131"/>
      <c r="AN145" s="131"/>
      <c r="AO145" s="131"/>
      <c r="AP145" s="130"/>
      <c r="AQ145" s="61"/>
      <c r="AR145" s="131"/>
      <c r="BB145" s="135"/>
      <c r="BC145" s="135"/>
      <c r="BD145" s="135"/>
      <c r="BE145" s="77"/>
      <c r="BF145" s="77"/>
      <c r="BG145" s="77"/>
      <c r="BH145" s="77"/>
      <c r="BI145" s="77"/>
      <c r="BJ145" s="77"/>
      <c r="BK145" s="124"/>
      <c r="BL145" s="124"/>
      <c r="BM145" s="124"/>
      <c r="BN145" s="124"/>
      <c r="BO145" s="124"/>
      <c r="BP145" s="124"/>
      <c r="BQ145" s="124"/>
      <c r="BR145" s="124"/>
      <c r="BS145" s="124"/>
      <c r="BT145" s="124"/>
      <c r="BU145" s="124"/>
      <c r="BV145" s="124"/>
      <c r="BW145" s="124"/>
      <c r="BX145" s="124"/>
    </row>
    <row r="146" spans="1:94" ht="45.75" customHeight="1" thickBot="1" x14ac:dyDescent="0.35">
      <c r="B146" s="998"/>
      <c r="C146" s="577"/>
      <c r="D146" s="136" t="str">
        <f>IF(CV143&lt;-(+COS(($B$144*-1)*3.14159265358979/180)*266)," ","USE EXBAR-N AT THE BACK")</f>
        <v xml:space="preserve"> </v>
      </c>
      <c r="E146" s="129"/>
      <c r="F146" s="129"/>
      <c r="G146" s="129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1"/>
      <c r="W146" s="131"/>
      <c r="X146" s="131"/>
      <c r="Y146" s="131"/>
      <c r="Z146" s="131"/>
      <c r="AA146" s="131"/>
      <c r="AB146" s="131"/>
      <c r="AC146" s="131"/>
      <c r="AD146" s="131"/>
      <c r="AE146" s="131"/>
      <c r="AF146" s="131"/>
      <c r="AG146" s="131"/>
      <c r="AH146" s="131"/>
      <c r="AI146" s="131"/>
      <c r="AJ146" s="131"/>
      <c r="AK146" s="131"/>
      <c r="AL146" s="131"/>
      <c r="AM146" s="131"/>
      <c r="AN146" s="131"/>
      <c r="AO146" s="131"/>
      <c r="AP146" s="130"/>
      <c r="AQ146" s="61"/>
      <c r="AR146" s="131"/>
      <c r="BB146" s="135"/>
      <c r="BC146" s="135"/>
      <c r="BD146" s="135"/>
      <c r="BE146" s="77"/>
      <c r="BF146" s="77"/>
      <c r="BG146" s="77"/>
      <c r="BH146" s="77"/>
      <c r="BI146" s="77"/>
      <c r="BJ146" s="77"/>
      <c r="BK146" s="124"/>
      <c r="BL146" s="124"/>
      <c r="BM146" s="124"/>
      <c r="BN146" s="124"/>
      <c r="BO146" s="124"/>
      <c r="BP146" s="124"/>
      <c r="BQ146" s="124"/>
      <c r="BR146" s="124"/>
      <c r="BS146" s="124"/>
      <c r="BT146" s="124"/>
      <c r="BU146" s="124"/>
      <c r="BV146" s="124"/>
      <c r="BW146" s="124"/>
      <c r="BX146" s="124"/>
    </row>
    <row r="147" spans="1:94" ht="27" thickBot="1" x14ac:dyDescent="0.35">
      <c r="B147" s="11">
        <v>1</v>
      </c>
      <c r="C147" s="377"/>
      <c r="D147" s="784" t="s">
        <v>101</v>
      </c>
      <c r="E147" s="138"/>
      <c r="F147" s="139"/>
      <c r="G147" s="139"/>
      <c r="H147" s="140"/>
      <c r="I147" s="140"/>
      <c r="J147" s="140"/>
      <c r="K147" s="140"/>
      <c r="L147" s="140"/>
      <c r="M147" s="140"/>
      <c r="N147" s="140"/>
      <c r="O147" s="140"/>
      <c r="P147" s="140"/>
      <c r="Q147" s="140"/>
      <c r="R147" s="140"/>
      <c r="S147" s="140"/>
      <c r="T147" s="140"/>
      <c r="U147" s="138"/>
      <c r="V147" s="138"/>
      <c r="W147" s="138"/>
      <c r="X147" s="138"/>
      <c r="Y147" s="138"/>
      <c r="Z147" s="138"/>
      <c r="AA147" s="138"/>
      <c r="AB147" s="138"/>
      <c r="AC147" s="138"/>
      <c r="AD147" s="138"/>
      <c r="AE147" s="138"/>
      <c r="AF147" s="138"/>
      <c r="AG147" s="138"/>
      <c r="AH147" s="138"/>
      <c r="AI147" s="138"/>
      <c r="AJ147" s="138"/>
      <c r="AK147" s="138"/>
      <c r="AL147" s="138"/>
      <c r="AM147" s="138"/>
      <c r="AN147" s="1001" t="s">
        <v>50</v>
      </c>
      <c r="AO147" s="1002"/>
      <c r="AP147" s="141"/>
      <c r="AQ147" s="142"/>
      <c r="BB147" s="135"/>
      <c r="BC147" s="135"/>
      <c r="BD147" s="135"/>
      <c r="BE147" s="77"/>
      <c r="BF147" s="77"/>
      <c r="BG147" s="77"/>
      <c r="BH147" s="77"/>
      <c r="BI147" s="77"/>
      <c r="BJ147" s="77"/>
      <c r="BK147" s="77"/>
      <c r="BL147" s="77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  <c r="CD147" s="77"/>
      <c r="CE147" s="77"/>
      <c r="CF147" s="77"/>
      <c r="CG147" s="77"/>
      <c r="CH147" s="77"/>
      <c r="CI147" s="77"/>
      <c r="CJ147" s="77"/>
      <c r="CK147" s="77"/>
      <c r="CL147" s="77"/>
      <c r="CM147" s="77"/>
      <c r="CN147" s="77"/>
      <c r="CO147" s="77"/>
      <c r="CP147" s="77"/>
    </row>
    <row r="148" spans="1:94" ht="20" hidden="1" thickBot="1" x14ac:dyDescent="0.35">
      <c r="B148" s="143"/>
      <c r="C148" s="144"/>
      <c r="D148" s="145"/>
      <c r="F148" s="146"/>
      <c r="H148" s="147" t="s">
        <v>4</v>
      </c>
      <c r="I148" s="147" t="s">
        <v>1</v>
      </c>
      <c r="J148" s="148" t="s">
        <v>0</v>
      </c>
      <c r="K148" s="148" t="s">
        <v>2</v>
      </c>
      <c r="L148" s="148" t="s">
        <v>3</v>
      </c>
      <c r="M148" s="148" t="s">
        <v>8</v>
      </c>
      <c r="N148" s="148" t="s">
        <v>5</v>
      </c>
      <c r="O148" s="148" t="s">
        <v>6</v>
      </c>
      <c r="P148" s="148" t="s">
        <v>7</v>
      </c>
      <c r="Q148" s="148" t="s">
        <v>9</v>
      </c>
      <c r="R148" s="149" t="s">
        <v>10</v>
      </c>
      <c r="S148" s="148" t="s">
        <v>11</v>
      </c>
      <c r="T148" s="150" t="s">
        <v>12</v>
      </c>
      <c r="U148" s="151"/>
      <c r="V148" s="151"/>
      <c r="W148" s="152"/>
      <c r="X148" s="151"/>
      <c r="Y148" s="151"/>
      <c r="Z148" s="151"/>
      <c r="AA148" s="151"/>
      <c r="AB148" s="151"/>
      <c r="AC148" s="151"/>
      <c r="AD148" s="151"/>
      <c r="AE148" s="151"/>
      <c r="AF148" s="151"/>
      <c r="AG148" s="151"/>
      <c r="AH148" s="151"/>
      <c r="AI148" s="151"/>
      <c r="AJ148" s="151"/>
      <c r="AK148" s="151"/>
      <c r="AL148" s="152" t="s">
        <v>44</v>
      </c>
      <c r="AM148" s="152" t="s">
        <v>44</v>
      </c>
      <c r="AN148" s="153"/>
      <c r="AO148" s="154"/>
      <c r="AQ148" s="155"/>
      <c r="BB148" s="135"/>
      <c r="BC148" s="135"/>
      <c r="BD148" s="135"/>
      <c r="BX148" s="156"/>
      <c r="BY148" s="156"/>
      <c r="BZ148" s="156"/>
      <c r="CA148" s="156"/>
      <c r="CB148" s="156"/>
      <c r="CC148" s="156"/>
    </row>
    <row r="149" spans="1:94" ht="42" customHeight="1" thickBot="1" x14ac:dyDescent="0.35">
      <c r="B149" s="157"/>
      <c r="C149" s="158"/>
      <c r="D149" s="159" t="s">
        <v>22</v>
      </c>
      <c r="E149" s="527"/>
      <c r="F149" s="160"/>
      <c r="H149" s="161"/>
      <c r="I149" s="162"/>
      <c r="R149" s="77"/>
      <c r="T149" s="163"/>
      <c r="U149" s="151"/>
      <c r="V149" s="151"/>
      <c r="W149" s="151"/>
      <c r="X149" s="151" t="s">
        <v>38</v>
      </c>
      <c r="Y149" s="164" t="s">
        <v>31</v>
      </c>
      <c r="Z149" s="165" t="s">
        <v>104</v>
      </c>
      <c r="AA149" s="166" t="s">
        <v>32</v>
      </c>
      <c r="AB149" s="167" t="s">
        <v>33</v>
      </c>
      <c r="AC149" s="165" t="s">
        <v>105</v>
      </c>
      <c r="AD149" s="168" t="s">
        <v>34</v>
      </c>
      <c r="AE149" s="169" t="s">
        <v>35</v>
      </c>
      <c r="AF149" s="170" t="s">
        <v>36</v>
      </c>
      <c r="AG149" s="151" t="s">
        <v>37</v>
      </c>
      <c r="AH149" s="151" t="s">
        <v>39</v>
      </c>
      <c r="AI149" s="151" t="s">
        <v>40</v>
      </c>
      <c r="AJ149" s="171" t="s">
        <v>41</v>
      </c>
      <c r="AK149" s="171" t="s">
        <v>42</v>
      </c>
      <c r="AL149" s="172" t="s">
        <v>23</v>
      </c>
      <c r="AM149" s="172" t="s">
        <v>24</v>
      </c>
      <c r="AN149" s="173" t="s">
        <v>23</v>
      </c>
      <c r="AO149" s="173" t="s">
        <v>24</v>
      </c>
      <c r="AR149" s="174"/>
      <c r="BB149" s="135"/>
      <c r="BC149" s="135"/>
      <c r="BD149" s="135"/>
    </row>
    <row r="150" spans="1:94" ht="25" customHeight="1" thickBot="1" x14ac:dyDescent="0.35">
      <c r="B150" s="175">
        <v>1</v>
      </c>
      <c r="C150" s="176">
        <f>+($B$144*-1)+D150</f>
        <v>10</v>
      </c>
      <c r="D150" s="10">
        <v>0</v>
      </c>
      <c r="E150" s="177" t="s">
        <v>103</v>
      </c>
      <c r="F150" s="178" t="str">
        <f t="shared" ref="F150:F173" si="11">IF(AM150&lt;0,"use the ground stack hole"," ")</f>
        <v xml:space="preserve"> </v>
      </c>
      <c r="G150" s="178">
        <f>+D150</f>
        <v>0</v>
      </c>
      <c r="H150" s="179">
        <v>176.8294247</v>
      </c>
      <c r="I150" s="180">
        <v>66.429896499999998</v>
      </c>
      <c r="J150" s="84">
        <f>+I150-C150</f>
        <v>56.429896499999998</v>
      </c>
      <c r="K150" s="84">
        <f t="shared" ref="K150:K169" si="12">+J150/2</f>
        <v>28.214948249999999</v>
      </c>
      <c r="L150" s="84">
        <f t="shared" ref="L150:L169" si="13">SIN(K150*3.14159265358979/180)</f>
        <v>0.47278067748791841</v>
      </c>
      <c r="M150" s="84">
        <f t="shared" ref="M150:M169" si="14">+L150*H150</f>
        <v>83.601535209464856</v>
      </c>
      <c r="N150" s="84">
        <f t="shared" ref="N150:N169" si="15">+M150*2</f>
        <v>167.20307041892971</v>
      </c>
      <c r="O150" s="84">
        <f>+C150/2</f>
        <v>5</v>
      </c>
      <c r="P150" s="84">
        <f t="shared" ref="P150:P169" si="16">SIN(O150*3.14159265358979/180)</f>
        <v>8.7155742747658083E-2</v>
      </c>
      <c r="Q150" s="84">
        <f t="shared" ref="Q150:Q169" si="17">+P150*N150</f>
        <v>14.572707792050798</v>
      </c>
      <c r="R150" s="181">
        <v>147.93928579999999</v>
      </c>
      <c r="S150" s="84">
        <f>+R150+Q150</f>
        <v>162.5119935920508</v>
      </c>
      <c r="T150" s="182">
        <f t="shared" ref="T150:T169" si="18">+S150</f>
        <v>162.5119935920508</v>
      </c>
      <c r="U150" s="44"/>
      <c r="V150" s="183">
        <f t="shared" ref="V150:V169" si="19">IF(B150&lt;($B$147+1),T150,0)</f>
        <v>162.5119935920508</v>
      </c>
      <c r="W150" s="178"/>
      <c r="X150" s="183">
        <f>SUM(V150:V173)/($B$147)</f>
        <v>162.5119935920508</v>
      </c>
      <c r="Y150" s="184">
        <f>+C150</f>
        <v>10</v>
      </c>
      <c r="Z150" s="185">
        <f>74.8522391-Y150</f>
        <v>64.852239100000006</v>
      </c>
      <c r="AA150" s="186">
        <f t="shared" ref="AA150:AA169" si="20">SIN(Z150*3.14159265358979/180)</f>
        <v>0.90521487817028612</v>
      </c>
      <c r="AB150" s="187">
        <f>+AA150*193.2389666</f>
        <v>174.92278760857099</v>
      </c>
      <c r="AC150" s="185">
        <f>56.7850518+Y150</f>
        <v>66.785051799999991</v>
      </c>
      <c r="AD150" s="188">
        <f>SIN(AC150*3.14159265358979/180)</f>
        <v>0.91903253037976096</v>
      </c>
      <c r="AE150" s="189">
        <f>+AD150*176.8294247</f>
        <v>162.51199362763842</v>
      </c>
      <c r="AF150" s="190">
        <f>15*B147</f>
        <v>15</v>
      </c>
      <c r="AG150" s="191">
        <f>+AE150+AB150</f>
        <v>337.4347812362094</v>
      </c>
      <c r="AH150" s="191">
        <f>+V150-AE150</f>
        <v>-3.5587618185672909E-8</v>
      </c>
      <c r="AI150" s="191">
        <f>+X150-AH150</f>
        <v>162.51199362763842</v>
      </c>
      <c r="AJ150" s="192">
        <f>+((AG150-AI150)/AG150)*AF150</f>
        <v>7.7758487270221153</v>
      </c>
      <c r="AK150" s="192">
        <f>+(AI150/AG150)*AF150</f>
        <v>7.2241512729778847</v>
      </c>
      <c r="AL150" s="193">
        <f t="shared" ref="AL150:AL169" si="21">2*$C$7/AJ150</f>
        <v>1028.8265989793408</v>
      </c>
      <c r="AM150" s="194">
        <f t="shared" ref="AM150:AM169" si="22">$D$7/AK150</f>
        <v>609.06808754937174</v>
      </c>
      <c r="AN150" s="195">
        <f>ABS(AL150)</f>
        <v>1028.8265989793408</v>
      </c>
      <c r="AO150" s="195">
        <f>ABS(AM150)</f>
        <v>609.06808754937174</v>
      </c>
      <c r="AP150" s="51"/>
      <c r="AR150" s="196"/>
      <c r="BB150" s="135"/>
      <c r="BC150" s="135"/>
      <c r="BD150" s="135"/>
    </row>
    <row r="151" spans="1:94" ht="25" customHeight="1" thickBot="1" x14ac:dyDescent="0.35">
      <c r="B151" s="197">
        <v>2</v>
      </c>
      <c r="C151" s="198"/>
      <c r="D151" s="10">
        <v>0</v>
      </c>
      <c r="E151" s="177" t="s">
        <v>121</v>
      </c>
      <c r="F151" s="200" t="e">
        <f t="shared" si="11"/>
        <v>#DIV/0!</v>
      </c>
      <c r="G151" s="201">
        <f t="shared" ref="G151:G169" si="23">+D151+AP151</f>
        <v>0</v>
      </c>
      <c r="H151" s="202">
        <v>176.8294247</v>
      </c>
      <c r="I151" s="203">
        <v>66.429896499999998</v>
      </c>
      <c r="J151" s="51">
        <f t="shared" ref="J151:J169" si="24">+I151-D151</f>
        <v>66.429896499999998</v>
      </c>
      <c r="K151" s="51">
        <f t="shared" si="12"/>
        <v>33.214948249999999</v>
      </c>
      <c r="L151" s="51">
        <f>SIN(K151*3.14159265358979/180)</f>
        <v>0.54778151346749804</v>
      </c>
      <c r="M151" s="51">
        <f t="shared" si="14"/>
        <v>96.863889887752975</v>
      </c>
      <c r="N151" s="51">
        <f t="shared" si="15"/>
        <v>193.72777977550595</v>
      </c>
      <c r="O151" s="51">
        <f>+C150+(D151/2)</f>
        <v>10</v>
      </c>
      <c r="P151" s="51">
        <f t="shared" si="16"/>
        <v>0.17364817766693016</v>
      </c>
      <c r="Q151" s="51">
        <f t="shared" si="17"/>
        <v>33.640475921476977</v>
      </c>
      <c r="R151" s="51">
        <f t="shared" ref="R151:R169" si="25">+T150</f>
        <v>162.5119935920508</v>
      </c>
      <c r="S151" s="51">
        <f>+R151+Q151</f>
        <v>196.15246951352776</v>
      </c>
      <c r="T151" s="204">
        <f t="shared" si="18"/>
        <v>196.15246951352776</v>
      </c>
      <c r="V151" s="205">
        <f t="shared" si="19"/>
        <v>0</v>
      </c>
      <c r="W151" s="178"/>
      <c r="X151" s="205" t="e">
        <f>SUM(V151:V173)/($B$147-B150)</f>
        <v>#DIV/0!</v>
      </c>
      <c r="Y151" s="206">
        <f>SUM(D151)+$C$150</f>
        <v>10</v>
      </c>
      <c r="Z151" s="207">
        <f t="shared" ref="Z151:Z173" si="26">74.8522391-Y151</f>
        <v>64.852239100000006</v>
      </c>
      <c r="AA151" s="208">
        <f t="shared" si="20"/>
        <v>0.90521487817028612</v>
      </c>
      <c r="AB151" s="209">
        <f t="shared" ref="AB151:AB173" si="27">+AA151*193.2389666</f>
        <v>174.92278760857099</v>
      </c>
      <c r="AC151" s="207">
        <f t="shared" ref="AC151:AC169" si="28">56.7850518+Y151</f>
        <v>66.785051799999991</v>
      </c>
      <c r="AD151" s="210">
        <f t="shared" ref="AD151:AD169" si="29">SIN(AC151*3.14159265358979/180)</f>
        <v>0.91903253037976096</v>
      </c>
      <c r="AE151" s="211">
        <f t="shared" ref="AE151:AE173" si="30">+AD151*176.8294247</f>
        <v>162.51199362763842</v>
      </c>
      <c r="AF151" s="211">
        <f>15*($B$147-B150)</f>
        <v>0</v>
      </c>
      <c r="AG151" s="212">
        <f t="shared" ref="AG151:AG169" si="31">+AE151+AB151</f>
        <v>337.4347812362094</v>
      </c>
      <c r="AH151" s="212">
        <f>+V151-AE151</f>
        <v>-162.51199362763842</v>
      </c>
      <c r="AI151" s="212" t="e">
        <f>+X151-AH151</f>
        <v>#DIV/0!</v>
      </c>
      <c r="AJ151" s="213" t="e">
        <f t="shared" ref="AJ151:AJ169" si="32">+((AG151-AI151)/AG151)*AF151</f>
        <v>#DIV/0!</v>
      </c>
      <c r="AK151" s="213" t="e">
        <f t="shared" ref="AK151:AK169" si="33">+(AI151/AG151)*AF151</f>
        <v>#DIV/0!</v>
      </c>
      <c r="AL151" s="193" t="e">
        <f t="shared" si="21"/>
        <v>#DIV/0!</v>
      </c>
      <c r="AM151" s="194" t="e">
        <f t="shared" si="22"/>
        <v>#DIV/0!</v>
      </c>
      <c r="AN151" s="214" t="e">
        <f t="shared" ref="AN151:AN169" si="34">ABS(AL151)</f>
        <v>#DIV/0!</v>
      </c>
      <c r="AO151" s="195" t="e">
        <f t="shared" ref="AO151:AO169" si="35">ABS(AM151)</f>
        <v>#DIV/0!</v>
      </c>
      <c r="BB151" s="135"/>
      <c r="BC151" s="135"/>
      <c r="BD151" s="135"/>
    </row>
    <row r="152" spans="1:94" ht="25" customHeight="1" thickBot="1" x14ac:dyDescent="0.35">
      <c r="B152" s="197">
        <v>3</v>
      </c>
      <c r="C152" s="198"/>
      <c r="D152" s="10">
        <v>0</v>
      </c>
      <c r="E152" s="177" t="s">
        <v>121</v>
      </c>
      <c r="F152" s="215" t="str">
        <f t="shared" si="11"/>
        <v>use the ground stack hole</v>
      </c>
      <c r="G152" s="201">
        <f t="shared" si="23"/>
        <v>0</v>
      </c>
      <c r="H152" s="202">
        <v>176.8294247</v>
      </c>
      <c r="I152" s="203">
        <v>66.429896499999998</v>
      </c>
      <c r="J152" s="51">
        <f t="shared" si="24"/>
        <v>66.429896499999998</v>
      </c>
      <c r="K152" s="51">
        <f t="shared" si="12"/>
        <v>33.214948249999999</v>
      </c>
      <c r="L152" s="51">
        <f t="shared" si="13"/>
        <v>0.54778151346749804</v>
      </c>
      <c r="M152" s="51">
        <f t="shared" si="14"/>
        <v>96.863889887752975</v>
      </c>
      <c r="N152" s="51">
        <f t="shared" si="15"/>
        <v>193.72777977550595</v>
      </c>
      <c r="O152" s="51">
        <f>+C150+D151+(D152/2)</f>
        <v>10</v>
      </c>
      <c r="P152" s="51">
        <f t="shared" si="16"/>
        <v>0.17364817766693016</v>
      </c>
      <c r="Q152" s="51">
        <f t="shared" si="17"/>
        <v>33.640475921476977</v>
      </c>
      <c r="R152" s="51">
        <f t="shared" si="25"/>
        <v>196.15246951352776</v>
      </c>
      <c r="S152" s="51">
        <f t="shared" ref="S152:S169" si="36">+S151+Q152</f>
        <v>229.79294543500475</v>
      </c>
      <c r="T152" s="204">
        <f t="shared" si="18"/>
        <v>229.79294543500475</v>
      </c>
      <c r="V152" s="205">
        <f t="shared" si="19"/>
        <v>0</v>
      </c>
      <c r="W152" s="178"/>
      <c r="X152" s="205">
        <f>SUM(V152:V173)/($B$147-B151)</f>
        <v>0</v>
      </c>
      <c r="Y152" s="206">
        <f>SUM(D151:D152)+$C$150</f>
        <v>10</v>
      </c>
      <c r="Z152" s="207">
        <f t="shared" si="26"/>
        <v>64.852239100000006</v>
      </c>
      <c r="AA152" s="208">
        <f t="shared" si="20"/>
        <v>0.90521487817028612</v>
      </c>
      <c r="AB152" s="209">
        <f t="shared" si="27"/>
        <v>174.92278760857099</v>
      </c>
      <c r="AC152" s="207">
        <f t="shared" si="28"/>
        <v>66.785051799999991</v>
      </c>
      <c r="AD152" s="210">
        <f t="shared" si="29"/>
        <v>0.91903253037976096</v>
      </c>
      <c r="AE152" s="211">
        <f t="shared" si="30"/>
        <v>162.51199362763842</v>
      </c>
      <c r="AF152" s="211">
        <f t="shared" ref="AF152:AF169" si="37">15*($B$147-B151)</f>
        <v>-15</v>
      </c>
      <c r="AG152" s="212">
        <f t="shared" si="31"/>
        <v>337.4347812362094</v>
      </c>
      <c r="AH152" s="212">
        <f>+V152-AE152</f>
        <v>-162.51199362763842</v>
      </c>
      <c r="AI152" s="212">
        <f>+X152-AH152</f>
        <v>162.51199362763842</v>
      </c>
      <c r="AJ152" s="213">
        <f t="shared" si="32"/>
        <v>-7.7758487270221153</v>
      </c>
      <c r="AK152" s="213">
        <f t="shared" si="33"/>
        <v>-7.2241512729778847</v>
      </c>
      <c r="AL152" s="193">
        <f t="shared" si="21"/>
        <v>-1028.8265989793408</v>
      </c>
      <c r="AM152" s="194">
        <f t="shared" si="22"/>
        <v>-609.06808754937174</v>
      </c>
      <c r="AN152" s="195">
        <f t="shared" si="34"/>
        <v>1028.8265989793408</v>
      </c>
      <c r="AO152" s="195">
        <f t="shared" si="35"/>
        <v>609.06808754937174</v>
      </c>
      <c r="BB152" s="135"/>
      <c r="BC152" s="135"/>
      <c r="BD152" s="135"/>
    </row>
    <row r="153" spans="1:94" ht="25" customHeight="1" thickBot="1" x14ac:dyDescent="0.35">
      <c r="B153" s="197">
        <v>4</v>
      </c>
      <c r="C153" s="198"/>
      <c r="D153" s="10">
        <v>0</v>
      </c>
      <c r="E153" s="177" t="s">
        <v>121</v>
      </c>
      <c r="F153" s="215" t="str">
        <f t="shared" si="11"/>
        <v>use the ground stack hole</v>
      </c>
      <c r="G153" s="201">
        <f t="shared" si="23"/>
        <v>0</v>
      </c>
      <c r="H153" s="202">
        <v>176.8294247</v>
      </c>
      <c r="I153" s="203">
        <v>66.429896499999998</v>
      </c>
      <c r="J153" s="51">
        <f t="shared" si="24"/>
        <v>66.429896499999998</v>
      </c>
      <c r="K153" s="51">
        <f t="shared" si="12"/>
        <v>33.214948249999999</v>
      </c>
      <c r="L153" s="51">
        <f t="shared" si="13"/>
        <v>0.54778151346749804</v>
      </c>
      <c r="M153" s="51">
        <f t="shared" si="14"/>
        <v>96.863889887752975</v>
      </c>
      <c r="N153" s="51">
        <f t="shared" si="15"/>
        <v>193.72777977550595</v>
      </c>
      <c r="O153" s="51">
        <f>+C150+D151+D152+(D153/2)</f>
        <v>10</v>
      </c>
      <c r="P153" s="51">
        <f t="shared" si="16"/>
        <v>0.17364817766693016</v>
      </c>
      <c r="Q153" s="51">
        <f t="shared" si="17"/>
        <v>33.640475921476977</v>
      </c>
      <c r="R153" s="51">
        <f t="shared" si="25"/>
        <v>229.79294543500475</v>
      </c>
      <c r="S153" s="51">
        <f t="shared" si="36"/>
        <v>263.43342135648174</v>
      </c>
      <c r="T153" s="204">
        <f t="shared" si="18"/>
        <v>263.43342135648174</v>
      </c>
      <c r="V153" s="205">
        <f t="shared" si="19"/>
        <v>0</v>
      </c>
      <c r="W153" s="178"/>
      <c r="X153" s="205">
        <f>SUM(V153:V173)/($B$147-B152)</f>
        <v>0</v>
      </c>
      <c r="Y153" s="206">
        <f>SUM(D151:D153)+$C$150</f>
        <v>10</v>
      </c>
      <c r="Z153" s="207">
        <f t="shared" si="26"/>
        <v>64.852239100000006</v>
      </c>
      <c r="AA153" s="208">
        <f t="shared" si="20"/>
        <v>0.90521487817028612</v>
      </c>
      <c r="AB153" s="209">
        <f t="shared" si="27"/>
        <v>174.92278760857099</v>
      </c>
      <c r="AC153" s="207">
        <f t="shared" si="28"/>
        <v>66.785051799999991</v>
      </c>
      <c r="AD153" s="210">
        <f t="shared" si="29"/>
        <v>0.91903253037976096</v>
      </c>
      <c r="AE153" s="211">
        <f t="shared" si="30"/>
        <v>162.51199362763842</v>
      </c>
      <c r="AF153" s="211">
        <f t="shared" si="37"/>
        <v>-30</v>
      </c>
      <c r="AG153" s="212">
        <f t="shared" si="31"/>
        <v>337.4347812362094</v>
      </c>
      <c r="AH153" s="212">
        <f>+V153-AE153</f>
        <v>-162.51199362763842</v>
      </c>
      <c r="AI153" s="212">
        <f t="shared" ref="AI153:AI169" si="38">+X153-AH153</f>
        <v>162.51199362763842</v>
      </c>
      <c r="AJ153" s="213">
        <f t="shared" si="32"/>
        <v>-15.551697454044231</v>
      </c>
      <c r="AK153" s="213">
        <f t="shared" si="33"/>
        <v>-14.448302545955769</v>
      </c>
      <c r="AL153" s="193">
        <f t="shared" si="21"/>
        <v>-514.41329948967041</v>
      </c>
      <c r="AM153" s="194">
        <f t="shared" si="22"/>
        <v>-304.53404377468587</v>
      </c>
      <c r="AN153" s="195">
        <f t="shared" si="34"/>
        <v>514.41329948967041</v>
      </c>
      <c r="AO153" s="195">
        <f t="shared" si="35"/>
        <v>304.53404377468587</v>
      </c>
      <c r="BB153" s="135"/>
      <c r="BC153" s="135"/>
      <c r="BD153" s="135"/>
    </row>
    <row r="154" spans="1:94" ht="25" customHeight="1" thickBot="1" x14ac:dyDescent="0.35">
      <c r="B154" s="197">
        <v>5</v>
      </c>
      <c r="C154" s="198"/>
      <c r="D154" s="10">
        <v>0</v>
      </c>
      <c r="E154" s="177" t="s">
        <v>121</v>
      </c>
      <c r="F154" s="215" t="str">
        <f t="shared" si="11"/>
        <v>use the ground stack hole</v>
      </c>
      <c r="G154" s="201">
        <f t="shared" si="23"/>
        <v>0</v>
      </c>
      <c r="H154" s="202">
        <v>176.8294247</v>
      </c>
      <c r="I154" s="203">
        <v>66.429896499999998</v>
      </c>
      <c r="J154" s="51">
        <f t="shared" si="24"/>
        <v>66.429896499999998</v>
      </c>
      <c r="K154" s="51">
        <f t="shared" si="12"/>
        <v>33.214948249999999</v>
      </c>
      <c r="L154" s="51">
        <f t="shared" si="13"/>
        <v>0.54778151346749804</v>
      </c>
      <c r="M154" s="51">
        <f t="shared" si="14"/>
        <v>96.863889887752975</v>
      </c>
      <c r="N154" s="51">
        <f t="shared" si="15"/>
        <v>193.72777977550595</v>
      </c>
      <c r="O154" s="51">
        <f>+C150+D151+D152+D153+(D154/2)</f>
        <v>10</v>
      </c>
      <c r="P154" s="51">
        <f t="shared" si="16"/>
        <v>0.17364817766693016</v>
      </c>
      <c r="Q154" s="51">
        <f t="shared" si="17"/>
        <v>33.640475921476977</v>
      </c>
      <c r="R154" s="51">
        <f t="shared" si="25"/>
        <v>263.43342135648174</v>
      </c>
      <c r="S154" s="51">
        <f t="shared" si="36"/>
        <v>297.07389727795874</v>
      </c>
      <c r="T154" s="204">
        <f t="shared" si="18"/>
        <v>297.07389727795874</v>
      </c>
      <c r="V154" s="205">
        <f t="shared" si="19"/>
        <v>0</v>
      </c>
      <c r="W154" s="178"/>
      <c r="X154" s="205">
        <f t="shared" ref="X154:X169" si="39">SUM(V154:V173)/($B$147-B153)</f>
        <v>0</v>
      </c>
      <c r="Y154" s="206">
        <f>SUM(D151:D154)+$C$150</f>
        <v>10</v>
      </c>
      <c r="Z154" s="207">
        <f t="shared" si="26"/>
        <v>64.852239100000006</v>
      </c>
      <c r="AA154" s="208">
        <f t="shared" si="20"/>
        <v>0.90521487817028612</v>
      </c>
      <c r="AB154" s="209">
        <f t="shared" si="27"/>
        <v>174.92278760857099</v>
      </c>
      <c r="AC154" s="207">
        <f t="shared" si="28"/>
        <v>66.785051799999991</v>
      </c>
      <c r="AD154" s="210">
        <f t="shared" si="29"/>
        <v>0.91903253037976096</v>
      </c>
      <c r="AE154" s="211">
        <f t="shared" si="30"/>
        <v>162.51199362763842</v>
      </c>
      <c r="AF154" s="211">
        <f t="shared" si="37"/>
        <v>-45</v>
      </c>
      <c r="AG154" s="212">
        <f t="shared" si="31"/>
        <v>337.4347812362094</v>
      </c>
      <c r="AH154" s="212">
        <f t="shared" ref="AH154:AH169" si="40">+V154-AE154</f>
        <v>-162.51199362763842</v>
      </c>
      <c r="AI154" s="212">
        <f t="shared" si="38"/>
        <v>162.51199362763842</v>
      </c>
      <c r="AJ154" s="213">
        <f t="shared" si="32"/>
        <v>-23.327546181066346</v>
      </c>
      <c r="AK154" s="213">
        <f t="shared" si="33"/>
        <v>-21.672453818933654</v>
      </c>
      <c r="AL154" s="193">
        <f t="shared" si="21"/>
        <v>-342.94219965978027</v>
      </c>
      <c r="AM154" s="194">
        <f t="shared" si="22"/>
        <v>-203.02269584979061</v>
      </c>
      <c r="AN154" s="195">
        <f t="shared" si="34"/>
        <v>342.94219965978027</v>
      </c>
      <c r="AO154" s="195">
        <f t="shared" si="35"/>
        <v>203.02269584979061</v>
      </c>
      <c r="AR154" s="80"/>
      <c r="BB154" s="135"/>
      <c r="BC154" s="135"/>
      <c r="BD154" s="135"/>
    </row>
    <row r="155" spans="1:94" ht="25" customHeight="1" thickBot="1" x14ac:dyDescent="0.35">
      <c r="B155" s="197">
        <v>6</v>
      </c>
      <c r="C155" s="198"/>
      <c r="D155" s="10">
        <v>0</v>
      </c>
      <c r="E155" s="177" t="s">
        <v>121</v>
      </c>
      <c r="F155" s="215" t="str">
        <f t="shared" si="11"/>
        <v>use the ground stack hole</v>
      </c>
      <c r="G155" s="201">
        <f t="shared" si="23"/>
        <v>0</v>
      </c>
      <c r="H155" s="202">
        <v>176.8294247</v>
      </c>
      <c r="I155" s="203">
        <v>66.429896499999998</v>
      </c>
      <c r="J155" s="51">
        <f t="shared" si="24"/>
        <v>66.429896499999998</v>
      </c>
      <c r="K155" s="51">
        <f t="shared" si="12"/>
        <v>33.214948249999999</v>
      </c>
      <c r="L155" s="51">
        <f t="shared" si="13"/>
        <v>0.54778151346749804</v>
      </c>
      <c r="M155" s="51">
        <f t="shared" si="14"/>
        <v>96.863889887752975</v>
      </c>
      <c r="N155" s="51">
        <f t="shared" si="15"/>
        <v>193.72777977550595</v>
      </c>
      <c r="O155" s="51">
        <f>+C150+D151+D152+D153+D154+(D155/2)</f>
        <v>10</v>
      </c>
      <c r="P155" s="51">
        <f t="shared" si="16"/>
        <v>0.17364817766693016</v>
      </c>
      <c r="Q155" s="51">
        <f t="shared" si="17"/>
        <v>33.640475921476977</v>
      </c>
      <c r="R155" s="51">
        <f t="shared" si="25"/>
        <v>297.07389727795874</v>
      </c>
      <c r="S155" s="51">
        <f t="shared" si="36"/>
        <v>330.71437319943573</v>
      </c>
      <c r="T155" s="204">
        <f t="shared" si="18"/>
        <v>330.71437319943573</v>
      </c>
      <c r="V155" s="205">
        <f t="shared" si="19"/>
        <v>0</v>
      </c>
      <c r="W155" s="178"/>
      <c r="X155" s="205">
        <f t="shared" si="39"/>
        <v>0</v>
      </c>
      <c r="Y155" s="206">
        <f>SUM(D151:D155)+$C$150</f>
        <v>10</v>
      </c>
      <c r="Z155" s="207">
        <f t="shared" si="26"/>
        <v>64.852239100000006</v>
      </c>
      <c r="AA155" s="208">
        <f t="shared" si="20"/>
        <v>0.90521487817028612</v>
      </c>
      <c r="AB155" s="209">
        <f t="shared" si="27"/>
        <v>174.92278760857099</v>
      </c>
      <c r="AC155" s="207">
        <f t="shared" si="28"/>
        <v>66.785051799999991</v>
      </c>
      <c r="AD155" s="210">
        <f t="shared" si="29"/>
        <v>0.91903253037976096</v>
      </c>
      <c r="AE155" s="211">
        <f t="shared" si="30"/>
        <v>162.51199362763842</v>
      </c>
      <c r="AF155" s="211">
        <f t="shared" si="37"/>
        <v>-60</v>
      </c>
      <c r="AG155" s="212">
        <f t="shared" si="31"/>
        <v>337.4347812362094</v>
      </c>
      <c r="AH155" s="212">
        <f t="shared" si="40"/>
        <v>-162.51199362763842</v>
      </c>
      <c r="AI155" s="212">
        <f t="shared" si="38"/>
        <v>162.51199362763842</v>
      </c>
      <c r="AJ155" s="213">
        <f t="shared" si="32"/>
        <v>-31.103394908088461</v>
      </c>
      <c r="AK155" s="213">
        <f t="shared" si="33"/>
        <v>-28.896605091911539</v>
      </c>
      <c r="AL155" s="193">
        <f t="shared" si="21"/>
        <v>-257.2066497448352</v>
      </c>
      <c r="AM155" s="194">
        <f t="shared" si="22"/>
        <v>-152.26702188734293</v>
      </c>
      <c r="AN155" s="195">
        <f t="shared" si="34"/>
        <v>257.2066497448352</v>
      </c>
      <c r="AO155" s="195">
        <f t="shared" si="35"/>
        <v>152.26702188734293</v>
      </c>
      <c r="BB155" s="135"/>
      <c r="BC155" s="135"/>
      <c r="BD155" s="135"/>
    </row>
    <row r="156" spans="1:94" ht="25" customHeight="1" thickBot="1" x14ac:dyDescent="0.35">
      <c r="B156" s="197">
        <v>7</v>
      </c>
      <c r="C156" s="198"/>
      <c r="D156" s="10">
        <v>0</v>
      </c>
      <c r="E156" s="177" t="s">
        <v>121</v>
      </c>
      <c r="F156" s="215" t="str">
        <f t="shared" si="11"/>
        <v>use the ground stack hole</v>
      </c>
      <c r="G156" s="201">
        <f t="shared" si="23"/>
        <v>0</v>
      </c>
      <c r="H156" s="202">
        <v>176.8294247</v>
      </c>
      <c r="I156" s="203">
        <v>66.429896499999998</v>
      </c>
      <c r="J156" s="51">
        <f t="shared" si="24"/>
        <v>66.429896499999998</v>
      </c>
      <c r="K156" s="51">
        <f t="shared" si="12"/>
        <v>33.214948249999999</v>
      </c>
      <c r="L156" s="51">
        <f t="shared" si="13"/>
        <v>0.54778151346749804</v>
      </c>
      <c r="M156" s="51">
        <f t="shared" si="14"/>
        <v>96.863889887752975</v>
      </c>
      <c r="N156" s="51">
        <f t="shared" si="15"/>
        <v>193.72777977550595</v>
      </c>
      <c r="O156" s="51">
        <f>+C150+D151+D152+D153+D154+D155+(D156/2)</f>
        <v>10</v>
      </c>
      <c r="P156" s="51">
        <f t="shared" si="16"/>
        <v>0.17364817766693016</v>
      </c>
      <c r="Q156" s="51">
        <f t="shared" si="17"/>
        <v>33.640475921476977</v>
      </c>
      <c r="R156" s="51">
        <f t="shared" si="25"/>
        <v>330.71437319943573</v>
      </c>
      <c r="S156" s="51">
        <f t="shared" si="36"/>
        <v>364.35484912091272</v>
      </c>
      <c r="T156" s="204">
        <f t="shared" si="18"/>
        <v>364.35484912091272</v>
      </c>
      <c r="V156" s="205">
        <f t="shared" si="19"/>
        <v>0</v>
      </c>
      <c r="W156" s="178"/>
      <c r="X156" s="205">
        <f t="shared" si="39"/>
        <v>0</v>
      </c>
      <c r="Y156" s="206">
        <f>SUM(D151:D156)+$C$150</f>
        <v>10</v>
      </c>
      <c r="Z156" s="207">
        <f t="shared" si="26"/>
        <v>64.852239100000006</v>
      </c>
      <c r="AA156" s="208">
        <f t="shared" si="20"/>
        <v>0.90521487817028612</v>
      </c>
      <c r="AB156" s="209">
        <f t="shared" si="27"/>
        <v>174.92278760857099</v>
      </c>
      <c r="AC156" s="207">
        <f t="shared" si="28"/>
        <v>66.785051799999991</v>
      </c>
      <c r="AD156" s="210">
        <f t="shared" si="29"/>
        <v>0.91903253037976096</v>
      </c>
      <c r="AE156" s="211">
        <f t="shared" si="30"/>
        <v>162.51199362763842</v>
      </c>
      <c r="AF156" s="211">
        <f t="shared" si="37"/>
        <v>-75</v>
      </c>
      <c r="AG156" s="212">
        <f t="shared" si="31"/>
        <v>337.4347812362094</v>
      </c>
      <c r="AH156" s="212">
        <f t="shared" si="40"/>
        <v>-162.51199362763842</v>
      </c>
      <c r="AI156" s="212">
        <f t="shared" si="38"/>
        <v>162.51199362763842</v>
      </c>
      <c r="AJ156" s="213">
        <f t="shared" si="32"/>
        <v>-38.879243635110576</v>
      </c>
      <c r="AK156" s="213">
        <f t="shared" si="33"/>
        <v>-36.120756364889424</v>
      </c>
      <c r="AL156" s="193">
        <f t="shared" si="21"/>
        <v>-205.76531979586818</v>
      </c>
      <c r="AM156" s="194">
        <f t="shared" si="22"/>
        <v>-121.81361750987436</v>
      </c>
      <c r="AN156" s="195">
        <f t="shared" si="34"/>
        <v>205.76531979586818</v>
      </c>
      <c r="AO156" s="195">
        <f t="shared" si="35"/>
        <v>121.81361750987436</v>
      </c>
      <c r="BB156" s="135"/>
      <c r="BC156" s="135"/>
      <c r="BD156" s="135"/>
    </row>
    <row r="157" spans="1:94" ht="25" customHeight="1" thickBot="1" x14ac:dyDescent="0.35">
      <c r="B157" s="197">
        <v>8</v>
      </c>
      <c r="C157" s="198"/>
      <c r="D157" s="10">
        <v>0</v>
      </c>
      <c r="E157" s="177" t="s">
        <v>121</v>
      </c>
      <c r="F157" s="215" t="str">
        <f t="shared" si="11"/>
        <v>use the ground stack hole</v>
      </c>
      <c r="G157" s="201">
        <f t="shared" si="23"/>
        <v>0</v>
      </c>
      <c r="H157" s="202">
        <v>176.8294247</v>
      </c>
      <c r="I157" s="203">
        <v>66.429896499999998</v>
      </c>
      <c r="J157" s="51">
        <f t="shared" si="24"/>
        <v>66.429896499999998</v>
      </c>
      <c r="K157" s="51">
        <f t="shared" si="12"/>
        <v>33.214948249999999</v>
      </c>
      <c r="L157" s="51">
        <f t="shared" si="13"/>
        <v>0.54778151346749804</v>
      </c>
      <c r="M157" s="51">
        <f t="shared" si="14"/>
        <v>96.863889887752975</v>
      </c>
      <c r="N157" s="51">
        <f t="shared" si="15"/>
        <v>193.72777977550595</v>
      </c>
      <c r="O157" s="51">
        <f>+C150+D151+D152+D153+D154+D155+D156+(D157/2)</f>
        <v>10</v>
      </c>
      <c r="P157" s="51">
        <f t="shared" si="16"/>
        <v>0.17364817766693016</v>
      </c>
      <c r="Q157" s="51">
        <f t="shared" si="17"/>
        <v>33.640475921476977</v>
      </c>
      <c r="R157" s="51">
        <f t="shared" si="25"/>
        <v>364.35484912091272</v>
      </c>
      <c r="S157" s="51">
        <f t="shared" si="36"/>
        <v>397.99532504238971</v>
      </c>
      <c r="T157" s="204">
        <f t="shared" si="18"/>
        <v>397.99532504238971</v>
      </c>
      <c r="V157" s="205">
        <f t="shared" si="19"/>
        <v>0</v>
      </c>
      <c r="W157" s="178"/>
      <c r="X157" s="205">
        <f t="shared" si="39"/>
        <v>0</v>
      </c>
      <c r="Y157" s="206">
        <f>SUM(D151:D157)+$C$150</f>
        <v>10</v>
      </c>
      <c r="Z157" s="207">
        <f t="shared" si="26"/>
        <v>64.852239100000006</v>
      </c>
      <c r="AA157" s="208">
        <f t="shared" si="20"/>
        <v>0.90521487817028612</v>
      </c>
      <c r="AB157" s="209">
        <f t="shared" si="27"/>
        <v>174.92278760857099</v>
      </c>
      <c r="AC157" s="207">
        <f t="shared" si="28"/>
        <v>66.785051799999991</v>
      </c>
      <c r="AD157" s="210">
        <f t="shared" si="29"/>
        <v>0.91903253037976096</v>
      </c>
      <c r="AE157" s="211">
        <f t="shared" si="30"/>
        <v>162.51199362763842</v>
      </c>
      <c r="AF157" s="211">
        <f t="shared" si="37"/>
        <v>-90</v>
      </c>
      <c r="AG157" s="212">
        <f t="shared" si="31"/>
        <v>337.4347812362094</v>
      </c>
      <c r="AH157" s="212">
        <f t="shared" si="40"/>
        <v>-162.51199362763842</v>
      </c>
      <c r="AI157" s="212">
        <f t="shared" si="38"/>
        <v>162.51199362763842</v>
      </c>
      <c r="AJ157" s="213">
        <f t="shared" si="32"/>
        <v>-46.655092362132692</v>
      </c>
      <c r="AK157" s="213">
        <f t="shared" si="33"/>
        <v>-43.344907637867308</v>
      </c>
      <c r="AL157" s="193">
        <f t="shared" si="21"/>
        <v>-171.47109982989014</v>
      </c>
      <c r="AM157" s="194">
        <f t="shared" si="22"/>
        <v>-101.5113479248953</v>
      </c>
      <c r="AN157" s="195">
        <f t="shared" si="34"/>
        <v>171.47109982989014</v>
      </c>
      <c r="AO157" s="195">
        <f t="shared" si="35"/>
        <v>101.5113479248953</v>
      </c>
      <c r="BB157" s="135"/>
      <c r="BC157" s="135"/>
      <c r="BD157" s="135"/>
    </row>
    <row r="158" spans="1:94" ht="25" customHeight="1" thickBot="1" x14ac:dyDescent="0.35">
      <c r="B158" s="197">
        <v>9</v>
      </c>
      <c r="C158" s="198"/>
      <c r="D158" s="10">
        <v>0</v>
      </c>
      <c r="E158" s="177" t="s">
        <v>121</v>
      </c>
      <c r="F158" s="215" t="str">
        <f t="shared" si="11"/>
        <v>use the ground stack hole</v>
      </c>
      <c r="G158" s="201">
        <f t="shared" si="23"/>
        <v>0</v>
      </c>
      <c r="H158" s="202">
        <v>176.8294247</v>
      </c>
      <c r="I158" s="203">
        <v>66.429896499999998</v>
      </c>
      <c r="J158" s="51">
        <f t="shared" si="24"/>
        <v>66.429896499999998</v>
      </c>
      <c r="K158" s="51">
        <f t="shared" si="12"/>
        <v>33.214948249999999</v>
      </c>
      <c r="L158" s="51">
        <f t="shared" si="13"/>
        <v>0.54778151346749804</v>
      </c>
      <c r="M158" s="51">
        <f t="shared" si="14"/>
        <v>96.863889887752975</v>
      </c>
      <c r="N158" s="51">
        <f t="shared" si="15"/>
        <v>193.72777977550595</v>
      </c>
      <c r="O158" s="51">
        <f>+C150+D151+D152+D153+D154+D155+D156+D157+(D158/2)</f>
        <v>10</v>
      </c>
      <c r="P158" s="51">
        <f t="shared" si="16"/>
        <v>0.17364817766693016</v>
      </c>
      <c r="Q158" s="51">
        <f t="shared" si="17"/>
        <v>33.640475921476977</v>
      </c>
      <c r="R158" s="51">
        <f t="shared" si="25"/>
        <v>397.99532504238971</v>
      </c>
      <c r="S158" s="51">
        <f t="shared" si="36"/>
        <v>431.6358009638667</v>
      </c>
      <c r="T158" s="204">
        <f t="shared" si="18"/>
        <v>431.6358009638667</v>
      </c>
      <c r="V158" s="205">
        <f t="shared" si="19"/>
        <v>0</v>
      </c>
      <c r="W158" s="178"/>
      <c r="X158" s="205">
        <f t="shared" si="39"/>
        <v>0</v>
      </c>
      <c r="Y158" s="206">
        <f>SUM(D151:D158)+$C$150</f>
        <v>10</v>
      </c>
      <c r="Z158" s="207">
        <f t="shared" si="26"/>
        <v>64.852239100000006</v>
      </c>
      <c r="AA158" s="208">
        <f t="shared" si="20"/>
        <v>0.90521487817028612</v>
      </c>
      <c r="AB158" s="209">
        <f t="shared" si="27"/>
        <v>174.92278760857099</v>
      </c>
      <c r="AC158" s="207">
        <f t="shared" si="28"/>
        <v>66.785051799999991</v>
      </c>
      <c r="AD158" s="210">
        <f t="shared" si="29"/>
        <v>0.91903253037976096</v>
      </c>
      <c r="AE158" s="211">
        <f t="shared" si="30"/>
        <v>162.51199362763842</v>
      </c>
      <c r="AF158" s="211">
        <f t="shared" si="37"/>
        <v>-105</v>
      </c>
      <c r="AG158" s="212">
        <f t="shared" si="31"/>
        <v>337.4347812362094</v>
      </c>
      <c r="AH158" s="212">
        <f t="shared" si="40"/>
        <v>-162.51199362763842</v>
      </c>
      <c r="AI158" s="212">
        <f t="shared" si="38"/>
        <v>162.51199362763842</v>
      </c>
      <c r="AJ158" s="213">
        <f t="shared" si="32"/>
        <v>-54.430941089154807</v>
      </c>
      <c r="AK158" s="213">
        <f t="shared" si="33"/>
        <v>-50.569058910845193</v>
      </c>
      <c r="AL158" s="193">
        <f t="shared" si="21"/>
        <v>-146.97522842562012</v>
      </c>
      <c r="AM158" s="194">
        <f t="shared" si="22"/>
        <v>-87.009726792767395</v>
      </c>
      <c r="AN158" s="195">
        <f t="shared" si="34"/>
        <v>146.97522842562012</v>
      </c>
      <c r="AO158" s="195">
        <f t="shared" si="35"/>
        <v>87.009726792767395</v>
      </c>
      <c r="BB158" s="135"/>
      <c r="BC158" s="135"/>
      <c r="BD158" s="135"/>
    </row>
    <row r="159" spans="1:94" ht="25" customHeight="1" thickBot="1" x14ac:dyDescent="0.35">
      <c r="B159" s="197">
        <v>10</v>
      </c>
      <c r="C159" s="198"/>
      <c r="D159" s="10">
        <v>0</v>
      </c>
      <c r="E159" s="177" t="s">
        <v>121</v>
      </c>
      <c r="F159" s="215" t="str">
        <f t="shared" si="11"/>
        <v>use the ground stack hole</v>
      </c>
      <c r="G159" s="201">
        <f t="shared" si="23"/>
        <v>0</v>
      </c>
      <c r="H159" s="202">
        <v>176.8294247</v>
      </c>
      <c r="I159" s="203">
        <v>66.429896499999998</v>
      </c>
      <c r="J159" s="51">
        <f t="shared" si="24"/>
        <v>66.429896499999998</v>
      </c>
      <c r="K159" s="51">
        <f t="shared" si="12"/>
        <v>33.214948249999999</v>
      </c>
      <c r="L159" s="51">
        <f t="shared" si="13"/>
        <v>0.54778151346749804</v>
      </c>
      <c r="M159" s="51">
        <f t="shared" si="14"/>
        <v>96.863889887752975</v>
      </c>
      <c r="N159" s="51">
        <f t="shared" si="15"/>
        <v>193.72777977550595</v>
      </c>
      <c r="O159" s="51">
        <f>+C150+D151+D152+D153+D154+D155+D156+D157+D158+(D159/2)</f>
        <v>10</v>
      </c>
      <c r="P159" s="51">
        <f t="shared" si="16"/>
        <v>0.17364817766693016</v>
      </c>
      <c r="Q159" s="51">
        <f t="shared" si="17"/>
        <v>33.640475921476977</v>
      </c>
      <c r="R159" s="51">
        <f t="shared" si="25"/>
        <v>431.6358009638667</v>
      </c>
      <c r="S159" s="51">
        <f t="shared" si="36"/>
        <v>465.27627688534369</v>
      </c>
      <c r="T159" s="204">
        <f t="shared" si="18"/>
        <v>465.27627688534369</v>
      </c>
      <c r="V159" s="205">
        <f t="shared" si="19"/>
        <v>0</v>
      </c>
      <c r="W159" s="178"/>
      <c r="X159" s="205">
        <f t="shared" si="39"/>
        <v>0</v>
      </c>
      <c r="Y159" s="206">
        <f>SUM(D151:D159)+$C$150</f>
        <v>10</v>
      </c>
      <c r="Z159" s="207">
        <f t="shared" si="26"/>
        <v>64.852239100000006</v>
      </c>
      <c r="AA159" s="208">
        <f t="shared" si="20"/>
        <v>0.90521487817028612</v>
      </c>
      <c r="AB159" s="209">
        <f t="shared" si="27"/>
        <v>174.92278760857099</v>
      </c>
      <c r="AC159" s="207">
        <f t="shared" si="28"/>
        <v>66.785051799999991</v>
      </c>
      <c r="AD159" s="210">
        <f t="shared" si="29"/>
        <v>0.91903253037976096</v>
      </c>
      <c r="AE159" s="211">
        <f t="shared" si="30"/>
        <v>162.51199362763842</v>
      </c>
      <c r="AF159" s="211">
        <f t="shared" si="37"/>
        <v>-120</v>
      </c>
      <c r="AG159" s="212">
        <f t="shared" si="31"/>
        <v>337.4347812362094</v>
      </c>
      <c r="AH159" s="212">
        <f t="shared" si="40"/>
        <v>-162.51199362763842</v>
      </c>
      <c r="AI159" s="212">
        <f t="shared" si="38"/>
        <v>162.51199362763842</v>
      </c>
      <c r="AJ159" s="213">
        <f t="shared" si="32"/>
        <v>-62.206789816176922</v>
      </c>
      <c r="AK159" s="213">
        <f t="shared" si="33"/>
        <v>-57.793210183823078</v>
      </c>
      <c r="AL159" s="193">
        <f t="shared" si="21"/>
        <v>-128.6033248724176</v>
      </c>
      <c r="AM159" s="194">
        <f t="shared" si="22"/>
        <v>-76.133510943671467</v>
      </c>
      <c r="AN159" s="195">
        <f t="shared" si="34"/>
        <v>128.6033248724176</v>
      </c>
      <c r="AO159" s="195">
        <f t="shared" si="35"/>
        <v>76.133510943671467</v>
      </c>
      <c r="BB159" s="135"/>
      <c r="BC159" s="135"/>
      <c r="BD159" s="135"/>
    </row>
    <row r="160" spans="1:94" ht="25" customHeight="1" thickBot="1" x14ac:dyDescent="0.35">
      <c r="A160" s="216"/>
      <c r="B160" s="197">
        <v>11</v>
      </c>
      <c r="C160" s="198"/>
      <c r="D160" s="10">
        <v>0</v>
      </c>
      <c r="E160" s="177" t="s">
        <v>121</v>
      </c>
      <c r="F160" s="215" t="str">
        <f t="shared" si="11"/>
        <v>use the ground stack hole</v>
      </c>
      <c r="G160" s="201">
        <f t="shared" si="23"/>
        <v>0</v>
      </c>
      <c r="H160" s="202">
        <v>176.8294247</v>
      </c>
      <c r="I160" s="203">
        <v>66.429896499999998</v>
      </c>
      <c r="J160" s="51">
        <f t="shared" si="24"/>
        <v>66.429896499999998</v>
      </c>
      <c r="K160" s="51">
        <f t="shared" si="12"/>
        <v>33.214948249999999</v>
      </c>
      <c r="L160" s="51">
        <f t="shared" si="13"/>
        <v>0.54778151346749804</v>
      </c>
      <c r="M160" s="51">
        <f t="shared" si="14"/>
        <v>96.863889887752975</v>
      </c>
      <c r="N160" s="51">
        <f t="shared" si="15"/>
        <v>193.72777977550595</v>
      </c>
      <c r="O160" s="51">
        <f>+C150+D151+D152+D153+D154+D155+D156+D157+D158+D159+(D160/2)</f>
        <v>10</v>
      </c>
      <c r="P160" s="51">
        <f t="shared" si="16"/>
        <v>0.17364817766693016</v>
      </c>
      <c r="Q160" s="51">
        <f t="shared" si="17"/>
        <v>33.640475921476977</v>
      </c>
      <c r="R160" s="51">
        <f t="shared" si="25"/>
        <v>465.27627688534369</v>
      </c>
      <c r="S160" s="51">
        <f t="shared" si="36"/>
        <v>498.91675280682068</v>
      </c>
      <c r="T160" s="204">
        <f t="shared" si="18"/>
        <v>498.91675280682068</v>
      </c>
      <c r="V160" s="205">
        <f t="shared" si="19"/>
        <v>0</v>
      </c>
      <c r="W160" s="178"/>
      <c r="X160" s="205">
        <f t="shared" si="39"/>
        <v>0</v>
      </c>
      <c r="Y160" s="206">
        <f>SUM(D151:D160)+$C$150</f>
        <v>10</v>
      </c>
      <c r="Z160" s="207">
        <f t="shared" si="26"/>
        <v>64.852239100000006</v>
      </c>
      <c r="AA160" s="208">
        <f t="shared" si="20"/>
        <v>0.90521487817028612</v>
      </c>
      <c r="AB160" s="209">
        <f t="shared" si="27"/>
        <v>174.92278760857099</v>
      </c>
      <c r="AC160" s="207">
        <f t="shared" si="28"/>
        <v>66.785051799999991</v>
      </c>
      <c r="AD160" s="210">
        <f t="shared" si="29"/>
        <v>0.91903253037976096</v>
      </c>
      <c r="AE160" s="211">
        <f t="shared" si="30"/>
        <v>162.51199362763842</v>
      </c>
      <c r="AF160" s="211">
        <f t="shared" si="37"/>
        <v>-135</v>
      </c>
      <c r="AG160" s="212">
        <f t="shared" si="31"/>
        <v>337.4347812362094</v>
      </c>
      <c r="AH160" s="212">
        <f t="shared" si="40"/>
        <v>-162.51199362763842</v>
      </c>
      <c r="AI160" s="212">
        <f t="shared" si="38"/>
        <v>162.51199362763842</v>
      </c>
      <c r="AJ160" s="213">
        <f t="shared" si="32"/>
        <v>-69.982638543199045</v>
      </c>
      <c r="AK160" s="213">
        <f t="shared" si="33"/>
        <v>-65.017361456800955</v>
      </c>
      <c r="AL160" s="193">
        <f t="shared" si="21"/>
        <v>-114.31406655326009</v>
      </c>
      <c r="AM160" s="194">
        <f t="shared" si="22"/>
        <v>-67.674231949930203</v>
      </c>
      <c r="AN160" s="195">
        <f t="shared" si="34"/>
        <v>114.31406655326009</v>
      </c>
      <c r="AO160" s="195">
        <f t="shared" si="35"/>
        <v>67.674231949930203</v>
      </c>
      <c r="BB160" s="135"/>
      <c r="BC160" s="135"/>
      <c r="BD160" s="135"/>
    </row>
    <row r="161" spans="1:57" ht="25" customHeight="1" thickBot="1" x14ac:dyDescent="0.35">
      <c r="A161" s="216"/>
      <c r="B161" s="197">
        <v>12</v>
      </c>
      <c r="C161" s="198"/>
      <c r="D161" s="10">
        <v>0</v>
      </c>
      <c r="E161" s="177" t="s">
        <v>121</v>
      </c>
      <c r="F161" s="215" t="str">
        <f t="shared" si="11"/>
        <v>use the ground stack hole</v>
      </c>
      <c r="G161" s="201">
        <f t="shared" si="23"/>
        <v>0</v>
      </c>
      <c r="H161" s="202">
        <v>176.8294247</v>
      </c>
      <c r="I161" s="203">
        <v>66.429896499999998</v>
      </c>
      <c r="J161" s="51">
        <f t="shared" si="24"/>
        <v>66.429896499999998</v>
      </c>
      <c r="K161" s="51">
        <f t="shared" si="12"/>
        <v>33.214948249999999</v>
      </c>
      <c r="L161" s="51">
        <f t="shared" si="13"/>
        <v>0.54778151346749804</v>
      </c>
      <c r="M161" s="51">
        <f t="shared" si="14"/>
        <v>96.863889887752975</v>
      </c>
      <c r="N161" s="51">
        <f t="shared" si="15"/>
        <v>193.72777977550595</v>
      </c>
      <c r="O161" s="51">
        <f>+C150+D151+D152+D153+D154+D155+D156+D157+D158+D159+D160+(D161/2)</f>
        <v>10</v>
      </c>
      <c r="P161" s="51">
        <f t="shared" si="16"/>
        <v>0.17364817766693016</v>
      </c>
      <c r="Q161" s="51">
        <f t="shared" si="17"/>
        <v>33.640475921476977</v>
      </c>
      <c r="R161" s="51">
        <f t="shared" si="25"/>
        <v>498.91675280682068</v>
      </c>
      <c r="S161" s="51">
        <f t="shared" si="36"/>
        <v>532.55722872829767</v>
      </c>
      <c r="T161" s="204">
        <f t="shared" si="18"/>
        <v>532.55722872829767</v>
      </c>
      <c r="V161" s="205">
        <f t="shared" si="19"/>
        <v>0</v>
      </c>
      <c r="W161" s="178"/>
      <c r="X161" s="205">
        <f t="shared" si="39"/>
        <v>0</v>
      </c>
      <c r="Y161" s="206">
        <f>SUM(D151:D161)+$C$150</f>
        <v>10</v>
      </c>
      <c r="Z161" s="207">
        <f t="shared" si="26"/>
        <v>64.852239100000006</v>
      </c>
      <c r="AA161" s="208">
        <f t="shared" si="20"/>
        <v>0.90521487817028612</v>
      </c>
      <c r="AB161" s="209">
        <f t="shared" si="27"/>
        <v>174.92278760857099</v>
      </c>
      <c r="AC161" s="207">
        <f t="shared" si="28"/>
        <v>66.785051799999991</v>
      </c>
      <c r="AD161" s="210">
        <f t="shared" si="29"/>
        <v>0.91903253037976096</v>
      </c>
      <c r="AE161" s="211">
        <f t="shared" si="30"/>
        <v>162.51199362763842</v>
      </c>
      <c r="AF161" s="211">
        <f t="shared" si="37"/>
        <v>-150</v>
      </c>
      <c r="AG161" s="212">
        <f t="shared" si="31"/>
        <v>337.4347812362094</v>
      </c>
      <c r="AH161" s="212">
        <f t="shared" si="40"/>
        <v>-162.51199362763842</v>
      </c>
      <c r="AI161" s="212">
        <f t="shared" si="38"/>
        <v>162.51199362763842</v>
      </c>
      <c r="AJ161" s="213">
        <f t="shared" si="32"/>
        <v>-77.758487270221153</v>
      </c>
      <c r="AK161" s="213">
        <f t="shared" si="33"/>
        <v>-72.241512729778847</v>
      </c>
      <c r="AL161" s="193">
        <f t="shared" si="21"/>
        <v>-102.88265989793409</v>
      </c>
      <c r="AM161" s="194">
        <f t="shared" si="22"/>
        <v>-60.906808754937181</v>
      </c>
      <c r="AN161" s="195">
        <f t="shared" si="34"/>
        <v>102.88265989793409</v>
      </c>
      <c r="AO161" s="195">
        <f t="shared" si="35"/>
        <v>60.906808754937181</v>
      </c>
      <c r="BB161" s="135"/>
      <c r="BC161" s="135"/>
      <c r="BD161" s="135"/>
    </row>
    <row r="162" spans="1:57" ht="25" customHeight="1" thickBot="1" x14ac:dyDescent="0.35">
      <c r="B162" s="197">
        <v>13</v>
      </c>
      <c r="C162" s="198"/>
      <c r="D162" s="10">
        <v>0</v>
      </c>
      <c r="E162" s="177" t="s">
        <v>121</v>
      </c>
      <c r="F162" s="215" t="str">
        <f t="shared" si="11"/>
        <v>use the ground stack hole</v>
      </c>
      <c r="G162" s="201">
        <f t="shared" si="23"/>
        <v>0</v>
      </c>
      <c r="H162" s="202">
        <v>176.8294247</v>
      </c>
      <c r="I162" s="203">
        <v>66.429896499999998</v>
      </c>
      <c r="J162" s="51">
        <f t="shared" si="24"/>
        <v>66.429896499999998</v>
      </c>
      <c r="K162" s="51">
        <f t="shared" si="12"/>
        <v>33.214948249999999</v>
      </c>
      <c r="L162" s="51">
        <f t="shared" si="13"/>
        <v>0.54778151346749804</v>
      </c>
      <c r="M162" s="51">
        <f t="shared" si="14"/>
        <v>96.863889887752975</v>
      </c>
      <c r="N162" s="51">
        <f t="shared" si="15"/>
        <v>193.72777977550595</v>
      </c>
      <c r="O162" s="51">
        <f>+C150+D151+D152+D153+D154+D155+D156+D157+D158+D159+D160+D161+(D162/2)</f>
        <v>10</v>
      </c>
      <c r="P162" s="51">
        <f t="shared" si="16"/>
        <v>0.17364817766693016</v>
      </c>
      <c r="Q162" s="51">
        <f t="shared" si="17"/>
        <v>33.640475921476977</v>
      </c>
      <c r="R162" s="51">
        <f t="shared" si="25"/>
        <v>532.55722872829767</v>
      </c>
      <c r="S162" s="51">
        <f t="shared" si="36"/>
        <v>566.19770464977466</v>
      </c>
      <c r="T162" s="204">
        <f t="shared" si="18"/>
        <v>566.19770464977466</v>
      </c>
      <c r="V162" s="205">
        <f t="shared" si="19"/>
        <v>0</v>
      </c>
      <c r="W162" s="178"/>
      <c r="X162" s="205">
        <f t="shared" si="39"/>
        <v>0</v>
      </c>
      <c r="Y162" s="206">
        <f>SUM(D151:D162)+$C$150</f>
        <v>10</v>
      </c>
      <c r="Z162" s="207">
        <f t="shared" si="26"/>
        <v>64.852239100000006</v>
      </c>
      <c r="AA162" s="208">
        <f t="shared" si="20"/>
        <v>0.90521487817028612</v>
      </c>
      <c r="AB162" s="209">
        <f t="shared" si="27"/>
        <v>174.92278760857099</v>
      </c>
      <c r="AC162" s="207">
        <f t="shared" si="28"/>
        <v>66.785051799999991</v>
      </c>
      <c r="AD162" s="210">
        <f t="shared" si="29"/>
        <v>0.91903253037976096</v>
      </c>
      <c r="AE162" s="211">
        <f t="shared" si="30"/>
        <v>162.51199362763842</v>
      </c>
      <c r="AF162" s="211">
        <f t="shared" si="37"/>
        <v>-165</v>
      </c>
      <c r="AG162" s="212">
        <f t="shared" si="31"/>
        <v>337.4347812362094</v>
      </c>
      <c r="AH162" s="212">
        <f t="shared" si="40"/>
        <v>-162.51199362763842</v>
      </c>
      <c r="AI162" s="212">
        <f t="shared" si="38"/>
        <v>162.51199362763842</v>
      </c>
      <c r="AJ162" s="213">
        <f t="shared" si="32"/>
        <v>-85.534335997243275</v>
      </c>
      <c r="AK162" s="213">
        <f t="shared" si="33"/>
        <v>-79.465664002756725</v>
      </c>
      <c r="AL162" s="193">
        <f t="shared" si="21"/>
        <v>-93.529690816303713</v>
      </c>
      <c r="AM162" s="194">
        <f t="shared" si="22"/>
        <v>-55.369826140851984</v>
      </c>
      <c r="AN162" s="195">
        <f t="shared" si="34"/>
        <v>93.529690816303713</v>
      </c>
      <c r="AO162" s="195">
        <f t="shared" si="35"/>
        <v>55.369826140851984</v>
      </c>
      <c r="BB162" s="135"/>
      <c r="BC162" s="135"/>
      <c r="BD162" s="135"/>
    </row>
    <row r="163" spans="1:57" ht="25" customHeight="1" thickBot="1" x14ac:dyDescent="0.35">
      <c r="B163" s="197">
        <v>14</v>
      </c>
      <c r="C163" s="198"/>
      <c r="D163" s="10">
        <v>0</v>
      </c>
      <c r="E163" s="177" t="s">
        <v>121</v>
      </c>
      <c r="F163" s="215" t="str">
        <f t="shared" si="11"/>
        <v>use the ground stack hole</v>
      </c>
      <c r="G163" s="201">
        <f t="shared" si="23"/>
        <v>0</v>
      </c>
      <c r="H163" s="202">
        <v>176.8294247</v>
      </c>
      <c r="I163" s="203">
        <v>66.429896499999998</v>
      </c>
      <c r="J163" s="51">
        <f t="shared" si="24"/>
        <v>66.429896499999998</v>
      </c>
      <c r="K163" s="51">
        <f t="shared" si="12"/>
        <v>33.214948249999999</v>
      </c>
      <c r="L163" s="51">
        <f t="shared" si="13"/>
        <v>0.54778151346749804</v>
      </c>
      <c r="M163" s="51">
        <f t="shared" si="14"/>
        <v>96.863889887752975</v>
      </c>
      <c r="N163" s="51">
        <f t="shared" si="15"/>
        <v>193.72777977550595</v>
      </c>
      <c r="O163" s="51">
        <f>+C150+D151+D152+D153+D154+D155+D156+D157+D158+D159+D160+D161+D162+(D163/2)</f>
        <v>10</v>
      </c>
      <c r="P163" s="51">
        <f t="shared" si="16"/>
        <v>0.17364817766693016</v>
      </c>
      <c r="Q163" s="51">
        <f t="shared" si="17"/>
        <v>33.640475921476977</v>
      </c>
      <c r="R163" s="51">
        <f t="shared" si="25"/>
        <v>566.19770464977466</v>
      </c>
      <c r="S163" s="51">
        <f t="shared" si="36"/>
        <v>599.83818057125166</v>
      </c>
      <c r="T163" s="204">
        <f t="shared" si="18"/>
        <v>599.83818057125166</v>
      </c>
      <c r="V163" s="205">
        <f t="shared" si="19"/>
        <v>0</v>
      </c>
      <c r="W163" s="178"/>
      <c r="X163" s="205">
        <f t="shared" si="39"/>
        <v>0</v>
      </c>
      <c r="Y163" s="206">
        <f>SUM(D151:D163)+$C$150</f>
        <v>10</v>
      </c>
      <c r="Z163" s="207">
        <f t="shared" si="26"/>
        <v>64.852239100000006</v>
      </c>
      <c r="AA163" s="208">
        <f t="shared" si="20"/>
        <v>0.90521487817028612</v>
      </c>
      <c r="AB163" s="209">
        <f t="shared" si="27"/>
        <v>174.92278760857099</v>
      </c>
      <c r="AC163" s="207">
        <f t="shared" si="28"/>
        <v>66.785051799999991</v>
      </c>
      <c r="AD163" s="210">
        <f t="shared" si="29"/>
        <v>0.91903253037976096</v>
      </c>
      <c r="AE163" s="211">
        <f t="shared" si="30"/>
        <v>162.51199362763842</v>
      </c>
      <c r="AF163" s="211">
        <f t="shared" si="37"/>
        <v>-180</v>
      </c>
      <c r="AG163" s="212">
        <f t="shared" si="31"/>
        <v>337.4347812362094</v>
      </c>
      <c r="AH163" s="212">
        <f t="shared" si="40"/>
        <v>-162.51199362763842</v>
      </c>
      <c r="AI163" s="212">
        <f t="shared" si="38"/>
        <v>162.51199362763842</v>
      </c>
      <c r="AJ163" s="213">
        <f t="shared" si="32"/>
        <v>-93.310184724265383</v>
      </c>
      <c r="AK163" s="213">
        <f t="shared" si="33"/>
        <v>-86.689815275734617</v>
      </c>
      <c r="AL163" s="193">
        <f t="shared" si="21"/>
        <v>-85.735549914945068</v>
      </c>
      <c r="AM163" s="194">
        <f t="shared" si="22"/>
        <v>-50.755673962447652</v>
      </c>
      <c r="AN163" s="195">
        <f t="shared" si="34"/>
        <v>85.735549914945068</v>
      </c>
      <c r="AO163" s="195">
        <f t="shared" si="35"/>
        <v>50.755673962447652</v>
      </c>
      <c r="BB163" s="135"/>
      <c r="BC163" s="135"/>
      <c r="BD163" s="135"/>
    </row>
    <row r="164" spans="1:57" ht="25" customHeight="1" thickBot="1" x14ac:dyDescent="0.35">
      <c r="B164" s="197">
        <v>15</v>
      </c>
      <c r="C164" s="198"/>
      <c r="D164" s="10">
        <v>0</v>
      </c>
      <c r="E164" s="177" t="s">
        <v>121</v>
      </c>
      <c r="F164" s="215" t="str">
        <f t="shared" si="11"/>
        <v>use the ground stack hole</v>
      </c>
      <c r="G164" s="201">
        <f t="shared" si="23"/>
        <v>0</v>
      </c>
      <c r="H164" s="202">
        <v>176.8294247</v>
      </c>
      <c r="I164" s="203">
        <v>66.429896499999998</v>
      </c>
      <c r="J164" s="51">
        <f t="shared" si="24"/>
        <v>66.429896499999998</v>
      </c>
      <c r="K164" s="51">
        <f t="shared" si="12"/>
        <v>33.214948249999999</v>
      </c>
      <c r="L164" s="51">
        <f t="shared" si="13"/>
        <v>0.54778151346749804</v>
      </c>
      <c r="M164" s="51">
        <f t="shared" si="14"/>
        <v>96.863889887752975</v>
      </c>
      <c r="N164" s="51">
        <f t="shared" si="15"/>
        <v>193.72777977550595</v>
      </c>
      <c r="O164" s="51">
        <f>+C150+D151+D152+D153+D154+D155+D156+D157+D158+D159+D160+D161+D162+D163+(D164/2)</f>
        <v>10</v>
      </c>
      <c r="P164" s="51">
        <f t="shared" si="16"/>
        <v>0.17364817766693016</v>
      </c>
      <c r="Q164" s="51">
        <f t="shared" si="17"/>
        <v>33.640475921476977</v>
      </c>
      <c r="R164" s="51">
        <f t="shared" si="25"/>
        <v>599.83818057125166</v>
      </c>
      <c r="S164" s="51">
        <f t="shared" si="36"/>
        <v>633.47865649272865</v>
      </c>
      <c r="T164" s="204">
        <f t="shared" si="18"/>
        <v>633.47865649272865</v>
      </c>
      <c r="V164" s="205">
        <f t="shared" si="19"/>
        <v>0</v>
      </c>
      <c r="W164" s="178"/>
      <c r="X164" s="205">
        <f t="shared" si="39"/>
        <v>0</v>
      </c>
      <c r="Y164" s="206">
        <f>SUM(D151:D164)+$C$150</f>
        <v>10</v>
      </c>
      <c r="Z164" s="207">
        <f t="shared" si="26"/>
        <v>64.852239100000006</v>
      </c>
      <c r="AA164" s="208">
        <f t="shared" si="20"/>
        <v>0.90521487817028612</v>
      </c>
      <c r="AB164" s="209">
        <f t="shared" si="27"/>
        <v>174.92278760857099</v>
      </c>
      <c r="AC164" s="207">
        <f t="shared" si="28"/>
        <v>66.785051799999991</v>
      </c>
      <c r="AD164" s="210">
        <f t="shared" si="29"/>
        <v>0.91903253037976096</v>
      </c>
      <c r="AE164" s="211">
        <f t="shared" si="30"/>
        <v>162.51199362763842</v>
      </c>
      <c r="AF164" s="211">
        <f t="shared" si="37"/>
        <v>-195</v>
      </c>
      <c r="AG164" s="212">
        <f t="shared" si="31"/>
        <v>337.4347812362094</v>
      </c>
      <c r="AH164" s="212">
        <f t="shared" si="40"/>
        <v>-162.51199362763842</v>
      </c>
      <c r="AI164" s="212">
        <f t="shared" si="38"/>
        <v>162.51199362763842</v>
      </c>
      <c r="AJ164" s="213">
        <f t="shared" si="32"/>
        <v>-101.08603345128751</v>
      </c>
      <c r="AK164" s="213">
        <f t="shared" si="33"/>
        <v>-93.913966548712494</v>
      </c>
      <c r="AL164" s="193">
        <f t="shared" si="21"/>
        <v>-79.14050761379545</v>
      </c>
      <c r="AM164" s="194">
        <f t="shared" si="22"/>
        <v>-46.851391349951683</v>
      </c>
      <c r="AN164" s="195">
        <f t="shared" si="34"/>
        <v>79.14050761379545</v>
      </c>
      <c r="AO164" s="195">
        <f t="shared" si="35"/>
        <v>46.851391349951683</v>
      </c>
      <c r="BB164" s="135"/>
      <c r="BC164" s="135"/>
      <c r="BD164" s="135"/>
    </row>
    <row r="165" spans="1:57" ht="25" customHeight="1" thickBot="1" x14ac:dyDescent="0.35">
      <c r="B165" s="197">
        <v>16</v>
      </c>
      <c r="C165" s="198"/>
      <c r="D165" s="10">
        <v>0</v>
      </c>
      <c r="E165" s="177" t="s">
        <v>121</v>
      </c>
      <c r="F165" s="215" t="str">
        <f t="shared" si="11"/>
        <v>use the ground stack hole</v>
      </c>
      <c r="G165" s="201">
        <f t="shared" si="23"/>
        <v>0</v>
      </c>
      <c r="H165" s="202">
        <v>176.8294247</v>
      </c>
      <c r="I165" s="203">
        <v>66.429896499999998</v>
      </c>
      <c r="J165" s="51">
        <f t="shared" si="24"/>
        <v>66.429896499999998</v>
      </c>
      <c r="K165" s="51">
        <f t="shared" si="12"/>
        <v>33.214948249999999</v>
      </c>
      <c r="L165" s="51">
        <f t="shared" si="13"/>
        <v>0.54778151346749804</v>
      </c>
      <c r="M165" s="51">
        <f t="shared" si="14"/>
        <v>96.863889887752975</v>
      </c>
      <c r="N165" s="51">
        <f t="shared" si="15"/>
        <v>193.72777977550595</v>
      </c>
      <c r="O165" s="51">
        <f>+C150+D151+D152+D153+D154+D155+D156+D157+D158+D159+D160+D161+D162+D163+D164+(D165/2)</f>
        <v>10</v>
      </c>
      <c r="P165" s="51">
        <f t="shared" si="16"/>
        <v>0.17364817766693016</v>
      </c>
      <c r="Q165" s="51">
        <f t="shared" si="17"/>
        <v>33.640475921476977</v>
      </c>
      <c r="R165" s="51">
        <f t="shared" si="25"/>
        <v>633.47865649272865</v>
      </c>
      <c r="S165" s="51">
        <f t="shared" si="36"/>
        <v>667.11913241420564</v>
      </c>
      <c r="T165" s="204">
        <f t="shared" si="18"/>
        <v>667.11913241420564</v>
      </c>
      <c r="V165" s="205">
        <f t="shared" si="19"/>
        <v>0</v>
      </c>
      <c r="W165" s="178"/>
      <c r="X165" s="205">
        <f t="shared" si="39"/>
        <v>0</v>
      </c>
      <c r="Y165" s="206">
        <f>SUM(D151:D165)+$C$150</f>
        <v>10</v>
      </c>
      <c r="Z165" s="207">
        <f t="shared" si="26"/>
        <v>64.852239100000006</v>
      </c>
      <c r="AA165" s="208">
        <f t="shared" si="20"/>
        <v>0.90521487817028612</v>
      </c>
      <c r="AB165" s="209">
        <f t="shared" si="27"/>
        <v>174.92278760857099</v>
      </c>
      <c r="AC165" s="207">
        <f t="shared" si="28"/>
        <v>66.785051799999991</v>
      </c>
      <c r="AD165" s="210">
        <f t="shared" si="29"/>
        <v>0.91903253037976096</v>
      </c>
      <c r="AE165" s="211">
        <f t="shared" si="30"/>
        <v>162.51199362763842</v>
      </c>
      <c r="AF165" s="211">
        <f t="shared" si="37"/>
        <v>-210</v>
      </c>
      <c r="AG165" s="212">
        <f t="shared" si="31"/>
        <v>337.4347812362094</v>
      </c>
      <c r="AH165" s="212">
        <f t="shared" si="40"/>
        <v>-162.51199362763842</v>
      </c>
      <c r="AI165" s="212">
        <f t="shared" si="38"/>
        <v>162.51199362763842</v>
      </c>
      <c r="AJ165" s="213">
        <f t="shared" si="32"/>
        <v>-108.86188217830961</v>
      </c>
      <c r="AK165" s="213">
        <f t="shared" si="33"/>
        <v>-101.13811782169039</v>
      </c>
      <c r="AL165" s="193">
        <f t="shared" si="21"/>
        <v>-73.487614212810058</v>
      </c>
      <c r="AM165" s="194">
        <f t="shared" si="22"/>
        <v>-43.504863396383698</v>
      </c>
      <c r="AN165" s="195">
        <f t="shared" si="34"/>
        <v>73.487614212810058</v>
      </c>
      <c r="AO165" s="195">
        <f t="shared" si="35"/>
        <v>43.504863396383698</v>
      </c>
      <c r="BB165" s="135"/>
      <c r="BC165" s="135"/>
      <c r="BD165" s="135"/>
    </row>
    <row r="166" spans="1:57" ht="25" customHeight="1" thickBot="1" x14ac:dyDescent="0.35">
      <c r="B166" s="197">
        <v>17</v>
      </c>
      <c r="C166" s="198"/>
      <c r="D166" s="10">
        <v>0</v>
      </c>
      <c r="E166" s="177" t="s">
        <v>121</v>
      </c>
      <c r="F166" s="215" t="str">
        <f t="shared" si="11"/>
        <v>use the ground stack hole</v>
      </c>
      <c r="G166" s="201">
        <f t="shared" si="23"/>
        <v>0</v>
      </c>
      <c r="H166" s="202">
        <v>176.8294247</v>
      </c>
      <c r="I166" s="203">
        <v>66.429896499999998</v>
      </c>
      <c r="J166" s="51">
        <f t="shared" si="24"/>
        <v>66.429896499999998</v>
      </c>
      <c r="K166" s="51">
        <f t="shared" si="12"/>
        <v>33.214948249999999</v>
      </c>
      <c r="L166" s="51">
        <f t="shared" si="13"/>
        <v>0.54778151346749804</v>
      </c>
      <c r="M166" s="51">
        <f t="shared" si="14"/>
        <v>96.863889887752975</v>
      </c>
      <c r="N166" s="51">
        <f t="shared" si="15"/>
        <v>193.72777977550595</v>
      </c>
      <c r="O166" s="51">
        <f>+C150+D151+D152+D153+D154+D155+D156+D157+D158+D159+D160+D161+D162+D163+D164+D165+(D166/2)</f>
        <v>10</v>
      </c>
      <c r="P166" s="51">
        <f t="shared" si="16"/>
        <v>0.17364817766693016</v>
      </c>
      <c r="Q166" s="51">
        <f t="shared" si="17"/>
        <v>33.640475921476977</v>
      </c>
      <c r="R166" s="51">
        <f t="shared" si="25"/>
        <v>667.11913241420564</v>
      </c>
      <c r="S166" s="51">
        <f t="shared" si="36"/>
        <v>700.75960833568263</v>
      </c>
      <c r="T166" s="204">
        <f t="shared" si="18"/>
        <v>700.75960833568263</v>
      </c>
      <c r="V166" s="205">
        <f t="shared" si="19"/>
        <v>0</v>
      </c>
      <c r="W166" s="178"/>
      <c r="X166" s="205">
        <f t="shared" si="39"/>
        <v>0</v>
      </c>
      <c r="Y166" s="206">
        <f>SUM(D151:D166)+$C$150</f>
        <v>10</v>
      </c>
      <c r="Z166" s="207">
        <f t="shared" si="26"/>
        <v>64.852239100000006</v>
      </c>
      <c r="AA166" s="208">
        <f t="shared" si="20"/>
        <v>0.90521487817028612</v>
      </c>
      <c r="AB166" s="209">
        <f t="shared" si="27"/>
        <v>174.92278760857099</v>
      </c>
      <c r="AC166" s="207">
        <f t="shared" si="28"/>
        <v>66.785051799999991</v>
      </c>
      <c r="AD166" s="210">
        <f t="shared" si="29"/>
        <v>0.91903253037976096</v>
      </c>
      <c r="AE166" s="211">
        <f t="shared" si="30"/>
        <v>162.51199362763842</v>
      </c>
      <c r="AF166" s="211">
        <f t="shared" si="37"/>
        <v>-225</v>
      </c>
      <c r="AG166" s="212">
        <f t="shared" si="31"/>
        <v>337.4347812362094</v>
      </c>
      <c r="AH166" s="212">
        <f t="shared" si="40"/>
        <v>-162.51199362763842</v>
      </c>
      <c r="AI166" s="212">
        <f t="shared" si="38"/>
        <v>162.51199362763842</v>
      </c>
      <c r="AJ166" s="213">
        <f t="shared" si="32"/>
        <v>-116.63773090533174</v>
      </c>
      <c r="AK166" s="213">
        <f t="shared" si="33"/>
        <v>-108.36226909466826</v>
      </c>
      <c r="AL166" s="193">
        <f t="shared" si="21"/>
        <v>-68.58843993195606</v>
      </c>
      <c r="AM166" s="194">
        <f t="shared" si="22"/>
        <v>-40.604539169958123</v>
      </c>
      <c r="AN166" s="195">
        <f t="shared" si="34"/>
        <v>68.58843993195606</v>
      </c>
      <c r="AO166" s="195">
        <f t="shared" si="35"/>
        <v>40.604539169958123</v>
      </c>
      <c r="BB166" s="135"/>
      <c r="BC166" s="135"/>
      <c r="BD166" s="135"/>
    </row>
    <row r="167" spans="1:57" ht="25" customHeight="1" thickBot="1" x14ac:dyDescent="0.35">
      <c r="B167" s="197">
        <v>18</v>
      </c>
      <c r="C167" s="198"/>
      <c r="D167" s="10">
        <v>0</v>
      </c>
      <c r="E167" s="177" t="s">
        <v>121</v>
      </c>
      <c r="F167" s="215" t="str">
        <f t="shared" si="11"/>
        <v>use the ground stack hole</v>
      </c>
      <c r="G167" s="201">
        <f t="shared" si="23"/>
        <v>0</v>
      </c>
      <c r="H167" s="202">
        <v>176.8294247</v>
      </c>
      <c r="I167" s="203">
        <v>66.429896499999998</v>
      </c>
      <c r="J167" s="51">
        <f t="shared" si="24"/>
        <v>66.429896499999998</v>
      </c>
      <c r="K167" s="51">
        <f t="shared" si="12"/>
        <v>33.214948249999999</v>
      </c>
      <c r="L167" s="51">
        <f t="shared" si="13"/>
        <v>0.54778151346749804</v>
      </c>
      <c r="M167" s="51">
        <f t="shared" si="14"/>
        <v>96.863889887752975</v>
      </c>
      <c r="N167" s="51">
        <f t="shared" si="15"/>
        <v>193.72777977550595</v>
      </c>
      <c r="O167" s="51">
        <f>+C150+D151+D152+D153+D154+D155+D156+D157+D158+D159+D160+D161+D162+D163+D164+D165+D166+(D167/2)</f>
        <v>10</v>
      </c>
      <c r="P167" s="51">
        <f t="shared" si="16"/>
        <v>0.17364817766693016</v>
      </c>
      <c r="Q167" s="51">
        <f t="shared" si="17"/>
        <v>33.640475921476977</v>
      </c>
      <c r="R167" s="51">
        <f t="shared" si="25"/>
        <v>700.75960833568263</v>
      </c>
      <c r="S167" s="51">
        <f t="shared" si="36"/>
        <v>734.40008425715962</v>
      </c>
      <c r="T167" s="204">
        <f t="shared" si="18"/>
        <v>734.40008425715962</v>
      </c>
      <c r="V167" s="205">
        <f t="shared" si="19"/>
        <v>0</v>
      </c>
      <c r="W167" s="178"/>
      <c r="X167" s="205">
        <f t="shared" si="39"/>
        <v>0</v>
      </c>
      <c r="Y167" s="206">
        <f>SUM(D151:D167)+$C$150</f>
        <v>10</v>
      </c>
      <c r="Z167" s="207">
        <f t="shared" si="26"/>
        <v>64.852239100000006</v>
      </c>
      <c r="AA167" s="208">
        <f t="shared" si="20"/>
        <v>0.90521487817028612</v>
      </c>
      <c r="AB167" s="209">
        <f t="shared" si="27"/>
        <v>174.92278760857099</v>
      </c>
      <c r="AC167" s="207">
        <f t="shared" si="28"/>
        <v>66.785051799999991</v>
      </c>
      <c r="AD167" s="210">
        <f t="shared" si="29"/>
        <v>0.91903253037976096</v>
      </c>
      <c r="AE167" s="211">
        <f t="shared" si="30"/>
        <v>162.51199362763842</v>
      </c>
      <c r="AF167" s="211">
        <f t="shared" si="37"/>
        <v>-240</v>
      </c>
      <c r="AG167" s="212">
        <f t="shared" si="31"/>
        <v>337.4347812362094</v>
      </c>
      <c r="AH167" s="212">
        <f t="shared" si="40"/>
        <v>-162.51199362763842</v>
      </c>
      <c r="AI167" s="212">
        <f t="shared" si="38"/>
        <v>162.51199362763842</v>
      </c>
      <c r="AJ167" s="213">
        <f t="shared" si="32"/>
        <v>-124.41357963235384</v>
      </c>
      <c r="AK167" s="213">
        <f t="shared" si="33"/>
        <v>-115.58642036764616</v>
      </c>
      <c r="AL167" s="193">
        <f t="shared" si="21"/>
        <v>-64.301662436208801</v>
      </c>
      <c r="AM167" s="194">
        <f t="shared" si="22"/>
        <v>-38.066755471835734</v>
      </c>
      <c r="AN167" s="195">
        <f t="shared" si="34"/>
        <v>64.301662436208801</v>
      </c>
      <c r="AO167" s="195">
        <f t="shared" si="35"/>
        <v>38.066755471835734</v>
      </c>
      <c r="BB167" s="135"/>
      <c r="BC167" s="135"/>
      <c r="BD167" s="135"/>
    </row>
    <row r="168" spans="1:57" ht="25" customHeight="1" thickBot="1" x14ac:dyDescent="0.35">
      <c r="B168" s="197">
        <v>19</v>
      </c>
      <c r="C168" s="198"/>
      <c r="D168" s="10">
        <v>0</v>
      </c>
      <c r="E168" s="177" t="s">
        <v>121</v>
      </c>
      <c r="F168" s="215" t="str">
        <f t="shared" si="11"/>
        <v>use the ground stack hole</v>
      </c>
      <c r="G168" s="201">
        <f t="shared" si="23"/>
        <v>0</v>
      </c>
      <c r="H168" s="202">
        <v>176.8294247</v>
      </c>
      <c r="I168" s="203">
        <v>66.429896499999998</v>
      </c>
      <c r="J168" s="51">
        <f t="shared" si="24"/>
        <v>66.429896499999998</v>
      </c>
      <c r="K168" s="51">
        <f t="shared" si="12"/>
        <v>33.214948249999999</v>
      </c>
      <c r="L168" s="51">
        <f t="shared" si="13"/>
        <v>0.54778151346749804</v>
      </c>
      <c r="M168" s="51">
        <f t="shared" si="14"/>
        <v>96.863889887752975</v>
      </c>
      <c r="N168" s="51">
        <f t="shared" si="15"/>
        <v>193.72777977550595</v>
      </c>
      <c r="O168" s="51">
        <f>+C150+D151+D152+D153+D154+D155+D156+D157+D158+D159+D160+D161+D162+D163+D164+D165+D166+D167+(D168/2)</f>
        <v>10</v>
      </c>
      <c r="P168" s="51">
        <f t="shared" si="16"/>
        <v>0.17364817766693016</v>
      </c>
      <c r="Q168" s="51">
        <f t="shared" si="17"/>
        <v>33.640475921476977</v>
      </c>
      <c r="R168" s="51">
        <f t="shared" si="25"/>
        <v>734.40008425715962</v>
      </c>
      <c r="S168" s="51">
        <f t="shared" si="36"/>
        <v>768.04056017863661</v>
      </c>
      <c r="T168" s="204">
        <f t="shared" si="18"/>
        <v>768.04056017863661</v>
      </c>
      <c r="V168" s="205">
        <f t="shared" si="19"/>
        <v>0</v>
      </c>
      <c r="W168" s="178"/>
      <c r="X168" s="205">
        <f t="shared" si="39"/>
        <v>0</v>
      </c>
      <c r="Y168" s="206">
        <f>SUM(D151:D168)+$C$150</f>
        <v>10</v>
      </c>
      <c r="Z168" s="207">
        <f t="shared" si="26"/>
        <v>64.852239100000006</v>
      </c>
      <c r="AA168" s="208">
        <f t="shared" si="20"/>
        <v>0.90521487817028612</v>
      </c>
      <c r="AB168" s="209">
        <f t="shared" si="27"/>
        <v>174.92278760857099</v>
      </c>
      <c r="AC168" s="207">
        <f t="shared" si="28"/>
        <v>66.785051799999991</v>
      </c>
      <c r="AD168" s="210">
        <f t="shared" si="29"/>
        <v>0.91903253037976096</v>
      </c>
      <c r="AE168" s="211">
        <f t="shared" si="30"/>
        <v>162.51199362763842</v>
      </c>
      <c r="AF168" s="211">
        <f t="shared" si="37"/>
        <v>-255</v>
      </c>
      <c r="AG168" s="212">
        <f t="shared" si="31"/>
        <v>337.4347812362094</v>
      </c>
      <c r="AH168" s="212">
        <f t="shared" si="40"/>
        <v>-162.51199362763842</v>
      </c>
      <c r="AI168" s="212">
        <f t="shared" si="38"/>
        <v>162.51199362763842</v>
      </c>
      <c r="AJ168" s="213">
        <f t="shared" si="32"/>
        <v>-132.18942835937597</v>
      </c>
      <c r="AK168" s="213">
        <f t="shared" si="33"/>
        <v>-122.81057164062403</v>
      </c>
      <c r="AL168" s="193">
        <f t="shared" si="21"/>
        <v>-60.519211704667107</v>
      </c>
      <c r="AM168" s="194">
        <f t="shared" si="22"/>
        <v>-35.827534561727752</v>
      </c>
      <c r="AN168" s="195">
        <f t="shared" si="34"/>
        <v>60.519211704667107</v>
      </c>
      <c r="AO168" s="195">
        <f t="shared" si="35"/>
        <v>35.827534561727752</v>
      </c>
      <c r="BB168" s="135"/>
      <c r="BC168" s="135"/>
      <c r="BD168" s="135"/>
    </row>
    <row r="169" spans="1:57" ht="25" customHeight="1" thickBot="1" x14ac:dyDescent="0.35">
      <c r="B169" s="197">
        <v>20</v>
      </c>
      <c r="C169" s="198"/>
      <c r="D169" s="10">
        <v>0</v>
      </c>
      <c r="E169" s="177" t="s">
        <v>121</v>
      </c>
      <c r="F169" s="215" t="str">
        <f t="shared" si="11"/>
        <v>use the ground stack hole</v>
      </c>
      <c r="G169" s="201">
        <f t="shared" si="23"/>
        <v>0</v>
      </c>
      <c r="H169" s="202">
        <v>176.8294247</v>
      </c>
      <c r="I169" s="203">
        <v>66.429896499999998</v>
      </c>
      <c r="J169" s="51">
        <f t="shared" si="24"/>
        <v>66.429896499999998</v>
      </c>
      <c r="K169" s="51">
        <f t="shared" si="12"/>
        <v>33.214948249999999</v>
      </c>
      <c r="L169" s="51">
        <f t="shared" si="13"/>
        <v>0.54778151346749804</v>
      </c>
      <c r="M169" s="51">
        <f t="shared" si="14"/>
        <v>96.863889887752975</v>
      </c>
      <c r="N169" s="51">
        <f t="shared" si="15"/>
        <v>193.72777977550595</v>
      </c>
      <c r="O169" s="51">
        <f>+C150+D151+D152+D153+D154+D155+D156+D157+D158+D159+D160+D161+D162+D163+D164+D165+D166+D167+D168+(D169/2)</f>
        <v>10</v>
      </c>
      <c r="P169" s="51">
        <f t="shared" si="16"/>
        <v>0.17364817766693016</v>
      </c>
      <c r="Q169" s="51">
        <f t="shared" si="17"/>
        <v>33.640475921476977</v>
      </c>
      <c r="R169" s="51">
        <f t="shared" si="25"/>
        <v>768.04056017863661</v>
      </c>
      <c r="S169" s="51">
        <f t="shared" si="36"/>
        <v>801.6810361001136</v>
      </c>
      <c r="T169" s="204">
        <f t="shared" si="18"/>
        <v>801.6810361001136</v>
      </c>
      <c r="V169" s="205">
        <f t="shared" si="19"/>
        <v>0</v>
      </c>
      <c r="W169" s="178"/>
      <c r="X169" s="205">
        <f t="shared" si="39"/>
        <v>0</v>
      </c>
      <c r="Y169" s="206">
        <f>SUM(D151:D169)+$C$150</f>
        <v>10</v>
      </c>
      <c r="Z169" s="207">
        <f t="shared" si="26"/>
        <v>64.852239100000006</v>
      </c>
      <c r="AA169" s="208">
        <f t="shared" si="20"/>
        <v>0.90521487817028612</v>
      </c>
      <c r="AB169" s="209">
        <f t="shared" si="27"/>
        <v>174.92278760857099</v>
      </c>
      <c r="AC169" s="207">
        <f t="shared" si="28"/>
        <v>66.785051799999991</v>
      </c>
      <c r="AD169" s="210">
        <f t="shared" si="29"/>
        <v>0.91903253037976096</v>
      </c>
      <c r="AE169" s="211">
        <f t="shared" si="30"/>
        <v>162.51199362763842</v>
      </c>
      <c r="AF169" s="211">
        <f t="shared" si="37"/>
        <v>-270</v>
      </c>
      <c r="AG169" s="212">
        <f t="shared" si="31"/>
        <v>337.4347812362094</v>
      </c>
      <c r="AH169" s="212">
        <f t="shared" si="40"/>
        <v>-162.51199362763842</v>
      </c>
      <c r="AI169" s="212">
        <f t="shared" si="38"/>
        <v>162.51199362763842</v>
      </c>
      <c r="AJ169" s="213">
        <f t="shared" si="32"/>
        <v>-139.96527708639809</v>
      </c>
      <c r="AK169" s="213">
        <f t="shared" si="33"/>
        <v>-130.03472291360191</v>
      </c>
      <c r="AL169" s="193">
        <f t="shared" si="21"/>
        <v>-57.157033276630045</v>
      </c>
      <c r="AM169" s="194">
        <f t="shared" si="22"/>
        <v>-33.837115974965101</v>
      </c>
      <c r="AN169" s="195">
        <f t="shared" si="34"/>
        <v>57.157033276630045</v>
      </c>
      <c r="AO169" s="195">
        <f t="shared" si="35"/>
        <v>33.837115974965101</v>
      </c>
      <c r="BB169" s="135"/>
      <c r="BC169" s="135"/>
      <c r="BD169" s="135"/>
    </row>
    <row r="170" spans="1:57" ht="25" customHeight="1" thickBot="1" x14ac:dyDescent="0.5">
      <c r="B170" s="197">
        <v>21</v>
      </c>
      <c r="C170" s="198"/>
      <c r="D170" s="10">
        <v>0</v>
      </c>
      <c r="E170" s="177" t="s">
        <v>121</v>
      </c>
      <c r="F170" s="215" t="str">
        <f t="shared" si="11"/>
        <v>use the ground stack hole</v>
      </c>
      <c r="G170" s="201">
        <f t="shared" ref="G170:G173" si="41">+D170+AP170</f>
        <v>0</v>
      </c>
      <c r="H170" s="202">
        <v>176.8294247</v>
      </c>
      <c r="I170" s="203">
        <v>66.429896499999998</v>
      </c>
      <c r="J170" s="51">
        <f t="shared" ref="J170:J173" si="42">+I170-D170</f>
        <v>66.429896499999998</v>
      </c>
      <c r="K170" s="51">
        <f t="shared" ref="K170:K173" si="43">+J170/2</f>
        <v>33.214948249999999</v>
      </c>
      <c r="L170" s="51">
        <f t="shared" ref="L170:L173" si="44">SIN(K170*3.14159265358979/180)</f>
        <v>0.54778151346749804</v>
      </c>
      <c r="M170" s="51">
        <f t="shared" ref="M170:M173" si="45">+L170*H170</f>
        <v>96.863889887752975</v>
      </c>
      <c r="N170" s="51">
        <f t="shared" ref="N170:N173" si="46">+M170*2</f>
        <v>193.72777977550595</v>
      </c>
      <c r="O170" s="51">
        <f>+C150+D151+D152+D153+D154+D155+D156+D157+D158+D159+D160+D161+D162+D163+D164+D165+D166+D167+D168+D169+(D170/2)</f>
        <v>10</v>
      </c>
      <c r="P170" s="51">
        <f t="shared" ref="P170:P173" si="47">SIN(O170*3.14159265358979/180)</f>
        <v>0.17364817766693016</v>
      </c>
      <c r="Q170" s="51">
        <f t="shared" ref="Q170:Q173" si="48">+P170*N170</f>
        <v>33.640475921476977</v>
      </c>
      <c r="R170" s="51">
        <f t="shared" ref="R170:R173" si="49">+T169</f>
        <v>801.6810361001136</v>
      </c>
      <c r="S170" s="51">
        <f t="shared" ref="S170:S173" si="50">+S169+Q170</f>
        <v>835.32151202159059</v>
      </c>
      <c r="T170" s="204">
        <f t="shared" ref="T170:T173" si="51">+S170</f>
        <v>835.32151202159059</v>
      </c>
      <c r="V170" s="205">
        <f t="shared" ref="V170:V173" si="52">IF(B170&lt;($B$147+1),T170,0)</f>
        <v>0</v>
      </c>
      <c r="W170" s="178"/>
      <c r="X170" s="205">
        <f t="shared" ref="X170:X171" si="53">SUM(V170:V189)/($B$147-B169)</f>
        <v>0</v>
      </c>
      <c r="Y170" s="206">
        <f>SUM(D151:D170)+$C$150</f>
        <v>10</v>
      </c>
      <c r="Z170" s="207">
        <f t="shared" si="26"/>
        <v>64.852239100000006</v>
      </c>
      <c r="AA170" s="208">
        <f t="shared" ref="AA170:AA173" si="54">SIN(Z170*3.14159265358979/180)</f>
        <v>0.90521487817028612</v>
      </c>
      <c r="AB170" s="209">
        <f t="shared" si="27"/>
        <v>174.92278760857099</v>
      </c>
      <c r="AC170" s="207">
        <f t="shared" ref="AC170:AC173" si="55">56.7850518+Y170</f>
        <v>66.785051799999991</v>
      </c>
      <c r="AD170" s="210">
        <f t="shared" ref="AD170:AD173" si="56">SIN(AC170*3.14159265358979/180)</f>
        <v>0.91903253037976096</v>
      </c>
      <c r="AE170" s="211">
        <f t="shared" si="30"/>
        <v>162.51199362763842</v>
      </c>
      <c r="AF170" s="211">
        <f t="shared" ref="AF170:AF173" si="57">15*($B$147-B169)</f>
        <v>-285</v>
      </c>
      <c r="AG170" s="212">
        <f t="shared" ref="AG170:AG173" si="58">+AE170+AB170</f>
        <v>337.4347812362094</v>
      </c>
      <c r="AH170" s="212">
        <f t="shared" ref="AH170:AH173" si="59">+V170-AE170</f>
        <v>-162.51199362763842</v>
      </c>
      <c r="AI170" s="212">
        <f t="shared" ref="AI170:AI173" si="60">+X170-AH170</f>
        <v>162.51199362763842</v>
      </c>
      <c r="AJ170" s="213">
        <f t="shared" ref="AJ170:AJ173" si="61">+((AG170-AI170)/AG170)*AF170</f>
        <v>-147.74112581342018</v>
      </c>
      <c r="AK170" s="213">
        <f t="shared" ref="AK170:AK173" si="62">+(AI170/AG170)*AF170</f>
        <v>-137.25887418657982</v>
      </c>
      <c r="AL170" s="193">
        <f t="shared" ref="AL170:AL173" si="63">2*$C$7/AJ170</f>
        <v>-54.14876836733373</v>
      </c>
      <c r="AM170" s="194">
        <f t="shared" ref="AM170:AM173" si="64">$D$7/AK170</f>
        <v>-32.056215134177464</v>
      </c>
      <c r="AN170" s="195">
        <f t="shared" ref="AN170:AN173" si="65">ABS(AL170)</f>
        <v>54.14876836733373</v>
      </c>
      <c r="AO170" s="195">
        <f t="shared" ref="AO170:AO173" si="66">ABS(AM170)</f>
        <v>32.056215134177464</v>
      </c>
      <c r="AP170" s="669"/>
      <c r="BB170" s="135"/>
      <c r="BC170" s="135"/>
      <c r="BD170" s="135"/>
      <c r="BE170" s="610"/>
    </row>
    <row r="171" spans="1:57" ht="25" customHeight="1" thickBot="1" x14ac:dyDescent="0.5">
      <c r="B171" s="197">
        <v>22</v>
      </c>
      <c r="C171" s="198"/>
      <c r="D171" s="10">
        <v>0</v>
      </c>
      <c r="E171" s="177" t="s">
        <v>121</v>
      </c>
      <c r="F171" s="215" t="str">
        <f t="shared" si="11"/>
        <v>use the ground stack hole</v>
      </c>
      <c r="G171" s="201">
        <f t="shared" si="41"/>
        <v>0</v>
      </c>
      <c r="H171" s="202">
        <v>176.8294247</v>
      </c>
      <c r="I171" s="203">
        <v>66.429896499999998</v>
      </c>
      <c r="J171" s="51">
        <f t="shared" si="42"/>
        <v>66.429896499999998</v>
      </c>
      <c r="K171" s="51">
        <f t="shared" si="43"/>
        <v>33.214948249999999</v>
      </c>
      <c r="L171" s="51">
        <f t="shared" si="44"/>
        <v>0.54778151346749804</v>
      </c>
      <c r="M171" s="51">
        <f t="shared" si="45"/>
        <v>96.863889887752975</v>
      </c>
      <c r="N171" s="51">
        <f t="shared" si="46"/>
        <v>193.72777977550595</v>
      </c>
      <c r="O171" s="51">
        <f>+C150+D152+D151+D153+D154+D155+D156+D157+D158+D159+D160+D161+D162+D163+D164+D165+D166+D167+D168+D169+D170+(D171/2)</f>
        <v>10</v>
      </c>
      <c r="P171" s="51">
        <f t="shared" si="47"/>
        <v>0.17364817766693016</v>
      </c>
      <c r="Q171" s="51">
        <f t="shared" si="48"/>
        <v>33.640475921476977</v>
      </c>
      <c r="R171" s="51">
        <f t="shared" si="49"/>
        <v>835.32151202159059</v>
      </c>
      <c r="S171" s="51">
        <f t="shared" si="50"/>
        <v>868.96198794306758</v>
      </c>
      <c r="T171" s="204">
        <f t="shared" si="51"/>
        <v>868.96198794306758</v>
      </c>
      <c r="V171" s="205">
        <f t="shared" si="52"/>
        <v>0</v>
      </c>
      <c r="W171" s="178"/>
      <c r="X171" s="205">
        <f t="shared" si="53"/>
        <v>0</v>
      </c>
      <c r="Y171" s="206">
        <f>SUM(D151:D171)+$C$150</f>
        <v>10</v>
      </c>
      <c r="Z171" s="207">
        <f t="shared" si="26"/>
        <v>64.852239100000006</v>
      </c>
      <c r="AA171" s="208">
        <f t="shared" si="54"/>
        <v>0.90521487817028612</v>
      </c>
      <c r="AB171" s="209">
        <f t="shared" si="27"/>
        <v>174.92278760857099</v>
      </c>
      <c r="AC171" s="207">
        <f t="shared" si="55"/>
        <v>66.785051799999991</v>
      </c>
      <c r="AD171" s="210">
        <f t="shared" si="56"/>
        <v>0.91903253037976096</v>
      </c>
      <c r="AE171" s="211">
        <f t="shared" si="30"/>
        <v>162.51199362763842</v>
      </c>
      <c r="AF171" s="211">
        <f t="shared" si="57"/>
        <v>-300</v>
      </c>
      <c r="AG171" s="212">
        <f t="shared" si="58"/>
        <v>337.4347812362094</v>
      </c>
      <c r="AH171" s="212">
        <f t="shared" si="59"/>
        <v>-162.51199362763842</v>
      </c>
      <c r="AI171" s="212">
        <f t="shared" si="60"/>
        <v>162.51199362763842</v>
      </c>
      <c r="AJ171" s="213">
        <f t="shared" si="61"/>
        <v>-155.51697454044231</v>
      </c>
      <c r="AK171" s="213">
        <f t="shared" si="62"/>
        <v>-144.48302545955769</v>
      </c>
      <c r="AL171" s="193">
        <f t="shared" si="63"/>
        <v>-51.441329948967045</v>
      </c>
      <c r="AM171" s="194">
        <f t="shared" si="64"/>
        <v>-30.453404377468591</v>
      </c>
      <c r="AN171" s="195">
        <f t="shared" si="65"/>
        <v>51.441329948967045</v>
      </c>
      <c r="AO171" s="195">
        <f t="shared" si="66"/>
        <v>30.453404377468591</v>
      </c>
      <c r="AP171" s="669"/>
      <c r="BB171" s="135"/>
      <c r="BC171" s="135"/>
      <c r="BD171" s="135"/>
      <c r="BE171" s="610"/>
    </row>
    <row r="172" spans="1:57" ht="25" customHeight="1" thickBot="1" x14ac:dyDescent="0.5">
      <c r="B172" s="197">
        <v>23</v>
      </c>
      <c r="C172" s="198"/>
      <c r="D172" s="10">
        <v>0</v>
      </c>
      <c r="E172" s="177" t="s">
        <v>121</v>
      </c>
      <c r="F172" s="215" t="str">
        <f t="shared" si="11"/>
        <v>use the ground stack hole</v>
      </c>
      <c r="G172" s="201">
        <f t="shared" si="41"/>
        <v>0</v>
      </c>
      <c r="H172" s="202">
        <v>176.8294247</v>
      </c>
      <c r="I172" s="203">
        <v>66.429896499999998</v>
      </c>
      <c r="J172" s="51">
        <f t="shared" si="42"/>
        <v>66.429896499999998</v>
      </c>
      <c r="K172" s="51">
        <f t="shared" si="43"/>
        <v>33.214948249999999</v>
      </c>
      <c r="L172" s="51">
        <f t="shared" si="44"/>
        <v>0.54778151346749804</v>
      </c>
      <c r="M172" s="51">
        <f t="shared" si="45"/>
        <v>96.863889887752975</v>
      </c>
      <c r="N172" s="51">
        <f t="shared" si="46"/>
        <v>193.72777977550595</v>
      </c>
      <c r="O172" s="51">
        <f>+C150+D153+D152+D151++D154+D155+D156+D157+D158+D159+D160+D161+D162+D163+D164+D165+D166+D167+D168+D169+D170+D171+(D172/2)</f>
        <v>10</v>
      </c>
      <c r="P172" s="51">
        <f t="shared" si="47"/>
        <v>0.17364817766693016</v>
      </c>
      <c r="Q172" s="51">
        <f t="shared" si="48"/>
        <v>33.640475921476977</v>
      </c>
      <c r="R172" s="51">
        <f t="shared" si="49"/>
        <v>868.96198794306758</v>
      </c>
      <c r="S172" s="51">
        <f t="shared" si="50"/>
        <v>902.60246386454457</v>
      </c>
      <c r="T172" s="204">
        <f t="shared" si="51"/>
        <v>902.60246386454457</v>
      </c>
      <c r="V172" s="205">
        <f t="shared" si="52"/>
        <v>0</v>
      </c>
      <c r="W172" s="178"/>
      <c r="X172" s="205">
        <f>SUM(V172:V173)/($B$147-B171)</f>
        <v>0</v>
      </c>
      <c r="Y172" s="206">
        <f>SUM(D151:D172)+$C$150</f>
        <v>10</v>
      </c>
      <c r="Z172" s="207">
        <f t="shared" si="26"/>
        <v>64.852239100000006</v>
      </c>
      <c r="AA172" s="208">
        <f t="shared" si="54"/>
        <v>0.90521487817028612</v>
      </c>
      <c r="AB172" s="209">
        <f t="shared" si="27"/>
        <v>174.92278760857099</v>
      </c>
      <c r="AC172" s="207">
        <f t="shared" si="55"/>
        <v>66.785051799999991</v>
      </c>
      <c r="AD172" s="210">
        <f t="shared" si="56"/>
        <v>0.91903253037976096</v>
      </c>
      <c r="AE172" s="211">
        <f t="shared" si="30"/>
        <v>162.51199362763842</v>
      </c>
      <c r="AF172" s="211">
        <f t="shared" si="57"/>
        <v>-315</v>
      </c>
      <c r="AG172" s="212">
        <f t="shared" si="58"/>
        <v>337.4347812362094</v>
      </c>
      <c r="AH172" s="212">
        <f t="shared" si="59"/>
        <v>-162.51199362763842</v>
      </c>
      <c r="AI172" s="212">
        <f t="shared" si="60"/>
        <v>162.51199362763842</v>
      </c>
      <c r="AJ172" s="213">
        <f t="shared" si="61"/>
        <v>-163.29282326746443</v>
      </c>
      <c r="AK172" s="213">
        <f t="shared" si="62"/>
        <v>-151.70717673253557</v>
      </c>
      <c r="AL172" s="193">
        <f t="shared" si="63"/>
        <v>-48.991742808540039</v>
      </c>
      <c r="AM172" s="194">
        <f t="shared" si="64"/>
        <v>-29.0032422642558</v>
      </c>
      <c r="AN172" s="195">
        <f t="shared" si="65"/>
        <v>48.991742808540039</v>
      </c>
      <c r="AO172" s="195">
        <f t="shared" si="66"/>
        <v>29.0032422642558</v>
      </c>
      <c r="AP172" s="669"/>
      <c r="BE172" s="610"/>
    </row>
    <row r="173" spans="1:57" ht="25" customHeight="1" thickBot="1" x14ac:dyDescent="0.5">
      <c r="B173" s="197">
        <v>24</v>
      </c>
      <c r="C173" s="198"/>
      <c r="D173" s="10">
        <v>0</v>
      </c>
      <c r="E173" s="177" t="s">
        <v>121</v>
      </c>
      <c r="F173" s="215" t="str">
        <f t="shared" si="11"/>
        <v>use the ground stack hole</v>
      </c>
      <c r="G173" s="201">
        <f t="shared" si="41"/>
        <v>0</v>
      </c>
      <c r="H173" s="202">
        <v>176.8294247</v>
      </c>
      <c r="I173" s="203">
        <v>66.429896499999998</v>
      </c>
      <c r="J173" s="51">
        <f t="shared" si="42"/>
        <v>66.429896499999998</v>
      </c>
      <c r="K173" s="51">
        <f t="shared" si="43"/>
        <v>33.214948249999999</v>
      </c>
      <c r="L173" s="51">
        <f t="shared" si="44"/>
        <v>0.54778151346749804</v>
      </c>
      <c r="M173" s="51">
        <f t="shared" si="45"/>
        <v>96.863889887752975</v>
      </c>
      <c r="N173" s="51">
        <f t="shared" si="46"/>
        <v>193.72777977550595</v>
      </c>
      <c r="O173" s="51">
        <f>+C150+D154+D153+D152+D151+D155+D156+D157+D158+D159+D160+D161+D162+D163+D164+D165+D166+D167+D168+D169+D170+D171+D172+(D173/2)</f>
        <v>10</v>
      </c>
      <c r="P173" s="51">
        <f t="shared" si="47"/>
        <v>0.17364817766693016</v>
      </c>
      <c r="Q173" s="51">
        <f t="shared" si="48"/>
        <v>33.640475921476977</v>
      </c>
      <c r="R173" s="51">
        <f t="shared" si="49"/>
        <v>902.60246386454457</v>
      </c>
      <c r="S173" s="51">
        <f t="shared" si="50"/>
        <v>936.24293978602157</v>
      </c>
      <c r="T173" s="204">
        <f t="shared" si="51"/>
        <v>936.24293978602157</v>
      </c>
      <c r="V173" s="205">
        <f t="shared" si="52"/>
        <v>0</v>
      </c>
      <c r="W173" s="178"/>
      <c r="X173" s="205">
        <f>SUM(V173)/($B$147-B172)</f>
        <v>0</v>
      </c>
      <c r="Y173" s="206">
        <f>SUM(D151:D173)+$C$150</f>
        <v>10</v>
      </c>
      <c r="Z173" s="207">
        <f t="shared" si="26"/>
        <v>64.852239100000006</v>
      </c>
      <c r="AA173" s="208">
        <f t="shared" si="54"/>
        <v>0.90521487817028612</v>
      </c>
      <c r="AB173" s="209">
        <f t="shared" si="27"/>
        <v>174.92278760857099</v>
      </c>
      <c r="AC173" s="207">
        <f t="shared" si="55"/>
        <v>66.785051799999991</v>
      </c>
      <c r="AD173" s="210">
        <f t="shared" si="56"/>
        <v>0.91903253037976096</v>
      </c>
      <c r="AE173" s="211">
        <f t="shared" si="30"/>
        <v>162.51199362763842</v>
      </c>
      <c r="AF173" s="211">
        <f t="shared" si="57"/>
        <v>-330</v>
      </c>
      <c r="AG173" s="212">
        <f t="shared" si="58"/>
        <v>337.4347812362094</v>
      </c>
      <c r="AH173" s="212">
        <f t="shared" si="59"/>
        <v>-162.51199362763842</v>
      </c>
      <c r="AI173" s="212">
        <f t="shared" si="60"/>
        <v>162.51199362763842</v>
      </c>
      <c r="AJ173" s="213">
        <f t="shared" si="61"/>
        <v>-171.06867199448655</v>
      </c>
      <c r="AK173" s="213">
        <f t="shared" si="62"/>
        <v>-158.93132800551345</v>
      </c>
      <c r="AL173" s="193">
        <f t="shared" si="63"/>
        <v>-46.764845408151857</v>
      </c>
      <c r="AM173" s="194">
        <f t="shared" si="64"/>
        <v>-27.684913070425992</v>
      </c>
      <c r="AN173" s="195">
        <f t="shared" si="65"/>
        <v>46.764845408151857</v>
      </c>
      <c r="AO173" s="195">
        <f t="shared" si="66"/>
        <v>27.684913070425992</v>
      </c>
      <c r="AP173" s="669"/>
      <c r="BE173" s="610"/>
    </row>
    <row r="190" spans="57:76" x14ac:dyDescent="0.2">
      <c r="BE190" s="221"/>
      <c r="BF190" s="221"/>
      <c r="BG190" s="221"/>
      <c r="BH190" s="221"/>
      <c r="BI190" s="221"/>
      <c r="BJ190" s="221"/>
      <c r="BK190" s="999"/>
      <c r="BL190" s="999"/>
      <c r="BM190" s="999"/>
      <c r="BN190" s="77"/>
    </row>
    <row r="191" spans="57:76" x14ac:dyDescent="0.2">
      <c r="BK191" s="222"/>
      <c r="BX191" s="222"/>
    </row>
    <row r="192" spans="57:76" x14ac:dyDescent="0.2">
      <c r="BE192" s="223"/>
      <c r="BF192" s="223"/>
      <c r="BG192" s="223"/>
      <c r="BH192" s="223"/>
      <c r="BI192" s="223"/>
      <c r="BJ192" s="223"/>
      <c r="BK192" s="1000"/>
      <c r="BL192" s="1000"/>
      <c r="BW192" s="994"/>
      <c r="BX192" s="994"/>
    </row>
    <row r="209" spans="57:81" x14ac:dyDescent="0.2">
      <c r="BE209" s="77"/>
      <c r="BG209" s="77"/>
      <c r="BI209" s="77"/>
    </row>
    <row r="210" spans="57:81" x14ac:dyDescent="0.2">
      <c r="BE210" s="77"/>
      <c r="BI210" s="77"/>
    </row>
    <row r="211" spans="57:81" x14ac:dyDescent="0.2">
      <c r="BE211" s="77"/>
      <c r="BF211" s="224"/>
      <c r="BG211" s="224"/>
      <c r="BH211" s="224"/>
      <c r="BI211" s="224"/>
      <c r="BJ211" s="224"/>
      <c r="BK211" s="224"/>
      <c r="BL211" s="224"/>
      <c r="BM211" s="224"/>
      <c r="BN211" s="224"/>
      <c r="BO211" s="224"/>
      <c r="BP211" s="224"/>
      <c r="BQ211" s="224"/>
      <c r="BR211" s="224"/>
      <c r="BS211" s="224"/>
      <c r="BT211" s="224"/>
      <c r="BU211" s="224"/>
      <c r="BV211" s="224"/>
      <c r="BW211" s="224"/>
      <c r="BX211" s="224"/>
      <c r="BY211" s="224"/>
      <c r="BZ211" s="224"/>
      <c r="CA211" s="224"/>
      <c r="CB211" s="224"/>
      <c r="CC211" s="224"/>
    </row>
    <row r="212" spans="57:81" x14ac:dyDescent="0.2">
      <c r="BE212" s="77"/>
    </row>
    <row r="213" spans="57:81" x14ac:dyDescent="0.2">
      <c r="BE213" s="155"/>
      <c r="BF213" s="225"/>
      <c r="BG213" s="225"/>
      <c r="BH213" s="225"/>
      <c r="BI213" s="225"/>
      <c r="BJ213" s="225"/>
      <c r="BK213" s="225"/>
      <c r="BL213" s="225"/>
      <c r="BM213" s="225"/>
      <c r="BN213" s="225"/>
      <c r="BO213" s="225"/>
      <c r="BP213" s="225"/>
      <c r="BQ213" s="225"/>
      <c r="BR213" s="225"/>
      <c r="BS213" s="225"/>
      <c r="BT213" s="225"/>
      <c r="BU213" s="225"/>
      <c r="BV213" s="225"/>
      <c r="BW213" s="225"/>
      <c r="BX213" s="225"/>
      <c r="BY213" s="225"/>
      <c r="BZ213" s="225"/>
      <c r="CA213" s="225"/>
      <c r="CB213" s="225"/>
      <c r="CC213" s="225"/>
    </row>
    <row r="214" spans="57:81" x14ac:dyDescent="0.2">
      <c r="BE214" s="77"/>
      <c r="BF214" s="124"/>
      <c r="BG214" s="124"/>
      <c r="BH214" s="124"/>
      <c r="BI214" s="124"/>
      <c r="BJ214" s="124"/>
      <c r="BK214" s="124"/>
      <c r="BL214" s="124"/>
      <c r="BM214" s="124"/>
      <c r="BN214" s="124"/>
      <c r="BO214" s="124"/>
      <c r="BP214" s="124"/>
      <c r="BQ214" s="124"/>
      <c r="BR214" s="124"/>
      <c r="BS214" s="124"/>
      <c r="BT214" s="124"/>
      <c r="BU214" s="124"/>
      <c r="BV214" s="124"/>
      <c r="BW214" s="124"/>
      <c r="BX214" s="124"/>
      <c r="BY214" s="124"/>
      <c r="BZ214" s="124"/>
      <c r="CA214" s="124"/>
      <c r="CB214" s="124"/>
      <c r="CC214" s="124"/>
    </row>
    <row r="216" spans="57:81" x14ac:dyDescent="0.2">
      <c r="BF216" s="156"/>
      <c r="BG216" s="156"/>
      <c r="BH216" s="156"/>
      <c r="BI216" s="156"/>
      <c r="BJ216" s="156"/>
      <c r="BK216" s="156"/>
      <c r="BL216" s="77"/>
      <c r="BM216" s="77"/>
      <c r="BN216" s="77"/>
      <c r="BO216" s="77"/>
      <c r="BP216" s="77"/>
      <c r="BQ216" s="156"/>
      <c r="BR216" s="156"/>
      <c r="BS216" s="156"/>
      <c r="BT216" s="77"/>
      <c r="BU216" s="77"/>
      <c r="BV216" s="77"/>
      <c r="BW216" s="77"/>
      <c r="BX216" s="77"/>
      <c r="BY216" s="77"/>
      <c r="BZ216" s="77"/>
      <c r="CA216" s="77"/>
      <c r="CB216" s="77"/>
      <c r="CC216" s="77"/>
    </row>
    <row r="217" spans="57:81" x14ac:dyDescent="0.2">
      <c r="BF217" s="156"/>
      <c r="BG217" s="156"/>
      <c r="BH217" s="156"/>
      <c r="BI217" s="156"/>
      <c r="BJ217" s="156"/>
      <c r="BK217" s="156"/>
      <c r="BP217" s="156"/>
      <c r="BQ217" s="156"/>
      <c r="BR217" s="156"/>
      <c r="BS217" s="156"/>
      <c r="BX217" s="156"/>
      <c r="BY217" s="156"/>
      <c r="BZ217" s="156"/>
      <c r="CA217" s="156"/>
      <c r="CB217" s="156"/>
      <c r="CC217" s="156"/>
    </row>
  </sheetData>
  <sheetProtection algorithmName="SHA-512" hashValue="WoaAp2LY4LUnM0cr87bWsaF+eX2vKxfqJ4D1SkPSPqgfxsvWo92sQvloi81/T4V0vPuIfpjAkytbubj1xJlk2g==" saltValue="xhGJwdnyxNpQINtbuH85ow==" spinCount="100000" sheet="1" objects="1" scenarios="1" selectLockedCells="1"/>
  <protectedRanges>
    <protectedRange sqref="B144 B147 D150:D173" name="Range1"/>
  </protectedRanges>
  <dataConsolidate/>
  <mergeCells count="16">
    <mergeCell ref="BW192:BX192"/>
    <mergeCell ref="BF49:BG49"/>
    <mergeCell ref="AR51:AS51"/>
    <mergeCell ref="B145:B146"/>
    <mergeCell ref="BK190:BM190"/>
    <mergeCell ref="BK192:BL192"/>
    <mergeCell ref="AN147:AO147"/>
    <mergeCell ref="CI51:CJ51"/>
    <mergeCell ref="CK56:CT57"/>
    <mergeCell ref="CI57:CJ57"/>
    <mergeCell ref="CS54:CT54"/>
    <mergeCell ref="B33:E33"/>
    <mergeCell ref="BQ57:BR57"/>
    <mergeCell ref="BF51:BG51"/>
    <mergeCell ref="BF56:BP57"/>
    <mergeCell ref="BF53:BP54"/>
  </mergeCells>
  <phoneticPr fontId="2" type="noConversion"/>
  <conditionalFormatting sqref="B151:AO151">
    <cfRule type="expression" dxfId="432" priority="28">
      <formula>$B$147&lt;2</formula>
    </cfRule>
  </conditionalFormatting>
  <conditionalFormatting sqref="B152:AO152">
    <cfRule type="expression" dxfId="431" priority="71">
      <formula>$B$147&lt;3</formula>
    </cfRule>
  </conditionalFormatting>
  <conditionalFormatting sqref="B153:AO153">
    <cfRule type="expression" dxfId="430" priority="70">
      <formula>$B$147&lt;4</formula>
    </cfRule>
  </conditionalFormatting>
  <conditionalFormatting sqref="B154:AO154">
    <cfRule type="expression" dxfId="429" priority="69">
      <formula>$B$147&lt;5</formula>
    </cfRule>
  </conditionalFormatting>
  <conditionalFormatting sqref="B155:AO155">
    <cfRule type="expression" dxfId="428" priority="68">
      <formula>$B$147&lt;6</formula>
    </cfRule>
  </conditionalFormatting>
  <conditionalFormatting sqref="B156:AO156">
    <cfRule type="expression" dxfId="427" priority="67">
      <formula>$B$147&lt;7</formula>
    </cfRule>
  </conditionalFormatting>
  <conditionalFormatting sqref="B157:AO157">
    <cfRule type="expression" dxfId="426" priority="66">
      <formula>$B$147&lt;8</formula>
    </cfRule>
  </conditionalFormatting>
  <conditionalFormatting sqref="B158:AO158">
    <cfRule type="expression" dxfId="425" priority="65">
      <formula>$B$147&lt;9</formula>
    </cfRule>
  </conditionalFormatting>
  <conditionalFormatting sqref="B159:AO159">
    <cfRule type="expression" dxfId="424" priority="64">
      <formula>$B$147&lt;10</formula>
    </cfRule>
  </conditionalFormatting>
  <conditionalFormatting sqref="B160:AO160">
    <cfRule type="expression" dxfId="423" priority="63">
      <formula>$B$147&lt;11</formula>
    </cfRule>
  </conditionalFormatting>
  <conditionalFormatting sqref="B161:AO161">
    <cfRule type="expression" dxfId="422" priority="62">
      <formula>$B$147&lt;12</formula>
    </cfRule>
  </conditionalFormatting>
  <conditionalFormatting sqref="B162:AO162">
    <cfRule type="expression" dxfId="421" priority="61">
      <formula>$B$147&lt;13</formula>
    </cfRule>
  </conditionalFormatting>
  <conditionalFormatting sqref="B163:AO163">
    <cfRule type="expression" dxfId="420" priority="60">
      <formula>$B$147&lt;14</formula>
    </cfRule>
  </conditionalFormatting>
  <conditionalFormatting sqref="B164:AO164">
    <cfRule type="expression" dxfId="419" priority="59">
      <formula>$B$147&lt;15</formula>
    </cfRule>
  </conditionalFormatting>
  <conditionalFormatting sqref="B165:AO165">
    <cfRule type="expression" dxfId="418" priority="58">
      <formula>$B$147&lt;16</formula>
    </cfRule>
  </conditionalFormatting>
  <conditionalFormatting sqref="B166:AO166">
    <cfRule type="expression" dxfId="417" priority="57">
      <formula>$B$147&lt;17</formula>
    </cfRule>
  </conditionalFormatting>
  <conditionalFormatting sqref="B167:AO167">
    <cfRule type="expression" dxfId="416" priority="56">
      <formula>$B$147&lt;18</formula>
    </cfRule>
  </conditionalFormatting>
  <conditionalFormatting sqref="B168:AO168">
    <cfRule type="expression" dxfId="415" priority="55">
      <formula>$B$147&lt;19</formula>
    </cfRule>
  </conditionalFormatting>
  <conditionalFormatting sqref="B169:AO169">
    <cfRule type="expression" dxfId="414" priority="53">
      <formula>$B$147&lt;20</formula>
    </cfRule>
  </conditionalFormatting>
  <conditionalFormatting sqref="B170:AO170">
    <cfRule type="expression" dxfId="413" priority="25">
      <formula>$B$147&lt;21</formula>
    </cfRule>
  </conditionalFormatting>
  <conditionalFormatting sqref="B171:AO171">
    <cfRule type="expression" dxfId="412" priority="22">
      <formula>$B$147&lt;22</formula>
    </cfRule>
  </conditionalFormatting>
  <conditionalFormatting sqref="B172:AO172">
    <cfRule type="expression" dxfId="411" priority="19">
      <formula>$B$147&lt;23</formula>
    </cfRule>
  </conditionalFormatting>
  <conditionalFormatting sqref="B173:AO173">
    <cfRule type="expression" dxfId="410" priority="16">
      <formula>$B$147&lt;24</formula>
    </cfRule>
  </conditionalFormatting>
  <conditionalFormatting sqref="D143:D144">
    <cfRule type="cellIs" dxfId="409" priority="77" stopIfTrue="1" operator="equal">
      <formula>"change the angle of frame or of cabinets"</formula>
    </cfRule>
  </conditionalFormatting>
  <conditionalFormatting sqref="D145">
    <cfRule type="cellIs" dxfId="408" priority="76" stopIfTrue="1" operator="equal">
      <formula>"USE EXBAR-N AT THE FRONT"</formula>
    </cfRule>
  </conditionalFormatting>
  <conditionalFormatting sqref="D146">
    <cfRule type="cellIs" dxfId="407" priority="75" stopIfTrue="1" operator="equal">
      <formula>"USE EXBAR-N AT THE BACK"</formula>
    </cfRule>
  </conditionalFormatting>
  <conditionalFormatting sqref="D150:D169">
    <cfRule type="cellIs" dxfId="406" priority="74" operator="notEqual">
      <formula>0</formula>
    </cfRule>
  </conditionalFormatting>
  <conditionalFormatting sqref="D170">
    <cfRule type="cellIs" dxfId="405" priority="27" operator="notEqual">
      <formula>0</formula>
    </cfRule>
  </conditionalFormatting>
  <conditionalFormatting sqref="D171">
    <cfRule type="cellIs" dxfId="404" priority="24" operator="notEqual">
      <formula>0</formula>
    </cfRule>
  </conditionalFormatting>
  <conditionalFormatting sqref="D172">
    <cfRule type="cellIs" dxfId="403" priority="21" operator="notEqual">
      <formula>0</formula>
    </cfRule>
  </conditionalFormatting>
  <conditionalFormatting sqref="D173">
    <cfRule type="cellIs" dxfId="402" priority="18" operator="notEqual">
      <formula>0</formula>
    </cfRule>
  </conditionalFormatting>
  <conditionalFormatting sqref="AN150:AO169">
    <cfRule type="cellIs" dxfId="401" priority="73" operator="lessThan">
      <formula>10</formula>
    </cfRule>
  </conditionalFormatting>
  <conditionalFormatting sqref="AN170:AO170">
    <cfRule type="cellIs" dxfId="400" priority="26" operator="lessThan">
      <formula>10</formula>
    </cfRule>
  </conditionalFormatting>
  <conditionalFormatting sqref="AN171:AO171">
    <cfRule type="cellIs" dxfId="399" priority="23" operator="lessThan">
      <formula>10</formula>
    </cfRule>
  </conditionalFormatting>
  <conditionalFormatting sqref="AN172:AO172">
    <cfRule type="cellIs" dxfId="398" priority="20" operator="lessThan">
      <formula>10</formula>
    </cfRule>
  </conditionalFormatting>
  <conditionalFormatting sqref="AN173:AO173">
    <cfRule type="cellIs" dxfId="397" priority="17" operator="lessThan">
      <formula>10</formula>
    </cfRule>
  </conditionalFormatting>
  <conditionalFormatting sqref="BC50">
    <cfRule type="cellIs" dxfId="396" priority="51" operator="equal">
      <formula>"""OK"""</formula>
    </cfRule>
    <cfRule type="cellIs" dxfId="395" priority="52" stopIfTrue="1" operator="equal">
      <formula>"negative force at the motor"</formula>
    </cfRule>
  </conditionalFormatting>
  <conditionalFormatting sqref="BC51 BC54 BC57 BC85">
    <cfRule type="cellIs" dxfId="394" priority="15" operator="equal">
      <formula>"overload"</formula>
    </cfRule>
  </conditionalFormatting>
  <conditionalFormatting sqref="BC53">
    <cfRule type="cellIs" dxfId="393" priority="49" operator="equal">
      <formula>"""OK"""</formula>
    </cfRule>
    <cfRule type="cellIs" dxfId="392" priority="50" stopIfTrue="1" operator="equal">
      <formula>"negative force at the motor"</formula>
    </cfRule>
  </conditionalFormatting>
  <conditionalFormatting sqref="BC56">
    <cfRule type="cellIs" dxfId="391" priority="48" stopIfTrue="1" operator="equal">
      <formula>"negative force at the motor"</formula>
    </cfRule>
    <cfRule type="cellIs" dxfId="390" priority="47" operator="equal">
      <formula>"""OK"""</formula>
    </cfRule>
  </conditionalFormatting>
  <conditionalFormatting sqref="BC80">
    <cfRule type="expression" dxfId="389" priority="44">
      <formula>SUM($BQ$79:$CJ$79)=0</formula>
    </cfRule>
  </conditionalFormatting>
  <conditionalFormatting sqref="BC138">
    <cfRule type="expression" dxfId="388" priority="1">
      <formula>$B$144&lt;&gt;0</formula>
    </cfRule>
    <cfRule type="cellIs" dxfId="387" priority="2" operator="equal">
      <formula>"""OK"""</formula>
    </cfRule>
    <cfRule type="cellIs" dxfId="386" priority="3" stopIfTrue="1" operator="equal">
      <formula>"overload"</formula>
    </cfRule>
  </conditionalFormatting>
  <conditionalFormatting sqref="BC80:BD80">
    <cfRule type="expression" dxfId="385" priority="6">
      <formula>$B$144&lt;&gt;0</formula>
    </cfRule>
  </conditionalFormatting>
  <conditionalFormatting sqref="BD79">
    <cfRule type="expression" dxfId="384" priority="4">
      <formula>$B$144&lt;&gt;0</formula>
    </cfRule>
    <cfRule type="expression" dxfId="383" priority="5">
      <formula>SUM($BQ$79:$CJ$79)=0</formula>
    </cfRule>
  </conditionalFormatting>
  <conditionalFormatting sqref="BD80">
    <cfRule type="expression" dxfId="382" priority="7">
      <formula>SUM($BQ$79:$CJ$79)=0</formula>
    </cfRule>
  </conditionalFormatting>
  <conditionalFormatting sqref="BD137:BD138">
    <cfRule type="expression" dxfId="381" priority="9">
      <formula>$B$144&lt;&gt;0</formula>
    </cfRule>
  </conditionalFormatting>
  <conditionalFormatting sqref="BF137:BX137">
    <cfRule type="expression" dxfId="380" priority="30">
      <formula>$B$144=0</formula>
    </cfRule>
  </conditionalFormatting>
  <conditionalFormatting sqref="BQ79:CJ79">
    <cfRule type="expression" dxfId="379" priority="37">
      <formula>$B$144=0</formula>
    </cfRule>
    <cfRule type="cellIs" dxfId="378" priority="36" operator="equal">
      <formula>0</formula>
    </cfRule>
  </conditionalFormatting>
  <conditionalFormatting sqref="BY137:CG137">
    <cfRule type="expression" dxfId="377" priority="31">
      <formula>$B$144=0</formula>
    </cfRule>
  </conditionalFormatting>
  <conditionalFormatting sqref="CH137">
    <cfRule type="expression" dxfId="376" priority="29">
      <formula>$B$144=0</formula>
    </cfRule>
  </conditionalFormatting>
  <conditionalFormatting sqref="CI137:CT137">
    <cfRule type="expression" dxfId="375" priority="35">
      <formula>$B$144=0</formula>
    </cfRule>
  </conditionalFormatting>
  <dataValidations count="6">
    <dataValidation type="whole" allowBlank="1" showInputMessage="1" showErrorMessage="1" errorTitle="Coda Audio" error="YOU HAVE ENTERED A WRONG NUMBER OF CABINETS" promptTitle="Coda Audio" prompt="ENTER THE NUMBER OF CABINETS FROM 1 UP TO 24" sqref="B147" xr:uid="{00000000-0002-0000-0000-000000000000}">
      <formula1>1</formula1>
      <formula2>24</formula2>
    </dataValidation>
    <dataValidation type="decimal" allowBlank="1" showInputMessage="1" showErrorMessage="1" sqref="G150" xr:uid="{00000000-0002-0000-0000-000001000000}">
      <formula1>0</formula1>
      <formula2>4</formula2>
    </dataValidation>
    <dataValidation type="decimal" allowBlank="1" showInputMessage="1" showErrorMessage="1" sqref="G151:G173" xr:uid="{00000000-0002-0000-0000-000002000000}">
      <formula1>0</formula1>
      <formula2>8</formula2>
    </dataValidation>
    <dataValidation type="list" allowBlank="1" showDropDown="1" showInputMessage="1" showErrorMessage="1" sqref="D150" xr:uid="{00000000-0002-0000-0000-000003000000}">
      <formula1>"-6,-5,-4,-3,-2,-1,0,1,2,3,4,5,6"</formula1>
    </dataValidation>
    <dataValidation type="decimal" allowBlank="1" showInputMessage="1" showErrorMessage="1" sqref="B144" xr:uid="{00000000-0002-0000-0000-000004000000}">
      <formula1>-89.9</formula1>
      <formula2>89.9</formula2>
    </dataValidation>
    <dataValidation type="list" allowBlank="1" showDropDown="1" showInputMessage="1" showErrorMessage="1" sqref="D151:D173" xr:uid="{00000000-0002-0000-0000-000005000000}">
      <formula1>"0,1,2,3,4,5,6,7,8,10,12"</formula1>
    </dataValidation>
  </dataValidations>
  <pageMargins left="0.75" right="0.75" top="1" bottom="1" header="0.5" footer="0.5"/>
  <pageSetup paperSize="9" orientation="portrait" horizontalDpi="4294967293" verticalDpi="200" r:id="rId1"/>
  <headerFooter alignWithMargins="0"/>
  <ignoredErrors>
    <ignoredError sqref="BC52:BD52 BC59:BD78 BC50 BC55:BD55 BC53 BC57:BD58 BC56 BC80:BD83 BC79 BC85 BC84 BC51 BC54" unlocked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F0"/>
  </sheetPr>
  <dimension ref="A1:DO218"/>
  <sheetViews>
    <sheetView topLeftCell="A14" zoomScale="50" zoomScaleNormal="50" workbookViewId="0">
      <selection activeCell="B139" sqref="B139"/>
    </sheetView>
  </sheetViews>
  <sheetFormatPr baseColWidth="10" defaultColWidth="9.1640625" defaultRowHeight="16" x14ac:dyDescent="0.2"/>
  <cols>
    <col min="1" max="1" width="3.5" customWidth="1"/>
    <col min="2" max="2" width="37.6640625" style="15" customWidth="1"/>
    <col min="3" max="3" width="32.5" hidden="1" customWidth="1"/>
    <col min="4" max="4" width="33.33203125" customWidth="1"/>
    <col min="5" max="5" width="25" customWidth="1"/>
    <col min="6" max="6" width="31.1640625" hidden="1" customWidth="1"/>
    <col min="7" max="8" width="16.1640625" hidden="1" customWidth="1"/>
    <col min="9" max="9" width="22.6640625" hidden="1" customWidth="1"/>
    <col min="10" max="12" width="20" hidden="1" customWidth="1"/>
    <col min="13" max="13" width="15.5" hidden="1" customWidth="1"/>
    <col min="14" max="14" width="7" hidden="1" customWidth="1"/>
    <col min="15" max="15" width="18" hidden="1" customWidth="1"/>
    <col min="16" max="16" width="14.5" hidden="1" customWidth="1"/>
    <col min="17" max="17" width="20.83203125" hidden="1" customWidth="1"/>
    <col min="18" max="18" width="21.33203125" hidden="1" customWidth="1"/>
    <col min="19" max="19" width="31.33203125" hidden="1" customWidth="1"/>
    <col min="20" max="20" width="27.83203125" hidden="1" customWidth="1"/>
    <col min="21" max="21" width="30.1640625" hidden="1" customWidth="1"/>
    <col min="22" max="22" width="15.5" hidden="1" customWidth="1"/>
    <col min="23" max="23" width="21" hidden="1" customWidth="1"/>
    <col min="24" max="24" width="19.5" hidden="1" customWidth="1"/>
    <col min="25" max="25" width="14.6640625" hidden="1" customWidth="1"/>
    <col min="26" max="26" width="17.1640625" hidden="1" customWidth="1"/>
    <col min="27" max="27" width="15.5" hidden="1" customWidth="1"/>
    <col min="28" max="28" width="23.83203125" hidden="1" customWidth="1"/>
    <col min="29" max="29" width="17.1640625" hidden="1" customWidth="1"/>
    <col min="30" max="30" width="15.5" hidden="1" customWidth="1"/>
    <col min="31" max="31" width="18.83203125" hidden="1" customWidth="1"/>
    <col min="32" max="32" width="28.6640625" hidden="1" customWidth="1"/>
    <col min="33" max="33" width="15.5" hidden="1" customWidth="1"/>
    <col min="34" max="34" width="16.33203125" hidden="1" customWidth="1"/>
    <col min="35" max="35" width="15.5" hidden="1" customWidth="1"/>
    <col min="36" max="36" width="17.33203125" hidden="1" customWidth="1"/>
    <col min="37" max="39" width="16.33203125" hidden="1" customWidth="1"/>
    <col min="40" max="41" width="15.6640625" customWidth="1"/>
    <col min="42" max="46" width="10.6640625" hidden="1" customWidth="1"/>
    <col min="47" max="47" width="16" hidden="1" customWidth="1"/>
    <col min="48" max="48" width="15.5" hidden="1" customWidth="1"/>
    <col min="49" max="49" width="27.6640625" customWidth="1"/>
    <col min="50" max="50" width="38.5" style="22" customWidth="1"/>
    <col min="51" max="51" width="43.5" customWidth="1"/>
    <col min="52" max="92" width="7.1640625" customWidth="1"/>
    <col min="93" max="93" width="12.33203125" hidden="1" customWidth="1"/>
    <col min="94" max="94" width="45" hidden="1" customWidth="1"/>
    <col min="95" max="104" width="11.5" hidden="1" customWidth="1"/>
    <col min="105" max="105" width="17.6640625" hidden="1" customWidth="1"/>
    <col min="106" max="106" width="16.5" hidden="1" customWidth="1"/>
    <col min="107" max="110" width="9.1640625" hidden="1" customWidth="1"/>
    <col min="111" max="111" width="4.5" hidden="1" customWidth="1"/>
    <col min="112" max="112" width="9.1640625" hidden="1" customWidth="1"/>
    <col min="113" max="114" width="10.6640625" hidden="1" customWidth="1"/>
    <col min="115" max="115" width="16.33203125" hidden="1" customWidth="1"/>
    <col min="116" max="117" width="15.5" hidden="1" customWidth="1"/>
    <col min="118" max="118" width="8.6640625" hidden="1" customWidth="1"/>
    <col min="119" max="119" width="6" customWidth="1"/>
  </cols>
  <sheetData>
    <row r="1" spans="1:94" ht="31.5" hidden="1" customHeight="1" x14ac:dyDescent="0.25">
      <c r="A1" s="606"/>
      <c r="B1" s="607"/>
      <c r="C1" s="606"/>
      <c r="D1" s="608" t="s">
        <v>76</v>
      </c>
      <c r="E1" s="608" t="s">
        <v>77</v>
      </c>
      <c r="F1" s="608" t="s">
        <v>78</v>
      </c>
      <c r="G1" s="878" t="s">
        <v>202</v>
      </c>
      <c r="H1" s="879">
        <v>5800</v>
      </c>
      <c r="I1" s="880"/>
      <c r="J1" s="880"/>
      <c r="K1" s="880"/>
      <c r="L1" s="880"/>
      <c r="M1" s="880"/>
      <c r="N1" s="880"/>
      <c r="O1" s="881"/>
    </row>
    <row r="2" spans="1:94" ht="30" hidden="1" customHeight="1" x14ac:dyDescent="0.25">
      <c r="A2" s="606"/>
      <c r="B2" s="609" t="s">
        <v>26</v>
      </c>
      <c r="C2" s="615">
        <v>532</v>
      </c>
      <c r="D2" s="616">
        <f>+COS(($B$136*-1)*3.14159265358979/180)*C2</f>
        <v>532</v>
      </c>
      <c r="E2" s="517">
        <f>+COS(($B$136*-1)*3.14159265358979/180)*28</f>
        <v>28</v>
      </c>
      <c r="F2" s="517">
        <f>+COS((($B$136*-1)+85.383547)*3.14159265358979/180)*99.3974873</f>
        <v>8.0000221785144277</v>
      </c>
      <c r="G2" s="813" t="s">
        <v>203</v>
      </c>
      <c r="H2" s="882">
        <v>60</v>
      </c>
      <c r="I2" s="22"/>
      <c r="J2" s="22"/>
      <c r="K2" s="22"/>
      <c r="L2" s="22"/>
      <c r="M2" s="22"/>
      <c r="N2" s="22"/>
      <c r="O2" s="883"/>
    </row>
    <row r="3" spans="1:94" ht="24" hidden="1" thickBot="1" x14ac:dyDescent="0.3">
      <c r="A3" s="606"/>
      <c r="B3" s="521" t="s">
        <v>96</v>
      </c>
      <c r="C3" s="522">
        <f>+C9-8.0000223</f>
        <v>236.64438391569038</v>
      </c>
      <c r="D3" s="518">
        <f>+C9-F2</f>
        <v>236.64438403717597</v>
      </c>
      <c r="E3" s="606"/>
      <c r="F3" s="606"/>
      <c r="G3" s="813" t="s">
        <v>204</v>
      </c>
      <c r="H3" s="884">
        <v>168</v>
      </c>
      <c r="I3" s="105"/>
      <c r="J3" s="22"/>
      <c r="K3" s="22"/>
      <c r="L3" s="22"/>
      <c r="M3" s="22"/>
      <c r="N3" s="22"/>
      <c r="O3" s="883"/>
    </row>
    <row r="4" spans="1:94" ht="59" hidden="1" thickBot="1" x14ac:dyDescent="0.3">
      <c r="A4" s="606"/>
      <c r="B4" s="519" t="s">
        <v>97</v>
      </c>
      <c r="C4" s="520">
        <v>784</v>
      </c>
      <c r="D4" s="518">
        <f>+COS(($B$136*-1)*3.14159265358979/180)*C4</f>
        <v>784</v>
      </c>
      <c r="E4" s="606"/>
      <c r="F4" s="606"/>
      <c r="G4" s="885" t="s">
        <v>205</v>
      </c>
      <c r="H4" s="886">
        <v>616</v>
      </c>
      <c r="I4" s="814">
        <v>1</v>
      </c>
      <c r="J4" s="937" t="s">
        <v>168</v>
      </c>
      <c r="K4" s="938"/>
      <c r="L4" s="938"/>
      <c r="M4" s="938"/>
      <c r="N4" s="22"/>
      <c r="O4" s="883"/>
    </row>
    <row r="5" spans="1:94" ht="39" hidden="1" x14ac:dyDescent="0.25">
      <c r="A5" s="606"/>
      <c r="B5" s="519" t="s">
        <v>98</v>
      </c>
      <c r="C5" s="520">
        <f>+C9+300</f>
        <v>544.64440621569042</v>
      </c>
      <c r="D5" s="518">
        <f>+(COS(($B$136*-1)*3.14159265358979/180)*308)+$D$3</f>
        <v>544.644384037176</v>
      </c>
      <c r="E5" s="606"/>
      <c r="F5" s="606"/>
      <c r="G5" s="885" t="s">
        <v>206</v>
      </c>
      <c r="H5" s="886">
        <v>504</v>
      </c>
      <c r="I5" s="888" t="s">
        <v>210</v>
      </c>
      <c r="J5" s="816" t="s">
        <v>169</v>
      </c>
      <c r="K5" s="816" t="s">
        <v>170</v>
      </c>
      <c r="L5" s="817" t="s">
        <v>171</v>
      </c>
      <c r="M5" s="887"/>
      <c r="N5" s="22"/>
      <c r="O5" s="883"/>
    </row>
    <row r="6" spans="1:94" ht="23" hidden="1" x14ac:dyDescent="0.25">
      <c r="A6" s="606"/>
      <c r="B6" s="607"/>
      <c r="C6" s="610"/>
      <c r="D6" s="606"/>
      <c r="E6" s="606"/>
      <c r="F6" s="606"/>
      <c r="G6" s="885" t="s">
        <v>207</v>
      </c>
      <c r="H6" s="886">
        <v>448</v>
      </c>
      <c r="I6" s="22"/>
      <c r="J6" s="818">
        <f>+H9/H8*AZ16</f>
        <v>47.993243404790732</v>
      </c>
      <c r="K6" s="818">
        <f>((H8-H9)/H8)*AZ16</f>
        <v>-31.99549560319382</v>
      </c>
      <c r="L6" s="818">
        <f>+CD16</f>
        <v>36.40225219840309</v>
      </c>
      <c r="M6" s="816" t="s">
        <v>172</v>
      </c>
      <c r="N6" s="22"/>
      <c r="O6" s="883"/>
    </row>
    <row r="7" spans="1:94" ht="23" hidden="1" x14ac:dyDescent="0.25">
      <c r="A7" s="606"/>
      <c r="B7" s="617" t="s">
        <v>16</v>
      </c>
      <c r="C7" s="520">
        <f>+(B139*33)+9.4+10</f>
        <v>52.4</v>
      </c>
      <c r="D7" s="620" t="s">
        <v>102</v>
      </c>
      <c r="E7" s="606"/>
      <c r="F7" s="606"/>
      <c r="G7" s="889" t="s">
        <v>208</v>
      </c>
      <c r="H7" s="819">
        <f>(+SIN(($B$136*-1)*3.14159265358979/180)*H2)</f>
        <v>0</v>
      </c>
      <c r="I7" s="854"/>
      <c r="J7" s="820">
        <f>ABS($H$1/J6)</f>
        <v>120.85034451789183</v>
      </c>
      <c r="K7" s="820">
        <f>ABS($H$1/K6)</f>
        <v>181.27551677683775</v>
      </c>
      <c r="L7" s="820">
        <f>ABS($H$1/L6)</f>
        <v>159.33080097320013</v>
      </c>
      <c r="M7" s="821" t="s">
        <v>173</v>
      </c>
      <c r="N7" s="22"/>
      <c r="O7" s="883"/>
    </row>
    <row r="8" spans="1:94" ht="23" hidden="1" x14ac:dyDescent="0.25">
      <c r="A8" s="606"/>
      <c r="B8" s="611" t="s">
        <v>15</v>
      </c>
      <c r="C8" s="618">
        <f>+AG142</f>
        <v>547.61791212524224</v>
      </c>
      <c r="D8" s="619"/>
      <c r="E8" s="606"/>
      <c r="F8" s="606"/>
      <c r="G8" s="889" t="s">
        <v>209</v>
      </c>
      <c r="H8" s="819">
        <f>(+COS(($B$136*-1)*3.14159265358979/180)*H3)</f>
        <v>168</v>
      </c>
      <c r="I8" s="22"/>
      <c r="J8" s="944">
        <f>ABS($E$11/AZ16)</f>
        <v>268.78783522082841</v>
      </c>
      <c r="K8" s="944"/>
      <c r="L8" s="944">
        <f>ABS($E$11/CD16)</f>
        <v>118.1245593422001</v>
      </c>
      <c r="M8" s="942" t="s">
        <v>226</v>
      </c>
      <c r="N8" s="22"/>
      <c r="O8" s="883"/>
    </row>
    <row r="9" spans="1:94" ht="24" hidden="1" thickBot="1" x14ac:dyDescent="0.3">
      <c r="A9" s="606"/>
      <c r="B9" s="617" t="s">
        <v>14</v>
      </c>
      <c r="C9" s="617">
        <f>+T136</f>
        <v>244.6444062156904</v>
      </c>
      <c r="D9" s="606"/>
      <c r="E9" s="606"/>
      <c r="F9" s="606"/>
      <c r="G9" s="813" t="s">
        <v>211</v>
      </c>
      <c r="H9" s="819">
        <f>+D2-E2+H7</f>
        <v>504</v>
      </c>
      <c r="I9" s="22"/>
      <c r="J9" s="22"/>
      <c r="K9" s="22"/>
      <c r="L9" s="22"/>
      <c r="M9" s="22"/>
      <c r="N9" s="22"/>
      <c r="O9" s="883"/>
    </row>
    <row r="10" spans="1:94" ht="24" hidden="1" thickBot="1" x14ac:dyDescent="0.3">
      <c r="A10" s="606"/>
      <c r="B10" s="523" t="s">
        <v>118</v>
      </c>
      <c r="C10" s="524">
        <v>3000</v>
      </c>
      <c r="D10" s="524">
        <v>3000</v>
      </c>
      <c r="E10" s="606"/>
      <c r="F10" s="606"/>
      <c r="G10" s="890"/>
      <c r="H10" s="22"/>
      <c r="I10" s="814">
        <v>2</v>
      </c>
      <c r="J10" s="937" t="s">
        <v>175</v>
      </c>
      <c r="K10" s="937"/>
      <c r="L10" s="940"/>
      <c r="M10" s="940"/>
      <c r="N10" s="22"/>
      <c r="O10" s="883"/>
    </row>
    <row r="11" spans="1:94" ht="28" hidden="1" x14ac:dyDescent="0.3">
      <c r="A11" s="606"/>
      <c r="B11" s="523" t="s">
        <v>117</v>
      </c>
      <c r="C11" s="525">
        <v>4300</v>
      </c>
      <c r="D11" s="525">
        <v>4000</v>
      </c>
      <c r="E11" s="945">
        <v>4300</v>
      </c>
      <c r="F11" s="606"/>
      <c r="G11" s="813" t="s">
        <v>212</v>
      </c>
      <c r="H11" s="819">
        <f>+D2-H7-E2</f>
        <v>504</v>
      </c>
      <c r="I11" s="888" t="s">
        <v>210</v>
      </c>
      <c r="J11" s="817" t="s">
        <v>176</v>
      </c>
      <c r="K11" s="816" t="s">
        <v>177</v>
      </c>
      <c r="L11" s="816" t="s">
        <v>178</v>
      </c>
      <c r="M11" s="887"/>
      <c r="N11" s="22"/>
      <c r="O11" s="883"/>
    </row>
    <row r="12" spans="1:94" ht="23" hidden="1" x14ac:dyDescent="0.25">
      <c r="A12" s="606"/>
      <c r="B12" s="526"/>
      <c r="C12" s="612" t="s">
        <v>20</v>
      </c>
      <c r="D12" s="612" t="s">
        <v>21</v>
      </c>
      <c r="E12" s="606"/>
      <c r="F12" s="606"/>
      <c r="G12" s="890"/>
      <c r="H12" s="25"/>
      <c r="I12" s="22"/>
      <c r="J12" s="818">
        <f>(BK19)</f>
        <v>36.583462087311197</v>
      </c>
      <c r="K12" s="818">
        <f>((+H8-H11)/H8*CN19)</f>
        <v>-31.633075825377603</v>
      </c>
      <c r="L12" s="818">
        <f>(H11/H8*CN19)</f>
        <v>47.449613738066404</v>
      </c>
      <c r="M12" s="816" t="s">
        <v>172</v>
      </c>
      <c r="N12" s="22"/>
      <c r="O12" s="883"/>
    </row>
    <row r="13" spans="1:94" ht="23" hidden="1" x14ac:dyDescent="0.25">
      <c r="A13" s="606"/>
      <c r="B13" s="526" t="s">
        <v>17</v>
      </c>
      <c r="C13" s="613">
        <f>+((C8-C9)/C8)*C7</f>
        <v>28.990672799668502</v>
      </c>
      <c r="D13" s="614">
        <f>+(C9/C8)*C7</f>
        <v>23.409327200331496</v>
      </c>
      <c r="E13" s="606"/>
      <c r="F13" s="606"/>
      <c r="G13" s="890"/>
      <c r="H13" s="22"/>
      <c r="I13" s="22"/>
      <c r="J13" s="820">
        <f>ABS($H$1/J12)</f>
        <v>158.54158324757631</v>
      </c>
      <c r="K13" s="820">
        <f>ABS($H$1/K12)</f>
        <v>183.35238824126472</v>
      </c>
      <c r="L13" s="820">
        <f>ABS($H$1/L12)</f>
        <v>122.23492549417649</v>
      </c>
      <c r="M13" s="821" t="s">
        <v>173</v>
      </c>
      <c r="N13" s="22"/>
      <c r="O13" s="883"/>
    </row>
    <row r="14" spans="1:94" ht="39" customHeight="1" thickBot="1" x14ac:dyDescent="0.3">
      <c r="A14" s="606"/>
      <c r="B14"/>
      <c r="F14" s="606"/>
      <c r="G14" s="890"/>
      <c r="H14" s="22"/>
      <c r="I14" s="22"/>
      <c r="J14" s="944">
        <f>ABS($E$11/BK19)</f>
        <v>117.53944964906519</v>
      </c>
      <c r="K14" s="944"/>
      <c r="L14" s="944">
        <f>ABS($E$11/CN19)</f>
        <v>271.86733428877187</v>
      </c>
      <c r="M14" s="942" t="s">
        <v>226</v>
      </c>
      <c r="N14" s="22"/>
      <c r="O14" s="883"/>
      <c r="AV14" s="855"/>
      <c r="AX14" s="27"/>
      <c r="AY14" s="961" t="s">
        <v>25</v>
      </c>
      <c r="AZ14" s="1003">
        <f>+C7</f>
        <v>52.4</v>
      </c>
      <c r="BA14" s="1003"/>
      <c r="BB14" s="139" t="s">
        <v>17</v>
      </c>
      <c r="BC14" s="139"/>
      <c r="BD14" s="962" t="s">
        <v>126</v>
      </c>
      <c r="BE14" s="963"/>
      <c r="BF14" s="963"/>
      <c r="BG14" s="963"/>
      <c r="BH14" s="963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37"/>
      <c r="CO14" s="37"/>
      <c r="CP14" s="37"/>
    </row>
    <row r="15" spans="1:94" ht="40.5" customHeight="1" thickBot="1" x14ac:dyDescent="0.3">
      <c r="A15" s="606"/>
      <c r="F15" s="606"/>
      <c r="G15" s="890"/>
      <c r="H15" s="22"/>
      <c r="I15" s="22"/>
      <c r="J15" s="22"/>
      <c r="K15" s="22"/>
      <c r="L15" s="22"/>
      <c r="M15" s="22"/>
      <c r="N15" s="22"/>
      <c r="O15" s="883"/>
      <c r="AV15" s="855" t="b">
        <f>AND(AZ16&gt;0,CD16&gt;0)</f>
        <v>1</v>
      </c>
      <c r="AW15" s="43" t="str">
        <f>IF(AV15=TRUE,"","negative force at the motor")</f>
        <v/>
      </c>
      <c r="AX15" s="908" t="s">
        <v>110</v>
      </c>
      <c r="AY15" s="439" t="s">
        <v>27</v>
      </c>
      <c r="AZ15" s="533" t="s">
        <v>28</v>
      </c>
      <c r="BA15" s="534"/>
      <c r="BB15" s="535"/>
      <c r="BC15" s="535"/>
      <c r="BD15" s="535"/>
      <c r="BE15" s="535"/>
      <c r="BF15" s="535"/>
      <c r="BG15" s="535"/>
      <c r="BH15" s="535"/>
      <c r="BI15" s="535"/>
      <c r="BJ15" s="535"/>
      <c r="BK15" s="535"/>
      <c r="BL15" s="535"/>
      <c r="BM15" s="535"/>
      <c r="BN15" s="535"/>
      <c r="BO15" s="535"/>
      <c r="BP15" s="535"/>
      <c r="BQ15" s="535"/>
      <c r="BR15" s="536"/>
      <c r="BS15" s="537"/>
      <c r="BT15" s="538"/>
      <c r="BU15" s="538"/>
      <c r="BV15" s="538"/>
      <c r="BW15" s="538"/>
      <c r="BX15" s="538"/>
      <c r="BY15" s="538"/>
      <c r="BZ15" s="538"/>
      <c r="CA15" s="538"/>
      <c r="CB15" s="538"/>
      <c r="CC15" s="534"/>
      <c r="CD15" s="539" t="s">
        <v>29</v>
      </c>
      <c r="CE15" s="529"/>
      <c r="CF15" s="529"/>
      <c r="CG15" s="529"/>
      <c r="CH15" s="529"/>
      <c r="CI15" s="529"/>
      <c r="CJ15" s="529"/>
      <c r="CK15" s="529"/>
      <c r="CL15" s="529"/>
      <c r="CM15" s="529"/>
      <c r="CN15" s="530"/>
    </row>
    <row r="16" spans="1:94" ht="40.5" customHeight="1" thickBot="1" x14ac:dyDescent="0.3">
      <c r="A16" s="606"/>
      <c r="F16" s="621"/>
      <c r="G16" s="813" t="s">
        <v>213</v>
      </c>
      <c r="H16" s="819">
        <f>+D2-(H7+E2)-AU108</f>
        <v>-40.644384037175996</v>
      </c>
      <c r="I16" s="814" t="s">
        <v>179</v>
      </c>
      <c r="J16" s="937" t="s">
        <v>224</v>
      </c>
      <c r="K16" s="938"/>
      <c r="L16" s="938"/>
      <c r="M16" s="938"/>
      <c r="N16" s="22"/>
      <c r="O16" s="883"/>
      <c r="AU16" s="667">
        <v>1</v>
      </c>
      <c r="AV16" s="855" t="b">
        <f>AND(AX16&gt;=10,$AN$142&gt;=10,$AO$142&gt;=10)</f>
        <v>1</v>
      </c>
      <c r="AW16" s="45" t="str">
        <f>IF(AV16=TRUE,"O K","OVERLOAD")</f>
        <v>O K</v>
      </c>
      <c r="AX16" s="934">
        <f>+MIN(J7:L8)</f>
        <v>118.1245593422001</v>
      </c>
      <c r="AY16" s="440" t="s">
        <v>112</v>
      </c>
      <c r="AZ16" s="791">
        <f>+((D4-D5)/D4)*C7</f>
        <v>15.99774780159691</v>
      </c>
      <c r="BA16" s="785"/>
      <c r="BB16" s="540"/>
      <c r="BC16" s="540"/>
      <c r="BD16" s="540"/>
      <c r="BE16" s="541"/>
      <c r="BF16" s="541"/>
      <c r="BG16" s="541"/>
      <c r="BH16" s="542"/>
      <c r="BI16" s="542"/>
      <c r="BJ16" s="542"/>
      <c r="BK16" s="542"/>
      <c r="BL16" s="542"/>
      <c r="BM16" s="542"/>
      <c r="BN16" s="542"/>
      <c r="BO16" s="542"/>
      <c r="BP16" s="542"/>
      <c r="BQ16" s="542"/>
      <c r="BR16" s="543"/>
      <c r="BS16" s="540"/>
      <c r="BT16" s="540"/>
      <c r="BU16" s="540"/>
      <c r="BV16" s="541"/>
      <c r="BW16" s="541"/>
      <c r="BX16" s="541"/>
      <c r="BY16" s="541"/>
      <c r="BZ16" s="541"/>
      <c r="CA16" s="541"/>
      <c r="CB16" s="541"/>
      <c r="CC16" s="792"/>
      <c r="CD16" s="793">
        <f>(D5/D4)*C7</f>
        <v>36.40225219840309</v>
      </c>
      <c r="CE16" s="531"/>
      <c r="CF16" s="531"/>
      <c r="CG16" s="531"/>
      <c r="CH16" s="531"/>
      <c r="CI16" s="531"/>
      <c r="CJ16" s="531"/>
      <c r="CK16" s="531"/>
      <c r="CL16" s="531"/>
      <c r="CM16" s="531"/>
      <c r="CN16" s="532"/>
    </row>
    <row r="17" spans="1:119" ht="26.25" customHeight="1" thickBot="1" x14ac:dyDescent="0.3">
      <c r="A17" s="606"/>
      <c r="F17" s="621"/>
      <c r="G17" s="890"/>
      <c r="H17" s="25"/>
      <c r="I17" s="888" t="s">
        <v>210</v>
      </c>
      <c r="J17" s="816" t="s">
        <v>169</v>
      </c>
      <c r="K17" s="816" t="s">
        <v>170</v>
      </c>
      <c r="L17" s="816"/>
      <c r="M17" s="887"/>
      <c r="N17" s="22"/>
      <c r="O17" s="883"/>
      <c r="AV17" s="855"/>
      <c r="AW17" s="47"/>
      <c r="AX17" s="929"/>
      <c r="AY17" s="48"/>
      <c r="AZ17" s="49"/>
      <c r="BA17" s="49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S17" s="38"/>
      <c r="BT17" s="38"/>
      <c r="BU17" s="49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40"/>
      <c r="CM17" s="40"/>
      <c r="CN17" s="40"/>
    </row>
    <row r="18" spans="1:119" ht="40.5" customHeight="1" thickBot="1" x14ac:dyDescent="0.3">
      <c r="A18" s="606"/>
      <c r="F18" s="606"/>
      <c r="G18" s="890"/>
      <c r="H18" s="22"/>
      <c r="I18" s="22"/>
      <c r="J18" s="818">
        <f>+H16/H8*AZ14</f>
        <v>-12.677176925881083</v>
      </c>
      <c r="K18" s="818">
        <f>((H8-H16)/H8)*AZ14</f>
        <v>65.077176925881076</v>
      </c>
      <c r="L18" s="818"/>
      <c r="M18" s="816" t="s">
        <v>172</v>
      </c>
      <c r="N18" s="22"/>
      <c r="O18" s="883"/>
      <c r="AV18" s="855" t="b">
        <f>AND(BK19&gt;0,CN19&gt;0)</f>
        <v>1</v>
      </c>
      <c r="AW18" s="43" t="str">
        <f>IF(AV18=TRUE,"","negative force at the motor")</f>
        <v/>
      </c>
      <c r="AX18" s="908" t="s">
        <v>110</v>
      </c>
      <c r="AY18" s="441" t="s">
        <v>27</v>
      </c>
      <c r="AZ18" s="598"/>
      <c r="BA18" s="593"/>
      <c r="BB18" s="593"/>
      <c r="BC18" s="593"/>
      <c r="BD18" s="593"/>
      <c r="BE18" s="593"/>
      <c r="BF18" s="593"/>
      <c r="BG18" s="593"/>
      <c r="BH18" s="593"/>
      <c r="BI18" s="593"/>
      <c r="BJ18" s="593"/>
      <c r="BK18" s="709" t="s">
        <v>28</v>
      </c>
      <c r="BL18" s="710"/>
      <c r="BM18" s="711"/>
      <c r="BN18" s="711"/>
      <c r="BO18" s="711"/>
      <c r="BP18" s="711"/>
      <c r="BQ18" s="711"/>
      <c r="BR18" s="711"/>
      <c r="BS18" s="711"/>
      <c r="BT18" s="711"/>
      <c r="BU18" s="711"/>
      <c r="BV18" s="711"/>
      <c r="BW18" s="712"/>
      <c r="BX18" s="713"/>
      <c r="BY18" s="713"/>
      <c r="BZ18" s="713"/>
      <c r="CA18" s="713"/>
      <c r="CB18" s="714"/>
      <c r="CC18" s="714"/>
      <c r="CD18" s="712"/>
      <c r="CE18" s="712"/>
      <c r="CF18" s="712"/>
      <c r="CG18" s="712"/>
      <c r="CH18" s="712"/>
      <c r="CI18" s="714"/>
      <c r="CJ18" s="714"/>
      <c r="CK18" s="712"/>
      <c r="CL18" s="713"/>
      <c r="CM18" s="715"/>
      <c r="CN18" s="716" t="s">
        <v>29</v>
      </c>
    </row>
    <row r="19" spans="1:119" ht="40.5" customHeight="1" thickBot="1" x14ac:dyDescent="0.3">
      <c r="A19" s="606"/>
      <c r="F19" s="606"/>
      <c r="G19" s="890"/>
      <c r="H19" s="22"/>
      <c r="I19" s="22"/>
      <c r="J19" s="820">
        <f>ABS($H$1/J18)</f>
        <v>457.51511033651457</v>
      </c>
      <c r="K19" s="820">
        <f>ABS($H$1/K18)</f>
        <v>89.124947853928035</v>
      </c>
      <c r="L19" s="820"/>
      <c r="M19" s="821" t="s">
        <v>173</v>
      </c>
      <c r="N19" s="22"/>
      <c r="O19" s="883"/>
      <c r="AU19" s="667">
        <v>2</v>
      </c>
      <c r="AV19" s="855" t="b">
        <f>AND(AX19&gt;=10,$AN$142&gt;=10,$AO$142&gt;=10)</f>
        <v>1</v>
      </c>
      <c r="AW19" s="45" t="str">
        <f>IF(AV19=TRUE,"O K","OVERLOAD")</f>
        <v>O K</v>
      </c>
      <c r="AX19" s="934">
        <f>+MIN(J13:L14)</f>
        <v>117.53944964906519</v>
      </c>
      <c r="AY19" s="442" t="s">
        <v>113</v>
      </c>
      <c r="AZ19" s="599"/>
      <c r="BA19" s="596"/>
      <c r="BB19" s="596"/>
      <c r="BC19" s="596"/>
      <c r="BD19" s="596"/>
      <c r="BE19" s="596"/>
      <c r="BF19" s="596"/>
      <c r="BG19" s="596"/>
      <c r="BH19" s="596"/>
      <c r="BI19" s="596"/>
      <c r="BJ19" s="596"/>
      <c r="BK19" s="717">
        <f>((D4-D3)/D4)*C7</f>
        <v>36.583462087311197</v>
      </c>
      <c r="BL19" s="718"/>
      <c r="BM19" s="719"/>
      <c r="BN19" s="719"/>
      <c r="BO19" s="719"/>
      <c r="BP19" s="719"/>
      <c r="BQ19" s="719"/>
      <c r="BR19" s="719"/>
      <c r="BS19" s="719"/>
      <c r="BT19" s="719"/>
      <c r="BU19" s="719"/>
      <c r="BV19" s="719"/>
      <c r="BW19" s="720"/>
      <c r="BX19" s="721"/>
      <c r="BY19" s="721"/>
      <c r="BZ19" s="721"/>
      <c r="CA19" s="721"/>
      <c r="CB19" s="722"/>
      <c r="CC19" s="722"/>
      <c r="CD19" s="723"/>
      <c r="CE19" s="723"/>
      <c r="CF19" s="723"/>
      <c r="CG19" s="723"/>
      <c r="CH19" s="723"/>
      <c r="CI19" s="722"/>
      <c r="CJ19" s="722"/>
      <c r="CK19" s="723"/>
      <c r="CL19" s="724"/>
      <c r="CM19" s="722"/>
      <c r="CN19" s="725">
        <f>+(D3/D4)*C7</f>
        <v>15.816537912688801</v>
      </c>
    </row>
    <row r="20" spans="1:119" ht="27" customHeight="1" thickBot="1" x14ac:dyDescent="0.3">
      <c r="A20" s="606"/>
      <c r="B20" s="607"/>
      <c r="C20" s="606"/>
      <c r="D20" s="606"/>
      <c r="E20" s="606"/>
      <c r="F20" s="606"/>
      <c r="G20" s="890"/>
      <c r="H20" s="22"/>
      <c r="I20" s="22"/>
      <c r="J20" s="944">
        <f>ABS($E$11/AZ14)</f>
        <v>82.061068702290072</v>
      </c>
      <c r="K20" s="944"/>
      <c r="L20" s="944"/>
      <c r="M20" s="942" t="s">
        <v>226</v>
      </c>
      <c r="N20" s="22"/>
      <c r="O20" s="883"/>
      <c r="AV20" s="855"/>
      <c r="AW20" s="47"/>
      <c r="AX20" s="930"/>
      <c r="AY20" s="53"/>
      <c r="AZ20" s="53"/>
      <c r="BA20" s="53"/>
      <c r="BB20" s="53"/>
      <c r="BC20" s="53"/>
      <c r="BD20" s="53"/>
      <c r="BE20" s="53"/>
      <c r="BF20" s="53"/>
      <c r="BG20" s="53"/>
      <c r="BH20" s="54"/>
      <c r="BI20" s="54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17"/>
      <c r="BX20" s="55"/>
      <c r="BY20" s="55"/>
      <c r="BZ20" s="55"/>
      <c r="CA20" s="55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40"/>
      <c r="CM20" s="40"/>
      <c r="CN20" s="40"/>
    </row>
    <row r="21" spans="1:119" ht="40.5" customHeight="1" thickBot="1" x14ac:dyDescent="0.3">
      <c r="A21" s="606"/>
      <c r="B21" s="607"/>
      <c r="C21" s="606"/>
      <c r="D21" s="606"/>
      <c r="E21" s="606"/>
      <c r="F21" s="606"/>
      <c r="G21" s="890"/>
      <c r="H21" s="22"/>
      <c r="I21" s="22"/>
      <c r="J21" s="22"/>
      <c r="K21" s="22"/>
      <c r="L21" s="22"/>
      <c r="M21" s="22"/>
      <c r="N21" s="22"/>
      <c r="O21" s="883"/>
      <c r="AV21" s="855" t="b">
        <f>AND(BK22&gt;0,CD22&gt;0)</f>
        <v>1</v>
      </c>
      <c r="AW21" s="43" t="str">
        <f>IF(AV21=TRUE,"","negative force at the motor")</f>
        <v/>
      </c>
      <c r="AX21" s="908" t="s">
        <v>110</v>
      </c>
      <c r="AY21" s="443" t="s">
        <v>27</v>
      </c>
      <c r="AZ21" s="598"/>
      <c r="BA21" s="593"/>
      <c r="BB21" s="593"/>
      <c r="BC21" s="593"/>
      <c r="BD21" s="593"/>
      <c r="BE21" s="593"/>
      <c r="BF21" s="593"/>
      <c r="BG21" s="593"/>
      <c r="BH21" s="593"/>
      <c r="BI21" s="593"/>
      <c r="BJ21" s="593"/>
      <c r="BK21" s="794" t="s">
        <v>28</v>
      </c>
      <c r="BL21" s="795"/>
      <c r="BM21" s="796"/>
      <c r="BN21" s="796"/>
      <c r="BO21" s="796"/>
      <c r="BP21" s="796"/>
      <c r="BQ21" s="796"/>
      <c r="BR21" s="797"/>
      <c r="BS21" s="798"/>
      <c r="BT21" s="799"/>
      <c r="BU21" s="799"/>
      <c r="BV21" s="798"/>
      <c r="BW21" s="798"/>
      <c r="BX21" s="798"/>
      <c r="BY21" s="799"/>
      <c r="BZ21" s="799"/>
      <c r="CA21" s="799"/>
      <c r="CB21" s="799"/>
      <c r="CC21" s="795"/>
      <c r="CD21" s="800" t="s">
        <v>29</v>
      </c>
      <c r="CE21" s="593"/>
      <c r="CF21" s="593"/>
      <c r="CG21" s="593"/>
      <c r="CH21" s="593"/>
      <c r="CI21" s="593"/>
      <c r="CJ21" s="593"/>
      <c r="CK21" s="593"/>
      <c r="CL21" s="593"/>
      <c r="CM21" s="593"/>
      <c r="CN21" s="594"/>
    </row>
    <row r="22" spans="1:119" ht="40.5" customHeight="1" thickBot="1" x14ac:dyDescent="0.3">
      <c r="A22" s="606"/>
      <c r="B22" s="607"/>
      <c r="C22" s="606"/>
      <c r="D22" s="606"/>
      <c r="E22" s="606"/>
      <c r="F22" s="606"/>
      <c r="G22" s="813" t="s">
        <v>180</v>
      </c>
      <c r="H22" s="819">
        <f>(+COS(($B$136*-1)*3.14159265358979/180)*(H4))</f>
        <v>616</v>
      </c>
      <c r="I22" s="814" t="s">
        <v>179</v>
      </c>
      <c r="J22" s="937" t="s">
        <v>225</v>
      </c>
      <c r="K22" s="938"/>
      <c r="L22" s="938"/>
      <c r="M22" s="938"/>
      <c r="N22" s="22"/>
      <c r="O22" s="883"/>
      <c r="AU22" s="667">
        <v>3</v>
      </c>
      <c r="AV22" s="855" t="b">
        <f>AND(AX22&gt;=10,$AN$142&gt;=10,$AO$142&gt;=10)</f>
        <v>1</v>
      </c>
      <c r="AW22" s="45" t="str">
        <f>IF(AV22=TRUE,"O K","OVERLOAD")</f>
        <v>O K</v>
      </c>
      <c r="AX22" s="947">
        <f>+$E$11/(MAX(BK22,CD22))</f>
        <v>147.809915201048</v>
      </c>
      <c r="AY22" s="444" t="s">
        <v>114</v>
      </c>
      <c r="AZ22" s="599"/>
      <c r="BA22" s="596"/>
      <c r="BB22" s="596"/>
      <c r="BC22" s="596"/>
      <c r="BD22" s="596"/>
      <c r="BE22" s="596"/>
      <c r="BF22" s="596"/>
      <c r="BG22" s="596"/>
      <c r="BH22" s="596"/>
      <c r="BI22" s="596"/>
      <c r="BJ22" s="596"/>
      <c r="BK22" s="801">
        <f>+((D2-D3)/D2)*C7</f>
        <v>29.091417812879659</v>
      </c>
      <c r="BL22" s="802"/>
      <c r="BM22" s="803"/>
      <c r="BN22" s="803"/>
      <c r="BO22" s="803"/>
      <c r="BP22" s="803"/>
      <c r="BQ22" s="803"/>
      <c r="BR22" s="804"/>
      <c r="BS22" s="805"/>
      <c r="BT22" s="806"/>
      <c r="BU22" s="806"/>
      <c r="BV22" s="807"/>
      <c r="BW22" s="807"/>
      <c r="BX22" s="807"/>
      <c r="BY22" s="806"/>
      <c r="BZ22" s="806"/>
      <c r="CA22" s="806"/>
      <c r="CB22" s="806"/>
      <c r="CC22" s="806"/>
      <c r="CD22" s="808">
        <f>+(D3/D2)*C7</f>
        <v>23.30858218712034</v>
      </c>
      <c r="CE22" s="596"/>
      <c r="CF22" s="596"/>
      <c r="CG22" s="596"/>
      <c r="CH22" s="596"/>
      <c r="CI22" s="596"/>
      <c r="CJ22" s="596"/>
      <c r="CK22" s="596"/>
      <c r="CL22" s="596"/>
      <c r="CM22" s="596"/>
      <c r="CN22" s="597"/>
    </row>
    <row r="23" spans="1:119" ht="15" customHeight="1" thickBot="1" x14ac:dyDescent="0.25">
      <c r="G23" s="813" t="s">
        <v>214</v>
      </c>
      <c r="H23" s="892">
        <f>+AU108-H22+H7</f>
        <v>-71.355615962824004</v>
      </c>
      <c r="I23" s="824"/>
      <c r="J23" s="816"/>
      <c r="K23" s="816" t="s">
        <v>177</v>
      </c>
      <c r="L23" s="816" t="s">
        <v>178</v>
      </c>
      <c r="M23" s="887"/>
      <c r="N23" s="22"/>
      <c r="O23" s="883"/>
      <c r="AV23" s="855"/>
      <c r="AW23" s="47"/>
      <c r="AX23" s="930"/>
      <c r="AY23" s="53"/>
      <c r="AZ23" s="53"/>
      <c r="BA23" s="53"/>
      <c r="BB23" s="53"/>
      <c r="BC23" s="53"/>
      <c r="BD23" s="53"/>
      <c r="BE23" s="53"/>
      <c r="BF23" s="53"/>
      <c r="BG23" s="53"/>
      <c r="BH23" s="54"/>
      <c r="BI23" s="54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3"/>
      <c r="BU23" s="50"/>
      <c r="BV23" s="50"/>
      <c r="BW23" s="17"/>
      <c r="BX23" s="55"/>
      <c r="BY23" s="55"/>
      <c r="BZ23" s="55"/>
      <c r="CA23" s="55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40"/>
      <c r="CM23" s="40"/>
      <c r="CN23" s="40"/>
    </row>
    <row r="24" spans="1:119" ht="21" hidden="1" thickBot="1" x14ac:dyDescent="0.25">
      <c r="G24" s="890"/>
      <c r="H24" s="22"/>
      <c r="I24" s="22"/>
      <c r="J24" s="818"/>
      <c r="K24" s="818">
        <f>((+H8-H23)/H8*AZ14)</f>
        <v>74.656156407452244</v>
      </c>
      <c r="L24" s="818">
        <f>(H23/H8*AZ14)</f>
        <v>-22.256156407452249</v>
      </c>
      <c r="M24" s="816" t="s">
        <v>172</v>
      </c>
      <c r="N24" s="22"/>
      <c r="O24" s="883"/>
      <c r="AV24" s="855"/>
      <c r="AW24" s="47"/>
      <c r="AX24" s="105"/>
    </row>
    <row r="25" spans="1:119" ht="21" hidden="1" thickBot="1" x14ac:dyDescent="0.25">
      <c r="G25" s="890"/>
      <c r="H25" s="22"/>
      <c r="I25" s="22"/>
      <c r="J25" s="820"/>
      <c r="K25" s="820">
        <f>ABS($H$1/K24)</f>
        <v>77.689507190073329</v>
      </c>
      <c r="L25" s="820">
        <f>ABS($H$1/L24)</f>
        <v>260.60205067834306</v>
      </c>
      <c r="M25" s="821" t="s">
        <v>173</v>
      </c>
      <c r="N25" s="22"/>
      <c r="O25" s="883"/>
      <c r="AV25" s="855"/>
      <c r="AW25" s="47"/>
      <c r="AX25" s="105"/>
      <c r="CB25" s="60" t="b">
        <f>IF(CC46=30,18)</f>
        <v>0</v>
      </c>
      <c r="CD25" s="60" t="b">
        <f>IF(CC46=30,20)</f>
        <v>0</v>
      </c>
    </row>
    <row r="26" spans="1:119" ht="21" hidden="1" thickBot="1" x14ac:dyDescent="0.25">
      <c r="G26" s="890"/>
      <c r="H26" s="22"/>
      <c r="I26" s="22"/>
      <c r="J26" s="944"/>
      <c r="K26" s="944"/>
      <c r="L26" s="944">
        <f>ABS($E$11/AZ14)</f>
        <v>82.061068702290072</v>
      </c>
      <c r="M26" s="942" t="s">
        <v>226</v>
      </c>
      <c r="N26" s="22"/>
      <c r="O26" s="883"/>
      <c r="AV26" s="855"/>
      <c r="AW26" s="47"/>
      <c r="AX26" s="931"/>
      <c r="AY26" s="100"/>
      <c r="AZ26" s="101"/>
      <c r="BA26" s="101"/>
      <c r="BB26" s="101"/>
      <c r="BC26" s="101"/>
      <c r="BD26" s="101"/>
      <c r="BE26" s="101"/>
      <c r="BF26" s="101"/>
      <c r="BG26" s="101"/>
      <c r="BH26" s="102"/>
      <c r="BI26" s="102"/>
      <c r="BJ26" s="103"/>
      <c r="BK26" s="103"/>
      <c r="BL26" s="103"/>
      <c r="BM26" s="103"/>
      <c r="BN26" s="103"/>
      <c r="BO26" s="103"/>
      <c r="BP26" s="103"/>
      <c r="BQ26" s="103"/>
      <c r="BR26" s="17"/>
      <c r="BS26" s="50"/>
      <c r="BT26" s="104"/>
      <c r="BU26" s="104"/>
      <c r="BV26" s="50"/>
      <c r="BW26" s="50"/>
      <c r="BX26" s="50"/>
      <c r="BY26" s="50"/>
      <c r="BZ26" s="60" t="b">
        <f>IF(CB46=29,16)</f>
        <v>0</v>
      </c>
      <c r="CA26" s="50"/>
      <c r="CB26" s="50"/>
      <c r="CC26" s="50"/>
      <c r="CD26" s="60" t="b">
        <f>IF(CB46=29,20)</f>
        <v>0</v>
      </c>
      <c r="CE26" s="50"/>
      <c r="CF26" s="101"/>
      <c r="CG26" s="101"/>
      <c r="CH26" s="101"/>
      <c r="CI26" s="101"/>
      <c r="CJ26" s="101"/>
      <c r="CK26" s="101"/>
      <c r="CL26" s="101"/>
      <c r="CM26" s="101"/>
      <c r="CN26" s="101"/>
    </row>
    <row r="27" spans="1:119" s="37" customFormat="1" ht="21" hidden="1" thickBot="1" x14ac:dyDescent="0.25">
      <c r="G27" s="890"/>
      <c r="H27" s="22"/>
      <c r="I27" s="22"/>
      <c r="J27" s="22"/>
      <c r="K27" s="22"/>
      <c r="L27" s="22"/>
      <c r="M27" s="22"/>
      <c r="N27" s="22"/>
      <c r="O27" s="883"/>
      <c r="P27" s="36"/>
      <c r="Q27" s="36"/>
      <c r="R27" s="36"/>
      <c r="S27" s="36"/>
      <c r="T27" s="36"/>
      <c r="U27" s="36"/>
      <c r="AU27"/>
      <c r="AV27" s="855"/>
      <c r="AW27" s="47"/>
      <c r="AX27" s="931"/>
      <c r="AY27" s="100"/>
      <c r="AZ27" s="101"/>
      <c r="BA27" s="101"/>
      <c r="BB27" s="101"/>
      <c r="BC27" s="101"/>
      <c r="BD27" s="101"/>
      <c r="BE27" s="101"/>
      <c r="BF27" s="101"/>
      <c r="BG27" s="101"/>
      <c r="BH27" s="102"/>
      <c r="BI27" s="102"/>
      <c r="BJ27" s="103"/>
      <c r="BK27" s="103"/>
      <c r="BL27" s="103"/>
      <c r="BM27" s="103"/>
      <c r="BN27" s="103"/>
      <c r="BO27" s="103"/>
      <c r="BP27" s="103"/>
      <c r="BQ27" s="103"/>
      <c r="BR27" s="17"/>
      <c r="BS27" s="50"/>
      <c r="BT27" s="104"/>
      <c r="BU27" s="104"/>
      <c r="BV27" s="50"/>
      <c r="BW27" s="50"/>
      <c r="BX27" s="60" t="b">
        <f>IF(CA46=28,14)</f>
        <v>0</v>
      </c>
      <c r="BY27" s="50"/>
      <c r="BZ27" s="50"/>
      <c r="CA27" s="50"/>
      <c r="CB27" s="50"/>
      <c r="CC27" s="50"/>
      <c r="CD27" s="60" t="b">
        <f>IF(CA46=28,20)</f>
        <v>0</v>
      </c>
      <c r="CE27" s="50"/>
      <c r="CF27" s="101"/>
      <c r="CG27" s="101"/>
      <c r="CH27" s="101"/>
      <c r="CI27" s="101"/>
      <c r="CJ27" s="101"/>
      <c r="CK27" s="101"/>
      <c r="CL27" s="101"/>
      <c r="CM27" s="101"/>
      <c r="CN27" s="101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K27"/>
      <c r="DL27"/>
      <c r="DM27"/>
      <c r="DN27"/>
      <c r="DO27"/>
    </row>
    <row r="28" spans="1:119" ht="21" hidden="1" thickBot="1" x14ac:dyDescent="0.25">
      <c r="G28" s="890"/>
      <c r="H28" s="22"/>
      <c r="I28" s="814">
        <v>60</v>
      </c>
      <c r="J28" s="937" t="s">
        <v>181</v>
      </c>
      <c r="K28" s="938"/>
      <c r="L28" s="938"/>
      <c r="M28" s="938"/>
      <c r="N28" s="22"/>
      <c r="O28" s="883"/>
      <c r="P28" s="77"/>
      <c r="Q28" s="77"/>
      <c r="R28" s="77"/>
      <c r="S28" s="77"/>
      <c r="T28" s="77"/>
      <c r="U28" s="77"/>
      <c r="AV28" s="855"/>
      <c r="AW28" s="47"/>
      <c r="AX28" s="931"/>
      <c r="AY28" s="100"/>
      <c r="AZ28" s="101"/>
      <c r="BA28" s="101"/>
      <c r="BB28" s="101"/>
      <c r="BC28" s="101"/>
      <c r="BD28" s="101"/>
      <c r="BE28" s="101"/>
      <c r="BF28" s="101"/>
      <c r="BG28" s="101"/>
      <c r="BH28" s="102"/>
      <c r="BI28" s="102"/>
      <c r="BJ28" s="105">
        <v>16</v>
      </c>
      <c r="BK28" s="103"/>
      <c r="BL28" s="103"/>
      <c r="BM28" s="103"/>
      <c r="BN28" s="103"/>
      <c r="BO28" s="103"/>
      <c r="BP28" s="103"/>
      <c r="BQ28" s="103"/>
      <c r="BR28" s="17"/>
      <c r="BS28" s="50"/>
      <c r="BT28" s="104"/>
      <c r="BU28" s="104"/>
      <c r="BV28" s="68" t="b">
        <f>IF(BZ46=27,12)</f>
        <v>0</v>
      </c>
      <c r="BW28" s="50"/>
      <c r="BX28" s="50"/>
      <c r="BZ28" s="106"/>
      <c r="CB28" s="50"/>
      <c r="CC28" s="50"/>
      <c r="CD28" s="60" t="b">
        <f>IF(BZ46=27,20)</f>
        <v>0</v>
      </c>
      <c r="CE28" s="50"/>
      <c r="CF28" s="101"/>
      <c r="CG28" s="101"/>
      <c r="CH28" s="101"/>
      <c r="CI28" s="101"/>
      <c r="CJ28" s="101"/>
      <c r="CK28" s="101"/>
      <c r="CL28" s="101"/>
      <c r="CM28" s="101"/>
      <c r="CN28" s="101"/>
    </row>
    <row r="29" spans="1:119" ht="21" hidden="1" thickBot="1" x14ac:dyDescent="0.25">
      <c r="G29" s="890"/>
      <c r="H29" s="22"/>
      <c r="I29" s="22"/>
      <c r="J29" s="816"/>
      <c r="K29" s="816" t="s">
        <v>177</v>
      </c>
      <c r="L29" s="816" t="s">
        <v>178</v>
      </c>
      <c r="M29" s="887"/>
      <c r="N29" s="22"/>
      <c r="O29" s="883"/>
      <c r="P29" s="77"/>
      <c r="Q29" s="77"/>
      <c r="R29" s="77"/>
      <c r="S29" s="77"/>
      <c r="T29" s="77"/>
      <c r="U29" s="77"/>
      <c r="AV29" s="855"/>
      <c r="AW29" s="47"/>
      <c r="AX29" s="931"/>
      <c r="AY29" s="100"/>
      <c r="AZ29" s="101"/>
      <c r="BA29" s="101"/>
      <c r="BB29" s="101"/>
      <c r="BC29" s="101"/>
      <c r="BD29" s="101"/>
      <c r="BE29" s="101"/>
      <c r="BF29" s="101"/>
      <c r="BG29" s="101"/>
      <c r="BH29" s="102"/>
      <c r="BI29" s="102"/>
      <c r="BJ29" s="105">
        <v>15</v>
      </c>
      <c r="BK29" s="103"/>
      <c r="BL29" s="103"/>
      <c r="BM29" s="103"/>
      <c r="BN29" s="103"/>
      <c r="BO29" s="103"/>
      <c r="BP29" s="103"/>
      <c r="BQ29" s="103"/>
      <c r="BR29" s="17"/>
      <c r="BS29" s="50"/>
      <c r="BT29" s="68" t="b">
        <f>IF(BY46=26,10)</f>
        <v>0</v>
      </c>
      <c r="BU29" s="104"/>
      <c r="BV29" s="50"/>
      <c r="BX29" s="106"/>
      <c r="BY29" s="106"/>
      <c r="BZ29" s="106"/>
      <c r="CB29" s="50"/>
      <c r="CC29" s="50"/>
      <c r="CD29" s="60" t="b">
        <f>IF(BY46=26,20)</f>
        <v>0</v>
      </c>
      <c r="CE29" s="50"/>
      <c r="CF29" s="101"/>
      <c r="CG29" s="101"/>
      <c r="CH29" s="101"/>
      <c r="CI29" s="101"/>
      <c r="CJ29" s="101"/>
      <c r="CK29" s="101"/>
      <c r="CL29" s="101"/>
      <c r="CM29" s="101"/>
      <c r="CN29" s="101"/>
    </row>
    <row r="30" spans="1:119" ht="21" hidden="1" thickBot="1" x14ac:dyDescent="0.25">
      <c r="G30" s="826"/>
      <c r="H30" s="368"/>
      <c r="I30" s="22"/>
      <c r="J30" s="818"/>
      <c r="K30" s="818">
        <f>((+H8-H23)/H8*AZ14)</f>
        <v>74.656156407452244</v>
      </c>
      <c r="L30" s="818">
        <f>(H23/H8*AZ14)</f>
        <v>-22.256156407452249</v>
      </c>
      <c r="M30" s="816" t="s">
        <v>172</v>
      </c>
      <c r="N30" s="22"/>
      <c r="O30" s="883"/>
      <c r="P30" s="77"/>
      <c r="Q30" s="77"/>
      <c r="R30" s="77"/>
      <c r="S30" s="77"/>
      <c r="T30" s="77"/>
      <c r="U30" s="77"/>
      <c r="AV30" s="855"/>
      <c r="AW30" s="47"/>
      <c r="AX30" s="931"/>
      <c r="AY30" s="100"/>
      <c r="AZ30" s="101"/>
      <c r="BA30" s="101"/>
      <c r="BB30" s="101"/>
      <c r="BC30" s="101"/>
      <c r="BD30" s="101"/>
      <c r="BE30" s="101"/>
      <c r="BF30" s="101"/>
      <c r="BG30" s="101"/>
      <c r="BH30" s="102"/>
      <c r="BI30" s="102"/>
      <c r="BJ30" s="105">
        <v>14</v>
      </c>
      <c r="BK30" s="103"/>
      <c r="BL30" s="103"/>
      <c r="BM30" s="103"/>
      <c r="BN30" s="103"/>
      <c r="BO30" s="103"/>
      <c r="BP30" s="103"/>
      <c r="BQ30" s="103"/>
      <c r="BR30" s="68" t="b">
        <f>IF(BX46=25,8)</f>
        <v>0</v>
      </c>
      <c r="BS30" s="50"/>
      <c r="BT30" s="104"/>
      <c r="BV30" s="106"/>
      <c r="BW30" s="107"/>
      <c r="BX30" s="107"/>
      <c r="BY30" s="107"/>
      <c r="BZ30" s="107"/>
      <c r="CB30" s="50"/>
      <c r="CC30" s="50"/>
      <c r="CD30" s="75" t="b">
        <f>IF(BX46=25,20)</f>
        <v>0</v>
      </c>
      <c r="CE30" s="50"/>
      <c r="CF30" s="101"/>
      <c r="CG30" s="101"/>
      <c r="CH30" s="101"/>
      <c r="CI30" s="101"/>
      <c r="CJ30" s="101"/>
      <c r="CK30" s="101"/>
      <c r="CL30" s="101"/>
      <c r="CM30" s="101"/>
      <c r="CN30" s="101"/>
    </row>
    <row r="31" spans="1:119" ht="22.5" hidden="1" customHeight="1" thickBot="1" x14ac:dyDescent="0.25">
      <c r="G31" s="826"/>
      <c r="H31" s="368"/>
      <c r="I31" s="22"/>
      <c r="J31" s="820"/>
      <c r="K31" s="820">
        <f>ABS($H$1/K30)</f>
        <v>77.689507190073329</v>
      </c>
      <c r="L31" s="820">
        <f>ABS($H$1/L30)</f>
        <v>260.60205067834306</v>
      </c>
      <c r="M31" s="821" t="s">
        <v>173</v>
      </c>
      <c r="N31" s="22"/>
      <c r="O31" s="883"/>
      <c r="P31" s="77"/>
      <c r="Q31" s="77"/>
      <c r="R31" s="77"/>
      <c r="S31" s="77"/>
      <c r="T31" s="77"/>
      <c r="U31" s="77"/>
      <c r="AV31" s="855"/>
      <c r="AW31" s="47"/>
      <c r="AX31" s="932"/>
      <c r="AY31" s="100"/>
      <c r="AZ31" s="101"/>
      <c r="BA31" s="101"/>
      <c r="BB31" s="101"/>
      <c r="BC31" s="101"/>
      <c r="BD31" s="101"/>
      <c r="BE31" s="101"/>
      <c r="BF31" s="101"/>
      <c r="BG31" s="101"/>
      <c r="BJ31" s="105">
        <v>13</v>
      </c>
      <c r="BK31" s="101"/>
      <c r="BL31" s="100"/>
      <c r="BM31" s="100"/>
      <c r="BN31" s="100"/>
      <c r="BO31" s="100"/>
      <c r="BP31" s="68" t="b">
        <f>IF(BW46=24,6)</f>
        <v>0</v>
      </c>
      <c r="BQ31" s="100"/>
      <c r="BR31" s="100"/>
      <c r="BT31" s="108"/>
      <c r="BU31" s="109"/>
      <c r="BV31" s="73"/>
      <c r="BW31" s="109"/>
      <c r="BX31" s="73"/>
      <c r="BY31" s="73"/>
      <c r="BZ31" s="72"/>
      <c r="CB31" s="40"/>
      <c r="CC31" s="40"/>
      <c r="CD31" s="75" t="b">
        <f>IF(BW46=24,20)</f>
        <v>0</v>
      </c>
      <c r="CE31" s="40"/>
      <c r="CF31" s="40"/>
      <c r="CG31" s="40"/>
      <c r="CH31" s="40"/>
      <c r="CI31" s="40"/>
      <c r="CJ31" s="40"/>
      <c r="CK31" s="40"/>
      <c r="CL31" s="40"/>
      <c r="CM31" s="40"/>
    </row>
    <row r="32" spans="1:119" ht="22.5" hidden="1" customHeight="1" thickBot="1" x14ac:dyDescent="0.25">
      <c r="G32" s="826"/>
      <c r="H32" s="368"/>
      <c r="I32" s="22"/>
      <c r="J32" s="944"/>
      <c r="K32" s="944"/>
      <c r="L32" s="944">
        <f>ABS($E$11/AZ14)*2</f>
        <v>164.12213740458014</v>
      </c>
      <c r="M32" s="942" t="s">
        <v>226</v>
      </c>
      <c r="N32" s="946" t="s">
        <v>229</v>
      </c>
      <c r="O32" s="883"/>
      <c r="P32" s="77"/>
      <c r="Q32" s="77"/>
      <c r="R32" s="77"/>
      <c r="S32" s="77"/>
      <c r="T32" s="77"/>
      <c r="U32" s="77"/>
      <c r="AV32" s="855"/>
      <c r="AW32" s="47"/>
      <c r="AX32" s="932"/>
      <c r="AY32" s="100"/>
      <c r="AZ32" s="100"/>
      <c r="BA32" s="101"/>
      <c r="BB32" s="100"/>
      <c r="BC32" s="100"/>
      <c r="BD32" s="100"/>
      <c r="BJ32" s="105">
        <v>12</v>
      </c>
      <c r="BK32" s="101"/>
      <c r="BL32" s="100"/>
      <c r="BM32" s="100"/>
      <c r="BN32" s="68" t="b">
        <f>IF(BV46=23,4)</f>
        <v>0</v>
      </c>
      <c r="BO32" s="100"/>
      <c r="BP32" s="100"/>
      <c r="BR32" s="108"/>
      <c r="BS32" s="108"/>
      <c r="BT32" s="69"/>
      <c r="BU32" s="108"/>
      <c r="BV32" s="108"/>
      <c r="BW32" s="108"/>
      <c r="BX32" s="69"/>
      <c r="BY32" s="69"/>
      <c r="BZ32" s="64"/>
      <c r="CB32" s="40"/>
      <c r="CC32" s="40"/>
      <c r="CD32" s="60" t="b">
        <f>IF(BV46=23,20)</f>
        <v>0</v>
      </c>
      <c r="CE32" s="40"/>
      <c r="CF32" s="40"/>
      <c r="CG32" s="40"/>
      <c r="CH32" s="40"/>
      <c r="CI32" s="40"/>
      <c r="CJ32" s="40"/>
      <c r="CK32" s="40"/>
      <c r="CL32" s="40"/>
      <c r="CM32" s="40"/>
    </row>
    <row r="33" spans="7:92" ht="21" hidden="1" thickBot="1" x14ac:dyDescent="0.25">
      <c r="G33" s="826"/>
      <c r="H33" s="368"/>
      <c r="I33" s="22"/>
      <c r="J33" s="22"/>
      <c r="K33" s="22"/>
      <c r="L33" s="22"/>
      <c r="M33" s="22"/>
      <c r="N33" s="22"/>
      <c r="O33" s="883"/>
      <c r="P33" s="77"/>
      <c r="Q33" s="77"/>
      <c r="R33" s="77"/>
      <c r="S33" s="77"/>
      <c r="T33" s="77"/>
      <c r="U33" s="77"/>
      <c r="AV33" s="855"/>
      <c r="AW33" s="47"/>
      <c r="AX33" s="932"/>
      <c r="AY33" s="100"/>
      <c r="AZ33" s="100"/>
      <c r="BA33" s="101"/>
      <c r="BB33" s="100"/>
      <c r="BC33" s="100"/>
      <c r="BD33" s="100"/>
      <c r="BJ33" s="105">
        <v>11</v>
      </c>
      <c r="BL33" s="68" t="b">
        <f>IF(BU46=22,2)</f>
        <v>0</v>
      </c>
      <c r="BM33" s="100"/>
      <c r="BN33" s="100"/>
      <c r="BP33" s="108"/>
      <c r="BQ33" s="108"/>
      <c r="BR33" s="69"/>
      <c r="BS33" s="108"/>
      <c r="BT33" s="69"/>
      <c r="BU33" s="108"/>
      <c r="BV33" s="69"/>
      <c r="BW33" s="108"/>
      <c r="BX33" s="69"/>
      <c r="BY33" s="69"/>
      <c r="BZ33" s="64"/>
      <c r="CB33" s="40"/>
      <c r="CC33" s="40"/>
      <c r="CD33" s="60" t="b">
        <f>IF(BU46=22,20)</f>
        <v>0</v>
      </c>
      <c r="CE33" s="40"/>
      <c r="CF33" s="40"/>
      <c r="CG33" s="40"/>
      <c r="CH33" s="40"/>
      <c r="CI33" s="40"/>
      <c r="CJ33" s="40"/>
      <c r="CK33" s="40"/>
      <c r="CL33" s="40"/>
      <c r="CM33" s="40"/>
    </row>
    <row r="34" spans="7:92" ht="21" hidden="1" thickBot="1" x14ac:dyDescent="0.25">
      <c r="G34" s="826"/>
      <c r="H34" s="368"/>
      <c r="I34" s="814">
        <v>61</v>
      </c>
      <c r="J34" s="937" t="s">
        <v>182</v>
      </c>
      <c r="K34" s="938"/>
      <c r="L34" s="938"/>
      <c r="M34" s="938"/>
      <c r="N34" s="22"/>
      <c r="O34" s="883"/>
      <c r="P34" s="77"/>
      <c r="Q34" s="77"/>
      <c r="R34" s="77"/>
      <c r="S34" s="77"/>
      <c r="T34" s="77"/>
      <c r="U34" s="77"/>
      <c r="AV34" s="855"/>
      <c r="AW34" s="47"/>
      <c r="AX34" s="932"/>
      <c r="AY34" s="100"/>
      <c r="AZ34" s="100"/>
      <c r="BA34" s="101"/>
      <c r="BB34" s="100"/>
      <c r="BC34" s="100"/>
      <c r="BD34" s="100"/>
      <c r="BJ34" s="105">
        <v>10</v>
      </c>
      <c r="BK34" s="68" t="b">
        <f>IF(BT46=21,1)</f>
        <v>0</v>
      </c>
      <c r="BL34" s="100"/>
      <c r="BN34" s="108"/>
      <c r="BO34" s="108"/>
      <c r="BP34" s="69"/>
      <c r="BQ34" s="69"/>
      <c r="BR34" s="69"/>
      <c r="BS34" s="108"/>
      <c r="BT34" s="108"/>
      <c r="BU34" s="108"/>
      <c r="BV34" s="69"/>
      <c r="BW34" s="108"/>
      <c r="BX34" s="69"/>
      <c r="BY34" s="69"/>
      <c r="BZ34" s="64"/>
      <c r="CB34" s="40"/>
      <c r="CC34" s="60" t="b">
        <f>IF(BT46=21,20)</f>
        <v>0</v>
      </c>
      <c r="CD34" s="40"/>
      <c r="CE34" s="40"/>
      <c r="CF34" s="40"/>
      <c r="CG34" s="40"/>
      <c r="CH34" s="40"/>
      <c r="CI34" s="40"/>
      <c r="CJ34" s="40"/>
      <c r="CK34" s="40"/>
      <c r="CL34" s="40"/>
      <c r="CM34" s="40"/>
    </row>
    <row r="35" spans="7:92" ht="21" hidden="1" thickBot="1" x14ac:dyDescent="0.25">
      <c r="G35" s="826"/>
      <c r="H35" s="368"/>
      <c r="I35" s="22"/>
      <c r="J35" s="816" t="s">
        <v>169</v>
      </c>
      <c r="K35" s="816" t="s">
        <v>170</v>
      </c>
      <c r="L35" s="816"/>
      <c r="M35" s="887"/>
      <c r="N35" s="22"/>
      <c r="O35" s="883"/>
      <c r="P35" s="77"/>
      <c r="Q35" s="77"/>
      <c r="R35" s="77"/>
      <c r="S35" s="77"/>
      <c r="T35" s="77"/>
      <c r="U35" s="77"/>
      <c r="AV35" s="855"/>
      <c r="AW35" s="47"/>
      <c r="AX35" s="932"/>
      <c r="AY35" s="100"/>
      <c r="AZ35" s="100"/>
      <c r="BA35" s="101"/>
      <c r="BB35" s="100"/>
      <c r="BC35" s="100"/>
      <c r="BD35" s="100"/>
      <c r="BJ35" s="105">
        <v>9</v>
      </c>
      <c r="BK35" s="68">
        <f>IF(BS46=20,1)</f>
        <v>1</v>
      </c>
      <c r="BL35" s="108"/>
      <c r="BM35" s="108"/>
      <c r="BN35" s="69"/>
      <c r="BO35" s="108"/>
      <c r="BP35" s="108"/>
      <c r="BQ35" s="108"/>
      <c r="BR35" s="108"/>
      <c r="BS35" s="108"/>
      <c r="BT35" s="108"/>
      <c r="BU35" s="108"/>
      <c r="BV35" s="108"/>
      <c r="BW35" s="108"/>
      <c r="BX35" s="69"/>
      <c r="BY35" s="69"/>
      <c r="BZ35" s="64"/>
      <c r="CA35" s="60">
        <f>IF(BS46=20,17)</f>
        <v>17</v>
      </c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</row>
    <row r="36" spans="7:92" ht="21" hidden="1" thickBot="1" x14ac:dyDescent="0.25">
      <c r="G36" s="826"/>
      <c r="H36" s="368"/>
      <c r="I36" s="22"/>
      <c r="J36" s="818">
        <f>+H16/H8*AZ14</f>
        <v>-12.677176925881083</v>
      </c>
      <c r="K36" s="818">
        <f>((H8-H16)/H8)*AZ14</f>
        <v>65.077176925881076</v>
      </c>
      <c r="L36" s="818"/>
      <c r="M36" s="816" t="s">
        <v>172</v>
      </c>
      <c r="N36" s="22"/>
      <c r="O36" s="883"/>
      <c r="P36" s="77"/>
      <c r="Q36" s="77"/>
      <c r="R36" s="77"/>
      <c r="S36" s="77"/>
      <c r="T36" s="77"/>
      <c r="U36" s="77"/>
      <c r="AV36" s="855"/>
      <c r="AW36" s="47"/>
      <c r="AX36" s="932"/>
      <c r="AY36" s="100"/>
      <c r="AZ36" s="100"/>
      <c r="BA36" s="101"/>
      <c r="BB36" s="100"/>
      <c r="BC36" s="100"/>
      <c r="BD36" s="100"/>
      <c r="BJ36" s="105">
        <v>8</v>
      </c>
      <c r="BK36" s="71" t="b">
        <f>IF(BR46=19,1)</f>
        <v>0</v>
      </c>
      <c r="BL36" s="73"/>
      <c r="BM36" s="109"/>
      <c r="BN36" s="109"/>
      <c r="BO36" s="109"/>
      <c r="BP36" s="109"/>
      <c r="BQ36" s="109"/>
      <c r="BR36" s="109"/>
      <c r="BS36" s="109"/>
      <c r="BT36" s="109"/>
      <c r="BU36" s="109"/>
      <c r="BV36" s="109"/>
      <c r="BW36" s="109"/>
      <c r="BX36" s="73"/>
      <c r="BY36" s="75" t="b">
        <f>IF(BR46=19,15)</f>
        <v>0</v>
      </c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</row>
    <row r="37" spans="7:92" ht="21" hidden="1" thickBot="1" x14ac:dyDescent="0.25">
      <c r="G37" s="826"/>
      <c r="H37" s="368"/>
      <c r="I37" s="22"/>
      <c r="J37" s="820">
        <f>ABS($H$1/J36)</f>
        <v>457.51511033651457</v>
      </c>
      <c r="K37" s="820">
        <f>ABS($H$1/K36)</f>
        <v>89.124947853928035</v>
      </c>
      <c r="L37" s="820"/>
      <c r="M37" s="821" t="s">
        <v>173</v>
      </c>
      <c r="N37" s="22"/>
      <c r="O37" s="883"/>
      <c r="P37" s="77"/>
      <c r="Q37" s="77"/>
      <c r="R37" s="77"/>
      <c r="S37" s="77"/>
      <c r="T37" s="77"/>
      <c r="U37" s="77"/>
      <c r="AV37" s="855"/>
      <c r="AW37" s="47"/>
      <c r="AX37" s="932"/>
      <c r="AY37" s="100"/>
      <c r="AZ37" s="100"/>
      <c r="BA37" s="101"/>
      <c r="BB37" s="100"/>
      <c r="BC37" s="100"/>
      <c r="BD37" s="100"/>
      <c r="BJ37" s="105">
        <v>7</v>
      </c>
      <c r="BK37" s="71" t="b">
        <f>IF(BQ46=18,1)</f>
        <v>0</v>
      </c>
      <c r="BL37" s="109"/>
      <c r="BM37" s="109"/>
      <c r="BN37" s="109"/>
      <c r="BO37" s="109"/>
      <c r="BP37" s="109"/>
      <c r="BQ37" s="109"/>
      <c r="BR37" s="109"/>
      <c r="BS37" s="109"/>
      <c r="BT37" s="109"/>
      <c r="BU37" s="109"/>
      <c r="BV37" s="109"/>
      <c r="BW37" s="75" t="b">
        <f>IF(BQ46=18,13)</f>
        <v>0</v>
      </c>
      <c r="BX37" s="101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</row>
    <row r="38" spans="7:92" ht="21" hidden="1" thickBot="1" x14ac:dyDescent="0.25">
      <c r="G38" s="826"/>
      <c r="H38" s="368"/>
      <c r="I38" s="22"/>
      <c r="J38" s="944">
        <f>ABS($E$11/AZ14)*2</f>
        <v>164.12213740458014</v>
      </c>
      <c r="K38" s="944"/>
      <c r="L38" s="944"/>
      <c r="M38" s="942" t="s">
        <v>226</v>
      </c>
      <c r="N38" s="946" t="s">
        <v>229</v>
      </c>
      <c r="O38" s="883"/>
      <c r="P38" s="77"/>
      <c r="Q38" s="77"/>
      <c r="R38" s="77"/>
      <c r="S38" s="77"/>
      <c r="T38" s="77"/>
      <c r="U38" s="77"/>
      <c r="AV38" s="855"/>
      <c r="AW38" s="47"/>
      <c r="AX38" s="932"/>
      <c r="AY38" s="100"/>
      <c r="AZ38" s="100"/>
      <c r="BA38" s="101"/>
      <c r="BB38" s="100"/>
      <c r="BC38" s="100"/>
      <c r="BD38" s="100"/>
      <c r="BJ38" s="105">
        <v>6</v>
      </c>
      <c r="BK38" s="71" t="b">
        <f>IF(BP46=17,1)</f>
        <v>0</v>
      </c>
      <c r="BL38" s="109"/>
      <c r="BM38" s="109"/>
      <c r="BN38" s="109"/>
      <c r="BO38" s="109"/>
      <c r="BP38" s="109"/>
      <c r="BQ38" s="109"/>
      <c r="BR38" s="109"/>
      <c r="BS38" s="109"/>
      <c r="BT38" s="109"/>
      <c r="BU38" s="75" t="b">
        <f>IF(BP46=17,11)</f>
        <v>0</v>
      </c>
      <c r="BV38" s="100"/>
      <c r="BW38" s="100"/>
      <c r="BX38" s="101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</row>
    <row r="39" spans="7:92" ht="21" hidden="1" thickBot="1" x14ac:dyDescent="0.25">
      <c r="G39" s="890"/>
      <c r="H39" s="22"/>
      <c r="I39" s="22"/>
      <c r="J39" s="22"/>
      <c r="K39" s="22"/>
      <c r="L39" s="22"/>
      <c r="M39" s="22"/>
      <c r="N39" s="22"/>
      <c r="O39" s="883"/>
      <c r="P39" s="77"/>
      <c r="Q39" s="77"/>
      <c r="R39" s="77"/>
      <c r="S39" s="77"/>
      <c r="T39" s="77"/>
      <c r="U39" s="77"/>
      <c r="AV39" s="855"/>
      <c r="AW39" s="47"/>
      <c r="AX39" s="932"/>
      <c r="AY39" s="100"/>
      <c r="AZ39" s="100"/>
      <c r="BA39" s="101"/>
      <c r="BB39" s="100"/>
      <c r="BC39" s="100"/>
      <c r="BD39" s="100"/>
      <c r="BJ39" s="105">
        <v>5</v>
      </c>
      <c r="BK39" s="68" t="b">
        <f>IF(BO46=16,1)</f>
        <v>0</v>
      </c>
      <c r="BL39" s="108"/>
      <c r="BM39" s="108"/>
      <c r="BN39" s="69"/>
      <c r="BO39" s="108"/>
      <c r="BP39" s="69"/>
      <c r="BQ39" s="108"/>
      <c r="BR39" s="108"/>
      <c r="BS39" s="60" t="b">
        <f>IF(BO46=16,9)</f>
        <v>0</v>
      </c>
      <c r="BT39" s="100"/>
      <c r="BU39" s="100"/>
      <c r="BV39" s="100"/>
      <c r="BW39" s="100"/>
      <c r="BX39" s="101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</row>
    <row r="40" spans="7:92" ht="24" hidden="1" thickBot="1" x14ac:dyDescent="0.3">
      <c r="G40" s="890"/>
      <c r="H40" s="827" t="s">
        <v>183</v>
      </c>
      <c r="I40" s="814">
        <v>62</v>
      </c>
      <c r="J40" s="937" t="s">
        <v>184</v>
      </c>
      <c r="K40" s="938"/>
      <c r="L40" s="938"/>
      <c r="M40" s="938"/>
      <c r="N40" s="22"/>
      <c r="O40" s="883"/>
      <c r="P40" s="77"/>
      <c r="Q40" s="77"/>
      <c r="R40" s="77"/>
      <c r="S40" s="77"/>
      <c r="T40" s="77"/>
      <c r="U40" s="77"/>
      <c r="AV40" s="855"/>
      <c r="AW40" s="47"/>
      <c r="AX40" s="932"/>
      <c r="AY40" s="100"/>
      <c r="AZ40" s="100"/>
      <c r="BA40" s="101"/>
      <c r="BB40" s="100"/>
      <c r="BC40" s="100"/>
      <c r="BD40" s="100"/>
      <c r="BJ40" s="105">
        <v>4</v>
      </c>
      <c r="BK40" s="68" t="b">
        <f>IF(BN46=15,1)</f>
        <v>0</v>
      </c>
      <c r="BL40" s="69"/>
      <c r="BM40" s="69"/>
      <c r="BN40" s="108"/>
      <c r="BO40" s="69"/>
      <c r="BP40" s="69"/>
      <c r="BQ40" s="60" t="b">
        <f>IF(BN46=15,7)</f>
        <v>0</v>
      </c>
      <c r="BR40" s="100"/>
      <c r="BS40" s="100"/>
      <c r="BT40" s="100"/>
      <c r="BU40" s="100"/>
      <c r="BV40" s="100"/>
      <c r="BW40" s="100"/>
      <c r="BX40" s="101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</row>
    <row r="41" spans="7:92" ht="21" hidden="1" thickBot="1" x14ac:dyDescent="0.25">
      <c r="G41" s="890"/>
      <c r="H41" s="828" t="s">
        <v>185</v>
      </c>
      <c r="I41" s="22"/>
      <c r="J41" s="816" t="s">
        <v>169</v>
      </c>
      <c r="K41" s="816" t="s">
        <v>170</v>
      </c>
      <c r="L41" s="817" t="s">
        <v>186</v>
      </c>
      <c r="M41" s="887"/>
      <c r="N41" s="22"/>
      <c r="O41" s="883"/>
      <c r="P41" s="77"/>
      <c r="Q41" s="77"/>
      <c r="R41" s="77"/>
      <c r="S41" s="77"/>
      <c r="T41" s="77"/>
      <c r="U41" s="77"/>
      <c r="AV41" s="855"/>
      <c r="AW41" s="47"/>
      <c r="AX41" s="932"/>
      <c r="AY41" s="100"/>
      <c r="AZ41" s="100"/>
      <c r="BA41" s="101"/>
      <c r="BB41" s="100"/>
      <c r="BC41" s="100"/>
      <c r="BD41" s="100"/>
      <c r="BJ41" s="105">
        <v>3</v>
      </c>
      <c r="BK41" s="71" t="b">
        <f>IF(BM46=14,1)</f>
        <v>0</v>
      </c>
      <c r="BL41" s="109"/>
      <c r="BM41" s="109"/>
      <c r="BN41" s="109"/>
      <c r="BO41" s="75" t="b">
        <f>IF(BM46=14,5)</f>
        <v>0</v>
      </c>
      <c r="BP41" s="100"/>
      <c r="BQ41" s="100"/>
      <c r="BR41" s="100"/>
      <c r="BS41" s="100"/>
      <c r="BT41" s="100"/>
      <c r="BU41" s="100"/>
      <c r="BV41" s="100"/>
      <c r="BW41" s="100"/>
      <c r="BX41" s="101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</row>
    <row r="42" spans="7:92" ht="24" hidden="1" thickBot="1" x14ac:dyDescent="0.3">
      <c r="G42" s="829" t="s">
        <v>187</v>
      </c>
      <c r="H42" s="948">
        <f>SUM(AZ100:BK100)</f>
        <v>12</v>
      </c>
      <c r="I42" s="22"/>
      <c r="J42" s="818">
        <f>+H43/H8*AZ14/2</f>
        <v>30.566666666666666</v>
      </c>
      <c r="K42" s="818">
        <f>((H8-H43)/H8)*AZ14/2</f>
        <v>-4.3666666666666663</v>
      </c>
      <c r="L42" s="818">
        <f>+AZ14/2</f>
        <v>26.2</v>
      </c>
      <c r="M42" s="816" t="s">
        <v>172</v>
      </c>
      <c r="N42" s="22"/>
      <c r="O42" s="883"/>
      <c r="P42" s="77"/>
      <c r="Q42" s="77"/>
      <c r="R42" s="77"/>
      <c r="S42" s="77"/>
      <c r="T42" s="77"/>
      <c r="U42" s="77"/>
      <c r="AV42" s="855"/>
      <c r="AW42" s="47"/>
      <c r="AX42" s="932"/>
      <c r="AY42" s="100"/>
      <c r="AZ42" s="100"/>
      <c r="BA42" s="101"/>
      <c r="BB42" s="100"/>
      <c r="BC42" s="100"/>
      <c r="BD42" s="100"/>
      <c r="BJ42" s="105">
        <v>2</v>
      </c>
      <c r="BK42" s="71" t="b">
        <f>IF(BL46=13,1)</f>
        <v>0</v>
      </c>
      <c r="BL42" s="109"/>
      <c r="BM42" s="75" t="b">
        <f>IF(BL46=13,3)</f>
        <v>0</v>
      </c>
      <c r="BN42" s="100"/>
      <c r="BO42" s="100"/>
      <c r="BP42" s="100"/>
      <c r="BQ42" s="100"/>
      <c r="BR42" s="100"/>
      <c r="BS42" s="100"/>
      <c r="BT42" s="100"/>
      <c r="BU42" s="100"/>
      <c r="BV42" s="100"/>
      <c r="BW42" s="100"/>
      <c r="BX42" s="101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</row>
    <row r="43" spans="7:92" ht="31.5" hidden="1" customHeight="1" thickBot="1" x14ac:dyDescent="0.25">
      <c r="G43" s="813" t="s">
        <v>215</v>
      </c>
      <c r="H43" s="819">
        <f>$H$5-((H42-1)*$E$2)</f>
        <v>196</v>
      </c>
      <c r="I43" s="22"/>
      <c r="J43" s="820">
        <f>ABS($H$1/J42)</f>
        <v>189.74918211559432</v>
      </c>
      <c r="K43" s="820">
        <f>ABS($H$1/K42)</f>
        <v>1328.2442748091605</v>
      </c>
      <c r="L43" s="820">
        <f>ABS($H$1/L42)</f>
        <v>221.37404580152673</v>
      </c>
      <c r="M43" s="821" t="s">
        <v>173</v>
      </c>
      <c r="N43" s="22"/>
      <c r="O43" s="883"/>
      <c r="P43" s="77"/>
      <c r="Q43" s="77"/>
      <c r="R43" s="77"/>
      <c r="S43" s="77"/>
      <c r="T43" s="77"/>
      <c r="U43" s="77"/>
      <c r="AV43" s="855"/>
      <c r="AW43" s="47"/>
      <c r="AX43" s="932"/>
      <c r="AY43" s="100"/>
      <c r="AZ43" s="100"/>
      <c r="BA43" s="101"/>
      <c r="BB43" s="100"/>
      <c r="BC43" s="100"/>
      <c r="BD43" s="100"/>
      <c r="BE43" s="38"/>
      <c r="BF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101"/>
      <c r="BV43" s="62"/>
      <c r="BW43" s="62"/>
      <c r="BX43" s="62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</row>
    <row r="44" spans="7:92" ht="43.5" customHeight="1" thickBot="1" x14ac:dyDescent="0.3">
      <c r="G44" s="826"/>
      <c r="H44" s="368"/>
      <c r="I44" s="22"/>
      <c r="J44" s="944"/>
      <c r="K44" s="944"/>
      <c r="L44" s="944">
        <f>ABS($E$11/AZ14)*2</f>
        <v>164.12213740458014</v>
      </c>
      <c r="M44" s="942" t="s">
        <v>226</v>
      </c>
      <c r="N44" s="946" t="s">
        <v>229</v>
      </c>
      <c r="O44" s="883"/>
      <c r="P44" s="77"/>
      <c r="Q44" s="77"/>
      <c r="R44" s="77"/>
      <c r="S44" s="77"/>
      <c r="T44" s="77"/>
      <c r="U44" s="77"/>
      <c r="AU44" s="81"/>
      <c r="AV44" s="856"/>
      <c r="AW44" s="111"/>
      <c r="AX44" s="936" t="s">
        <v>110</v>
      </c>
      <c r="AY44" s="874" t="s">
        <v>115</v>
      </c>
      <c r="AZ44" s="112"/>
      <c r="BA44" s="113"/>
      <c r="BB44" s="113"/>
      <c r="BC44" s="113"/>
      <c r="BD44" s="113"/>
      <c r="BE44" s="113"/>
      <c r="BF44" s="113"/>
      <c r="BG44" s="113"/>
      <c r="BH44" s="113"/>
      <c r="BI44" s="113"/>
      <c r="BJ44" s="113"/>
      <c r="BK44" s="450">
        <f t="shared" ref="BK44:BZ44" si="0">SUM(BK25:BK43)</f>
        <v>1</v>
      </c>
      <c r="BL44" s="451">
        <f t="shared" si="0"/>
        <v>0</v>
      </c>
      <c r="BM44" s="451">
        <f t="shared" si="0"/>
        <v>0</v>
      </c>
      <c r="BN44" s="451">
        <f t="shared" si="0"/>
        <v>0</v>
      </c>
      <c r="BO44" s="451">
        <f t="shared" si="0"/>
        <v>0</v>
      </c>
      <c r="BP44" s="451">
        <f t="shared" si="0"/>
        <v>0</v>
      </c>
      <c r="BQ44" s="451">
        <f t="shared" si="0"/>
        <v>0</v>
      </c>
      <c r="BR44" s="451">
        <f t="shared" si="0"/>
        <v>0</v>
      </c>
      <c r="BS44" s="451">
        <f t="shared" si="0"/>
        <v>0</v>
      </c>
      <c r="BT44" s="451">
        <f t="shared" si="0"/>
        <v>0</v>
      </c>
      <c r="BU44" s="451">
        <f t="shared" si="0"/>
        <v>0</v>
      </c>
      <c r="BV44" s="451">
        <f t="shared" si="0"/>
        <v>0</v>
      </c>
      <c r="BW44" s="451">
        <f t="shared" si="0"/>
        <v>0</v>
      </c>
      <c r="BX44" s="451">
        <f t="shared" si="0"/>
        <v>0</v>
      </c>
      <c r="BY44" s="451">
        <f t="shared" si="0"/>
        <v>0</v>
      </c>
      <c r="BZ44" s="451">
        <f t="shared" si="0"/>
        <v>0</v>
      </c>
      <c r="CA44" s="451">
        <f>SUM(CA25:CA43)</f>
        <v>17</v>
      </c>
      <c r="CB44" s="451">
        <f>SUM(CB25:CB43)</f>
        <v>0</v>
      </c>
      <c r="CC44" s="451">
        <f>SUM(CC25:CC43)</f>
        <v>0</v>
      </c>
      <c r="CD44" s="452">
        <f>SUM(CD25:CD43)</f>
        <v>0</v>
      </c>
      <c r="CE44" s="113"/>
      <c r="CF44" s="113"/>
      <c r="CG44" s="113"/>
      <c r="CH44" s="114"/>
      <c r="CI44" s="114"/>
      <c r="CJ44" s="114"/>
      <c r="CK44" s="114"/>
      <c r="CL44" s="114"/>
      <c r="CM44" s="114"/>
      <c r="CN44" s="115"/>
    </row>
    <row r="45" spans="7:92" ht="40.5" customHeight="1" thickBot="1" x14ac:dyDescent="0.3">
      <c r="G45" s="890"/>
      <c r="H45" s="830" t="s">
        <v>188</v>
      </c>
      <c r="I45" s="22"/>
      <c r="J45" s="22"/>
      <c r="K45" s="22"/>
      <c r="L45" s="22"/>
      <c r="M45" s="22"/>
      <c r="N45" s="22"/>
      <c r="O45" s="883"/>
      <c r="P45" s="77"/>
      <c r="Q45" s="77"/>
      <c r="R45" s="77"/>
      <c r="S45" s="77"/>
      <c r="T45" s="77"/>
      <c r="U45" s="77"/>
      <c r="AU45" s="667">
        <v>4</v>
      </c>
      <c r="AV45" s="855" t="b">
        <f>AND(AX45&gt;=10,$AN$142&gt;=10,$AO$142&gt;=10)</f>
        <v>1</v>
      </c>
      <c r="AW45" s="873" t="str">
        <f>IF(AV45=TRUE,"O K","OVERLOAD")</f>
        <v>O K</v>
      </c>
      <c r="AX45" s="947">
        <f>+$E$11/(AZ14/2)</f>
        <v>164.12213740458014</v>
      </c>
      <c r="AY45" s="116"/>
      <c r="AZ45" s="62"/>
      <c r="BA45" s="63"/>
      <c r="BB45" s="62"/>
      <c r="BC45" s="62"/>
      <c r="BD45" s="62"/>
      <c r="BE45" s="63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</row>
    <row r="46" spans="7:92" ht="21" hidden="1" thickBot="1" x14ac:dyDescent="0.25">
      <c r="G46" s="895"/>
      <c r="H46" s="831" t="s">
        <v>185</v>
      </c>
      <c r="I46" s="814">
        <v>63</v>
      </c>
      <c r="J46" s="937" t="s">
        <v>189</v>
      </c>
      <c r="K46" s="938"/>
      <c r="L46" s="938"/>
      <c r="M46" s="938"/>
      <c r="N46" s="22"/>
      <c r="O46" s="883"/>
      <c r="P46" s="77"/>
      <c r="Q46" s="77"/>
      <c r="R46" s="77"/>
      <c r="S46" s="77"/>
      <c r="T46" s="77"/>
      <c r="U46" s="77"/>
      <c r="AU46" s="81"/>
      <c r="AV46" s="856"/>
      <c r="AW46" s="111"/>
      <c r="AX46" s="932"/>
      <c r="AY46" s="38"/>
      <c r="AZ46" s="117" t="b">
        <f>+BZ165</f>
        <v>0</v>
      </c>
      <c r="BA46" s="117" t="b">
        <f>+BZ166</f>
        <v>0</v>
      </c>
      <c r="BB46" s="117" t="b">
        <f>+BZ167</f>
        <v>0</v>
      </c>
      <c r="BC46" s="117" t="b">
        <f>+BZ168</f>
        <v>0</v>
      </c>
      <c r="BD46" s="117" t="b">
        <f>+BZ169</f>
        <v>0</v>
      </c>
      <c r="BE46" s="117" t="b">
        <f>+BZ170</f>
        <v>0</v>
      </c>
      <c r="BF46" s="117" t="b">
        <f>+BZ171</f>
        <v>0</v>
      </c>
      <c r="BG46" s="117" t="b">
        <f>+BZ172</f>
        <v>0</v>
      </c>
      <c r="BH46" s="117" t="b">
        <f>+BZ173</f>
        <v>0</v>
      </c>
      <c r="BI46" s="117" t="b">
        <f>+BZ174</f>
        <v>0</v>
      </c>
      <c r="BJ46" s="117" t="b">
        <f>+BZ175</f>
        <v>0</v>
      </c>
      <c r="BK46" s="117" t="b">
        <f>+BZ176</f>
        <v>0</v>
      </c>
      <c r="BL46" s="117" t="b">
        <f>+BZ177</f>
        <v>0</v>
      </c>
      <c r="BM46" s="117" t="b">
        <f>+BZ178</f>
        <v>0</v>
      </c>
      <c r="BN46" s="117" t="b">
        <f>+BZ179</f>
        <v>0</v>
      </c>
      <c r="BO46" s="117" t="b">
        <f>+BZ180</f>
        <v>0</v>
      </c>
      <c r="BP46" s="117" t="b">
        <f>+BZ181</f>
        <v>0</v>
      </c>
      <c r="BQ46" s="117" t="b">
        <f>+BZ182</f>
        <v>0</v>
      </c>
      <c r="BR46" s="117" t="b">
        <f>+BZ183</f>
        <v>0</v>
      </c>
      <c r="BS46" s="117">
        <f>+BZ184</f>
        <v>20</v>
      </c>
      <c r="BT46" s="117" t="b">
        <f>+BZ185</f>
        <v>0</v>
      </c>
      <c r="BU46" s="117" t="b">
        <f>+BZ186</f>
        <v>0</v>
      </c>
      <c r="BV46" s="117" t="b">
        <f>+BZ187</f>
        <v>0</v>
      </c>
      <c r="BW46" s="117" t="b">
        <f>+BZ188</f>
        <v>0</v>
      </c>
      <c r="BX46" s="117" t="b">
        <f>+BZ189</f>
        <v>0</v>
      </c>
      <c r="BY46" s="117" t="b">
        <f>+BZ190</f>
        <v>0</v>
      </c>
      <c r="BZ46" s="117" t="b">
        <f>+BZ191</f>
        <v>0</v>
      </c>
      <c r="CA46" s="117" t="b">
        <f>+BZ192</f>
        <v>0</v>
      </c>
      <c r="CB46" s="117" t="b">
        <f>+BZ193</f>
        <v>0</v>
      </c>
      <c r="CC46" s="117" t="b">
        <f>+BZ194</f>
        <v>0</v>
      </c>
      <c r="CD46" s="117" t="b">
        <f>+BZ195</f>
        <v>0</v>
      </c>
      <c r="CE46" s="117" t="b">
        <f>+BZ196</f>
        <v>0</v>
      </c>
      <c r="CF46" s="117" t="b">
        <f>+BZ197</f>
        <v>0</v>
      </c>
      <c r="CG46" s="117" t="b">
        <f>+BZ198</f>
        <v>0</v>
      </c>
      <c r="CH46" s="117" t="b">
        <f>+BZ199</f>
        <v>0</v>
      </c>
      <c r="CI46" s="117" t="b">
        <f>+BZ200</f>
        <v>0</v>
      </c>
      <c r="CJ46" s="117" t="b">
        <f>+BZ201</f>
        <v>0</v>
      </c>
      <c r="CK46" s="117" t="b">
        <f>+BZ202</f>
        <v>0</v>
      </c>
      <c r="CL46" s="117" t="b">
        <f>+BZ203</f>
        <v>0</v>
      </c>
      <c r="CM46" s="117" t="b">
        <f>+BZ204</f>
        <v>0</v>
      </c>
      <c r="CN46" s="117" t="b">
        <f>+BZ205</f>
        <v>0</v>
      </c>
    </row>
    <row r="47" spans="7:92" ht="23" hidden="1" x14ac:dyDescent="0.25">
      <c r="G47" s="829" t="s">
        <v>187</v>
      </c>
      <c r="H47" s="949">
        <f>SUM(CC100:CN100)</f>
        <v>0</v>
      </c>
      <c r="I47" s="22"/>
      <c r="J47" s="817" t="s">
        <v>190</v>
      </c>
      <c r="K47" s="816" t="s">
        <v>177</v>
      </c>
      <c r="L47" s="816" t="s">
        <v>178</v>
      </c>
      <c r="M47" s="887"/>
      <c r="N47" s="22"/>
      <c r="O47" s="883"/>
      <c r="P47" s="77"/>
      <c r="Q47" s="77"/>
      <c r="R47" s="77"/>
      <c r="S47" s="77"/>
      <c r="T47" s="77"/>
      <c r="U47" s="77"/>
      <c r="AU47" s="81"/>
      <c r="AV47" s="856"/>
      <c r="AW47" s="111"/>
      <c r="AX47" s="932"/>
      <c r="AY47" s="40"/>
      <c r="AZ47" s="118" t="b">
        <f>+AZ46</f>
        <v>0</v>
      </c>
      <c r="BA47" s="118" t="b">
        <f t="shared" ref="BA47:BR47" si="1">+BA46</f>
        <v>0</v>
      </c>
      <c r="BB47" s="118" t="b">
        <f t="shared" si="1"/>
        <v>0</v>
      </c>
      <c r="BC47" s="118" t="b">
        <f t="shared" si="1"/>
        <v>0</v>
      </c>
      <c r="BD47" s="118" t="b">
        <f t="shared" si="1"/>
        <v>0</v>
      </c>
      <c r="BE47" s="118" t="b">
        <f t="shared" si="1"/>
        <v>0</v>
      </c>
      <c r="BF47" s="118" t="b">
        <f>+BF46</f>
        <v>0</v>
      </c>
      <c r="BG47" s="118" t="b">
        <f t="shared" si="1"/>
        <v>0</v>
      </c>
      <c r="BH47" s="118" t="b">
        <f t="shared" si="1"/>
        <v>0</v>
      </c>
      <c r="BI47" s="118" t="b">
        <f t="shared" si="1"/>
        <v>0</v>
      </c>
      <c r="BJ47" s="118" t="b">
        <f t="shared" si="1"/>
        <v>0</v>
      </c>
      <c r="BK47" s="118" t="b">
        <f>+BK46</f>
        <v>0</v>
      </c>
      <c r="BL47" s="118" t="b">
        <f>+BL46</f>
        <v>0</v>
      </c>
      <c r="BM47" s="118" t="b">
        <f>+BM46</f>
        <v>0</v>
      </c>
      <c r="BN47" s="118" t="b">
        <f>+BN46</f>
        <v>0</v>
      </c>
      <c r="BO47" s="118" t="b">
        <f>+BO46</f>
        <v>0</v>
      </c>
      <c r="BP47" s="118" t="b">
        <f t="shared" si="1"/>
        <v>0</v>
      </c>
      <c r="BQ47" s="118" t="b">
        <f t="shared" si="1"/>
        <v>0</v>
      </c>
      <c r="BR47" s="118" t="b">
        <f t="shared" si="1"/>
        <v>0</v>
      </c>
      <c r="BS47" s="118">
        <f>+BS46</f>
        <v>20</v>
      </c>
      <c r="BT47" s="118" t="b">
        <f>+BT46</f>
        <v>0</v>
      </c>
      <c r="BU47" s="118" t="b">
        <f t="shared" ref="BU47:CN47" si="2">+BU46</f>
        <v>0</v>
      </c>
      <c r="BV47" s="118" t="b">
        <f t="shared" si="2"/>
        <v>0</v>
      </c>
      <c r="BW47" s="118" t="b">
        <f t="shared" si="2"/>
        <v>0</v>
      </c>
      <c r="BX47" s="118" t="b">
        <f t="shared" si="2"/>
        <v>0</v>
      </c>
      <c r="BY47" s="118" t="b">
        <f t="shared" si="2"/>
        <v>0</v>
      </c>
      <c r="BZ47" s="118" t="b">
        <f t="shared" si="2"/>
        <v>0</v>
      </c>
      <c r="CA47" s="118" t="b">
        <f t="shared" si="2"/>
        <v>0</v>
      </c>
      <c r="CB47" s="118" t="b">
        <f t="shared" si="2"/>
        <v>0</v>
      </c>
      <c r="CC47" s="118" t="b">
        <f t="shared" si="2"/>
        <v>0</v>
      </c>
      <c r="CD47" s="118" t="b">
        <f t="shared" si="2"/>
        <v>0</v>
      </c>
      <c r="CE47" s="118" t="b">
        <f t="shared" si="2"/>
        <v>0</v>
      </c>
      <c r="CF47" s="118" t="b">
        <f t="shared" si="2"/>
        <v>0</v>
      </c>
      <c r="CG47" s="118" t="b">
        <f t="shared" si="2"/>
        <v>0</v>
      </c>
      <c r="CH47" s="118" t="b">
        <f t="shared" si="2"/>
        <v>0</v>
      </c>
      <c r="CI47" s="118" t="b">
        <f t="shared" si="2"/>
        <v>0</v>
      </c>
      <c r="CJ47" s="118" t="b">
        <f t="shared" si="2"/>
        <v>0</v>
      </c>
      <c r="CK47" s="118" t="b">
        <f t="shared" si="2"/>
        <v>0</v>
      </c>
      <c r="CL47" s="118" t="b">
        <f t="shared" si="2"/>
        <v>0</v>
      </c>
      <c r="CM47" s="118" t="b">
        <f t="shared" si="2"/>
        <v>0</v>
      </c>
      <c r="CN47" s="118" t="b">
        <f t="shared" si="2"/>
        <v>0</v>
      </c>
    </row>
    <row r="48" spans="7:92" ht="15" customHeight="1" thickBot="1" x14ac:dyDescent="0.25">
      <c r="G48" s="813" t="s">
        <v>216</v>
      </c>
      <c r="H48" s="819">
        <f>($E$2*(H47-1))-$H$4</f>
        <v>-644</v>
      </c>
      <c r="I48" s="22"/>
      <c r="J48" s="818">
        <f>+AZ14/2</f>
        <v>26.2</v>
      </c>
      <c r="K48" s="818">
        <f>((H8-H48)/H8)*AZ14/2</f>
        <v>126.63333333333333</v>
      </c>
      <c r="L48" s="818">
        <f>+H48/H8*AZ14/2</f>
        <v>-100.43333333333334</v>
      </c>
      <c r="M48" s="816" t="s">
        <v>172</v>
      </c>
      <c r="N48" s="22"/>
      <c r="O48" s="883"/>
      <c r="P48" s="77"/>
      <c r="Q48" s="77"/>
      <c r="R48" s="77"/>
      <c r="S48" s="77"/>
      <c r="T48" s="77"/>
      <c r="U48" s="77"/>
      <c r="AU48" s="81"/>
      <c r="AV48" s="856"/>
      <c r="AW48" s="111"/>
      <c r="AX48" s="932"/>
      <c r="AY48" s="40"/>
      <c r="AZ48" s="118"/>
      <c r="BA48" s="118"/>
      <c r="BB48" s="118"/>
      <c r="BC48" s="118"/>
      <c r="BD48" s="118"/>
      <c r="BE48" s="118"/>
      <c r="BF48" s="118"/>
      <c r="BG48" s="118"/>
      <c r="BH48" s="118"/>
      <c r="BI48" s="118"/>
      <c r="BJ48" s="118"/>
      <c r="BK48" s="118"/>
      <c r="BL48" s="118"/>
      <c r="BM48" s="118"/>
      <c r="BN48" s="118"/>
      <c r="BO48" s="118"/>
      <c r="BP48" s="118"/>
      <c r="BQ48" s="118"/>
      <c r="BR48" s="118"/>
      <c r="BS48" s="118"/>
      <c r="BT48" s="118"/>
      <c r="BU48" s="118"/>
      <c r="BV48" s="118"/>
      <c r="BW48" s="118"/>
      <c r="BX48" s="118"/>
      <c r="BY48" s="118"/>
      <c r="BZ48" s="118"/>
      <c r="CA48" s="118"/>
      <c r="CB48" s="118"/>
      <c r="CC48" s="118"/>
      <c r="CD48" s="118"/>
      <c r="CE48" s="118"/>
      <c r="CF48" s="118"/>
      <c r="CG48" s="118"/>
      <c r="CH48" s="118"/>
      <c r="CI48" s="118"/>
      <c r="CJ48" s="118"/>
      <c r="CK48" s="118"/>
      <c r="CL48" s="40"/>
      <c r="CM48" s="40"/>
    </row>
    <row r="49" spans="2:115" ht="40.5" customHeight="1" thickBot="1" x14ac:dyDescent="0.3">
      <c r="G49" s="890"/>
      <c r="H49" s="22"/>
      <c r="I49" s="22"/>
      <c r="J49" s="820">
        <f>ABS($H$1/J48)</f>
        <v>221.37404580152673</v>
      </c>
      <c r="K49" s="820">
        <f>ABS($H$1/K48)</f>
        <v>45.801526717557252</v>
      </c>
      <c r="L49" s="820">
        <f>ABS($H$1/L48)</f>
        <v>57.749751078659145</v>
      </c>
      <c r="M49" s="821" t="s">
        <v>173</v>
      </c>
      <c r="N49" s="27"/>
      <c r="O49" s="832"/>
      <c r="P49" s="77"/>
      <c r="Q49" s="77"/>
      <c r="R49" s="77"/>
      <c r="S49" s="77"/>
      <c r="T49" s="77"/>
      <c r="U49" s="77"/>
      <c r="AU49" s="81"/>
      <c r="AV49" s="856"/>
      <c r="AW49" s="111"/>
      <c r="AX49" s="908" t="s">
        <v>110</v>
      </c>
      <c r="AY49" s="119" t="s">
        <v>80</v>
      </c>
      <c r="AZ49" s="446" t="str">
        <f>IF(AZ47=1,20,"")</f>
        <v/>
      </c>
      <c r="BA49" s="447" t="str">
        <f>IF(BA47=2,19,"")</f>
        <v/>
      </c>
      <c r="BB49" s="447" t="str">
        <f>IF(BB47=3,18,"")</f>
        <v/>
      </c>
      <c r="BC49" s="447" t="str">
        <f>IF(BC47=4,17,"")</f>
        <v/>
      </c>
      <c r="BD49" s="447" t="str">
        <f>IF(BD47=5,16,"")</f>
        <v/>
      </c>
      <c r="BE49" s="447" t="str">
        <f>IF(BE47=6,15,"")</f>
        <v/>
      </c>
      <c r="BF49" s="447" t="str">
        <f>IF(BF47=7,14,"")</f>
        <v/>
      </c>
      <c r="BG49" s="447" t="str">
        <f>IF(BG47=8,13,"")</f>
        <v/>
      </c>
      <c r="BH49" s="447" t="str">
        <f>IF(BH47=9,12,"")</f>
        <v/>
      </c>
      <c r="BI49" s="447" t="str">
        <f>IF(BI47=10,11,"")</f>
        <v/>
      </c>
      <c r="BJ49" s="447" t="str">
        <f>IF(BJ47=11,10,"")</f>
        <v/>
      </c>
      <c r="BK49" s="515" t="str">
        <f>IF(BK47=12,1,"")</f>
        <v/>
      </c>
      <c r="BL49" s="445" t="str">
        <f>IF(BL47=13,2,"")</f>
        <v/>
      </c>
      <c r="BM49" s="445" t="str">
        <f>IF(BM47=14,3,"")</f>
        <v/>
      </c>
      <c r="BN49" s="445" t="str">
        <f>IF(BN47=15,4,"")</f>
        <v/>
      </c>
      <c r="BO49" s="445" t="str">
        <f>IF(BO47=16,5,"")</f>
        <v/>
      </c>
      <c r="BP49" s="445" t="str">
        <f>IF(BP47=17,6,"")</f>
        <v/>
      </c>
      <c r="BQ49" s="445" t="str">
        <f>IF(BQ47=18,7,"")</f>
        <v/>
      </c>
      <c r="BR49" s="445" t="str">
        <f>IF(BR47=19,8,"")</f>
        <v/>
      </c>
      <c r="BS49" s="445">
        <f>IF(BS47=20,9,"")</f>
        <v>9</v>
      </c>
      <c r="BT49" s="445" t="str">
        <f>IF(BT47=21,10,"")</f>
        <v/>
      </c>
      <c r="BU49" s="445" t="str">
        <f>IF(BU47=22,11,"")</f>
        <v/>
      </c>
      <c r="BV49" s="445" t="str">
        <f>IF(BV47=23,12,"")</f>
        <v/>
      </c>
      <c r="BW49" s="445" t="str">
        <f>IF(BW47=24,13,"")</f>
        <v/>
      </c>
      <c r="BX49" s="445" t="str">
        <f>IF(BX47=25,14,"")</f>
        <v/>
      </c>
      <c r="BY49" s="445" t="str">
        <f>IF(BY47=26,15,"")</f>
        <v/>
      </c>
      <c r="BZ49" s="445" t="str">
        <f>IF(BZ47=27,16,"")</f>
        <v/>
      </c>
      <c r="CA49" s="445" t="str">
        <f>IF(CA47=28,17,"")</f>
        <v/>
      </c>
      <c r="CB49" s="445" t="str">
        <f>IF(CB47=29,18,"")</f>
        <v/>
      </c>
      <c r="CC49" s="445" t="str">
        <f>IF(CC47=30,19,"")</f>
        <v/>
      </c>
      <c r="CD49" s="516" t="str">
        <f>IF(CD47=31,20,"")</f>
        <v/>
      </c>
      <c r="CE49" s="448" t="str">
        <f>IF(CE47=32,11,"")</f>
        <v/>
      </c>
      <c r="CF49" s="448" t="str">
        <f>IF(CF47=33,12,"")</f>
        <v/>
      </c>
      <c r="CG49" s="448" t="str">
        <f>IF(CG47=34,13,"")</f>
        <v/>
      </c>
      <c r="CH49" s="448" t="str">
        <f>IF(CH47=35,14,"")</f>
        <v/>
      </c>
      <c r="CI49" s="448" t="str">
        <f>IF(CI47=36,15,"")</f>
        <v/>
      </c>
      <c r="CJ49" s="448" t="str">
        <f>IF(CJ47=37,16,"")</f>
        <v/>
      </c>
      <c r="CK49" s="448" t="str">
        <f>IF(CK47=38,17,"")</f>
        <v/>
      </c>
      <c r="CL49" s="448" t="str">
        <f>IF(CL47=39,18,"")</f>
        <v/>
      </c>
      <c r="CM49" s="448" t="str">
        <f>IF(CM47=40,19,"")</f>
        <v/>
      </c>
      <c r="CN49" s="449" t="str">
        <f>IF(CN47=41,20,"")</f>
        <v/>
      </c>
    </row>
    <row r="50" spans="2:115" ht="40.5" customHeight="1" thickBot="1" x14ac:dyDescent="0.3">
      <c r="G50" s="890"/>
      <c r="H50" s="22"/>
      <c r="I50" s="22"/>
      <c r="J50" s="944">
        <f>ABS($E$11/AZ14)*2</f>
        <v>164.12213740458014</v>
      </c>
      <c r="K50" s="944"/>
      <c r="L50" s="944"/>
      <c r="M50" s="942" t="s">
        <v>226</v>
      </c>
      <c r="N50" s="946" t="s">
        <v>229</v>
      </c>
      <c r="O50" s="883"/>
      <c r="P50" s="77"/>
      <c r="Q50" s="77"/>
      <c r="R50" s="77"/>
      <c r="S50" s="77"/>
      <c r="T50" s="77"/>
      <c r="U50" s="77"/>
      <c r="AU50" s="667">
        <v>5</v>
      </c>
      <c r="AV50" s="855" t="b">
        <f>AND(AX50&gt;=10,$AN$142&gt;=10,$AO$142&gt;=10)</f>
        <v>1</v>
      </c>
      <c r="AW50" s="45" t="str">
        <f>IF(AV50=TRUE,"O K","OVERLOAD")</f>
        <v>O K</v>
      </c>
      <c r="AX50" s="934">
        <f>IF(SUM(AZ49:BJ49)&gt;0,K85,0)+IF(SUM(BK49:CD49)&gt;0,L85,0)+IF(SUM(CE49:CN49)&gt;0,M85,0)</f>
        <v>82.061068702290072</v>
      </c>
      <c r="AY50" s="779" t="s">
        <v>92</v>
      </c>
      <c r="AZ50" s="780">
        <v>-10</v>
      </c>
      <c r="BA50" s="780">
        <v>-9</v>
      </c>
      <c r="BB50" s="780">
        <v>-8</v>
      </c>
      <c r="BC50" s="780">
        <v>-7</v>
      </c>
      <c r="BD50" s="780">
        <v>-6</v>
      </c>
      <c r="BE50" s="780">
        <v>-5</v>
      </c>
      <c r="BF50" s="780">
        <v>-4</v>
      </c>
      <c r="BG50" s="780">
        <v>-3</v>
      </c>
      <c r="BH50" s="780">
        <v>-2</v>
      </c>
      <c r="BI50" s="780">
        <v>-1</v>
      </c>
      <c r="BJ50" s="780">
        <v>0</v>
      </c>
      <c r="BK50" s="780">
        <v>1</v>
      </c>
      <c r="BL50" s="780">
        <v>2</v>
      </c>
      <c r="BM50" s="780">
        <v>3</v>
      </c>
      <c r="BN50" s="780">
        <v>4</v>
      </c>
      <c r="BO50" s="780">
        <v>5</v>
      </c>
      <c r="BP50" s="780">
        <v>6</v>
      </c>
      <c r="BQ50" s="780">
        <v>7</v>
      </c>
      <c r="BR50" s="780">
        <v>8</v>
      </c>
      <c r="BS50" s="780">
        <v>9</v>
      </c>
      <c r="BT50" s="780">
        <v>10</v>
      </c>
      <c r="BU50" s="780">
        <v>11</v>
      </c>
      <c r="BV50" s="780">
        <v>12</v>
      </c>
      <c r="BW50" s="780">
        <v>13</v>
      </c>
      <c r="BX50" s="780">
        <v>14</v>
      </c>
      <c r="BY50" s="780">
        <v>15</v>
      </c>
      <c r="BZ50" s="780">
        <v>16</v>
      </c>
      <c r="CA50" s="780">
        <v>17</v>
      </c>
      <c r="CB50" s="780">
        <v>18</v>
      </c>
      <c r="CC50" s="780">
        <v>19</v>
      </c>
      <c r="CD50" s="780">
        <v>20</v>
      </c>
      <c r="CE50" s="780">
        <v>21</v>
      </c>
      <c r="CF50" s="780">
        <v>22</v>
      </c>
      <c r="CG50" s="780">
        <v>23</v>
      </c>
      <c r="CH50" s="780">
        <v>24</v>
      </c>
      <c r="CI50" s="780">
        <v>25</v>
      </c>
      <c r="CJ50" s="780">
        <v>26</v>
      </c>
      <c r="CK50" s="780">
        <v>27</v>
      </c>
      <c r="CL50" s="780">
        <v>28</v>
      </c>
      <c r="CM50" s="780">
        <v>29</v>
      </c>
      <c r="CN50" s="780">
        <v>30</v>
      </c>
      <c r="CQ50" s="37"/>
      <c r="CR50" s="37"/>
      <c r="CS50" s="37"/>
      <c r="CT50" s="37"/>
      <c r="CU50" s="37"/>
      <c r="CV50" s="37"/>
      <c r="CW50" s="37"/>
      <c r="CX50" s="37"/>
      <c r="CY50" s="37"/>
      <c r="DH50" s="37"/>
      <c r="DK50" s="37"/>
    </row>
    <row r="51" spans="2:115" ht="43.5" hidden="1" customHeight="1" thickBot="1" x14ac:dyDescent="0.3">
      <c r="G51" s="890"/>
      <c r="H51" s="22"/>
      <c r="I51" s="22"/>
      <c r="J51" s="22"/>
      <c r="K51" s="22"/>
      <c r="L51" s="22"/>
      <c r="M51" s="22"/>
      <c r="N51" s="22"/>
      <c r="O51" s="883"/>
      <c r="P51" s="77"/>
      <c r="Q51" s="77"/>
      <c r="R51" s="77"/>
      <c r="S51" s="77"/>
      <c r="T51" s="77"/>
      <c r="U51" s="77"/>
      <c r="AU51" s="81"/>
      <c r="AV51" s="856"/>
      <c r="AW51" s="81"/>
      <c r="AX51" s="105"/>
      <c r="AY51" s="40"/>
      <c r="AZ51" s="120">
        <v>1</v>
      </c>
      <c r="BA51" s="120">
        <v>2</v>
      </c>
      <c r="BB51" s="120">
        <v>3</v>
      </c>
      <c r="BC51" s="120">
        <v>4</v>
      </c>
      <c r="BD51" s="120">
        <v>5</v>
      </c>
      <c r="BE51" s="120">
        <v>6</v>
      </c>
      <c r="BF51" s="120">
        <v>7</v>
      </c>
      <c r="BG51" s="120">
        <v>8</v>
      </c>
      <c r="BH51" s="120">
        <v>9</v>
      </c>
      <c r="BI51" s="120">
        <v>10</v>
      </c>
      <c r="BJ51" s="120">
        <v>11</v>
      </c>
      <c r="BK51" s="120">
        <v>12</v>
      </c>
      <c r="BL51" s="120">
        <v>13</v>
      </c>
      <c r="BM51" s="120">
        <v>14</v>
      </c>
      <c r="BN51" s="120">
        <v>15</v>
      </c>
      <c r="BO51" s="120">
        <v>16</v>
      </c>
      <c r="BP51" s="120">
        <v>17</v>
      </c>
      <c r="BQ51" s="120">
        <v>18</v>
      </c>
      <c r="BR51" s="120">
        <v>19</v>
      </c>
      <c r="BS51" s="120">
        <v>20</v>
      </c>
      <c r="BT51" s="120">
        <v>21</v>
      </c>
      <c r="BU51" s="120">
        <v>22</v>
      </c>
      <c r="BV51" s="120">
        <v>23</v>
      </c>
      <c r="BW51" s="120">
        <v>24</v>
      </c>
      <c r="BX51" s="120">
        <v>25</v>
      </c>
      <c r="BY51" s="120">
        <v>26</v>
      </c>
      <c r="BZ51" s="120">
        <v>27</v>
      </c>
      <c r="CA51" s="120">
        <v>28</v>
      </c>
      <c r="CB51" s="120">
        <v>29</v>
      </c>
      <c r="CC51" s="120">
        <v>30</v>
      </c>
      <c r="CD51" s="120">
        <v>31</v>
      </c>
      <c r="CE51" s="120">
        <v>32</v>
      </c>
      <c r="CF51" s="120">
        <v>33</v>
      </c>
      <c r="CG51" s="120">
        <v>34</v>
      </c>
      <c r="CH51" s="120">
        <v>35</v>
      </c>
      <c r="CI51" s="120">
        <v>36</v>
      </c>
      <c r="CJ51" s="120">
        <v>37</v>
      </c>
      <c r="CK51" s="120">
        <v>38</v>
      </c>
      <c r="CL51" s="120">
        <v>39</v>
      </c>
      <c r="CM51" s="120">
        <v>40</v>
      </c>
      <c r="CN51" s="120">
        <v>41</v>
      </c>
      <c r="DK51" s="46"/>
    </row>
    <row r="52" spans="2:115" ht="45" hidden="1" customHeight="1" thickBot="1" x14ac:dyDescent="0.3">
      <c r="G52" s="890"/>
      <c r="H52" s="22"/>
      <c r="I52" s="814">
        <v>64</v>
      </c>
      <c r="J52" s="937" t="s">
        <v>191</v>
      </c>
      <c r="K52" s="938"/>
      <c r="L52" s="938"/>
      <c r="M52" s="938"/>
      <c r="N52" s="22"/>
      <c r="O52" s="883"/>
      <c r="P52" s="77"/>
      <c r="Q52" s="77"/>
      <c r="R52" s="77"/>
      <c r="S52" s="77"/>
      <c r="T52" s="77"/>
      <c r="U52" s="77"/>
      <c r="AU52" s="81"/>
      <c r="AV52" s="856"/>
      <c r="AW52" s="81"/>
      <c r="AX52" s="105"/>
      <c r="AY52" s="40"/>
      <c r="AZ52" s="120"/>
      <c r="BA52" s="120"/>
      <c r="BB52" s="120"/>
      <c r="BC52" s="120"/>
      <c r="BD52" s="120"/>
      <c r="BE52" s="120"/>
      <c r="BF52" s="120"/>
      <c r="BG52" s="120"/>
      <c r="BH52" s="120"/>
      <c r="BI52" s="120"/>
      <c r="BJ52" s="120"/>
      <c r="BK52" s="120"/>
      <c r="BL52" s="120"/>
      <c r="BM52" s="120"/>
      <c r="BN52" s="120"/>
      <c r="BO52" s="120"/>
      <c r="BP52" s="120"/>
      <c r="BQ52" s="120"/>
      <c r="BR52" s="120"/>
      <c r="BS52" s="120"/>
      <c r="BT52" s="120"/>
      <c r="BU52" s="120"/>
      <c r="BV52" s="120"/>
      <c r="BW52" s="120"/>
      <c r="BX52" s="120"/>
      <c r="BY52" s="120"/>
      <c r="BZ52" s="120"/>
      <c r="CA52" s="120"/>
      <c r="CB52" s="120"/>
      <c r="CC52" s="120"/>
      <c r="CD52" s="120"/>
      <c r="CE52" s="120"/>
      <c r="CF52" s="120"/>
      <c r="CG52" s="120"/>
      <c r="CH52" s="120"/>
      <c r="CI52" s="120"/>
      <c r="CJ52" s="120"/>
      <c r="CK52" s="120"/>
      <c r="CL52" s="120"/>
      <c r="CM52" s="120"/>
      <c r="CN52" s="120"/>
      <c r="DK52" s="46"/>
    </row>
    <row r="53" spans="2:115" ht="39" hidden="1" customHeight="1" x14ac:dyDescent="0.25">
      <c r="G53" s="829" t="s">
        <v>187</v>
      </c>
      <c r="H53" s="833" t="s">
        <v>217</v>
      </c>
      <c r="I53" s="22"/>
      <c r="J53" s="817" t="s">
        <v>190</v>
      </c>
      <c r="K53" s="816"/>
      <c r="L53" s="817" t="s">
        <v>186</v>
      </c>
      <c r="M53" s="887"/>
      <c r="N53" s="22"/>
      <c r="O53" s="883"/>
      <c r="P53" s="77"/>
      <c r="Q53" s="77"/>
      <c r="R53" s="77"/>
      <c r="S53" s="77"/>
      <c r="T53" s="77"/>
      <c r="U53" s="77"/>
      <c r="AU53" s="81"/>
      <c r="AV53" s="856"/>
      <c r="AW53" s="81"/>
      <c r="AX53" s="105"/>
      <c r="AY53" s="40"/>
      <c r="AZ53" s="120"/>
      <c r="BA53" s="120"/>
      <c r="BB53" s="120"/>
      <c r="BC53" s="120"/>
      <c r="BD53" s="120"/>
      <c r="BE53" s="120"/>
      <c r="BF53" s="120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0"/>
      <c r="BR53" s="120"/>
      <c r="BS53" s="120"/>
      <c r="BT53" s="120"/>
      <c r="BU53" s="120"/>
      <c r="BV53" s="120"/>
      <c r="BW53" s="120"/>
      <c r="BX53" s="120"/>
      <c r="BY53" s="120"/>
      <c r="BZ53" s="120"/>
      <c r="CA53" s="120"/>
      <c r="CB53" s="120"/>
      <c r="CC53" s="120"/>
      <c r="CD53" s="120"/>
      <c r="CE53" s="120"/>
      <c r="CF53" s="120"/>
      <c r="CG53" s="120"/>
      <c r="CH53" s="120"/>
      <c r="CI53" s="120"/>
      <c r="CJ53" s="120"/>
      <c r="CK53" s="120"/>
      <c r="CL53" s="120"/>
      <c r="CM53" s="120"/>
      <c r="CN53" s="120"/>
      <c r="DK53" s="46"/>
    </row>
    <row r="54" spans="2:115" ht="43.5" hidden="1" customHeight="1" x14ac:dyDescent="0.25">
      <c r="G54" s="813"/>
      <c r="H54" s="819"/>
      <c r="I54" s="22"/>
      <c r="J54" s="818">
        <f>+((H6-D3)/H6)*AZ14</f>
        <v>24.721058652794596</v>
      </c>
      <c r="K54" s="818"/>
      <c r="L54" s="818">
        <f>+(D3/H6)*AZ14</f>
        <v>27.678941347205402</v>
      </c>
      <c r="M54" s="816" t="s">
        <v>172</v>
      </c>
      <c r="N54" s="22"/>
      <c r="O54" s="883"/>
      <c r="P54" s="77"/>
      <c r="Q54" s="77"/>
      <c r="R54" s="77"/>
      <c r="S54" s="77"/>
      <c r="T54" s="77"/>
      <c r="U54" s="77"/>
      <c r="AU54" s="81"/>
      <c r="AV54" s="856"/>
      <c r="AW54" s="81"/>
      <c r="AX54" s="105"/>
      <c r="AY54" s="40"/>
      <c r="AZ54" s="120"/>
      <c r="BA54" s="120"/>
      <c r="BB54" s="120"/>
      <c r="BC54" s="120"/>
      <c r="BD54" s="120"/>
      <c r="BE54" s="120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  <c r="CG54" s="120"/>
      <c r="CH54" s="120"/>
      <c r="CI54" s="120"/>
      <c r="CJ54" s="120"/>
      <c r="CK54" s="120"/>
      <c r="CL54" s="120"/>
      <c r="CM54" s="120"/>
      <c r="CN54" s="120"/>
      <c r="DK54" s="46"/>
    </row>
    <row r="55" spans="2:115" ht="45" hidden="1" customHeight="1" x14ac:dyDescent="0.2">
      <c r="G55" s="826"/>
      <c r="H55" s="26"/>
      <c r="I55" s="22"/>
      <c r="J55" s="820">
        <f>ABS($H$1/J54)</f>
        <v>234.61778403022956</v>
      </c>
      <c r="K55" s="820"/>
      <c r="L55" s="820">
        <f>ABS($H$1/L54)</f>
        <v>209.54558656144542</v>
      </c>
      <c r="M55" s="821" t="s">
        <v>173</v>
      </c>
      <c r="N55" s="22"/>
      <c r="O55" s="883"/>
      <c r="AA55" s="222"/>
      <c r="AU55" s="81"/>
      <c r="AV55" s="856"/>
      <c r="AW55" s="81"/>
      <c r="AX55" s="105"/>
      <c r="AY55" s="40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  <c r="BU55" s="120"/>
      <c r="BV55" s="120"/>
      <c r="BW55" s="120"/>
      <c r="BX55" s="120"/>
      <c r="BY55" s="120"/>
      <c r="BZ55" s="120"/>
      <c r="CA55" s="120"/>
      <c r="CB55" s="120"/>
      <c r="CC55" s="120"/>
      <c r="CD55" s="120"/>
      <c r="CE55" s="120"/>
      <c r="CF55" s="120"/>
      <c r="CG55" s="120"/>
      <c r="CH55" s="120"/>
      <c r="CI55" s="120"/>
      <c r="CJ55" s="120"/>
      <c r="CK55" s="120"/>
      <c r="CL55" s="120"/>
      <c r="CM55" s="120"/>
      <c r="CN55" s="120"/>
    </row>
    <row r="56" spans="2:115" ht="27.75" hidden="1" customHeight="1" x14ac:dyDescent="0.2">
      <c r="G56" s="826"/>
      <c r="H56" s="26"/>
      <c r="I56" s="27"/>
      <c r="J56" s="944">
        <f>ABS($E$11/AZ14)*2</f>
        <v>164.12213740458014</v>
      </c>
      <c r="K56" s="944"/>
      <c r="L56" s="944"/>
      <c r="M56" s="942" t="s">
        <v>226</v>
      </c>
      <c r="N56" s="946" t="s">
        <v>229</v>
      </c>
      <c r="O56" s="883"/>
      <c r="Y56" s="227"/>
      <c r="Z56" s="1006"/>
      <c r="AA56" s="1006"/>
      <c r="AU56" s="81"/>
      <c r="AV56" s="856"/>
      <c r="AW56" s="81"/>
      <c r="AX56" s="105"/>
      <c r="AY56" s="40"/>
      <c r="AZ56" s="120"/>
      <c r="BA56" s="120"/>
      <c r="BB56" s="120"/>
      <c r="BC56" s="120"/>
      <c r="BD56" s="120"/>
      <c r="BE56" s="120"/>
      <c r="BF56" s="120"/>
      <c r="BG56" s="120"/>
      <c r="BH56" s="120"/>
      <c r="BI56" s="120"/>
      <c r="BJ56" s="120"/>
      <c r="BK56" s="120"/>
      <c r="BL56" s="120"/>
      <c r="BM56" s="120"/>
      <c r="BN56" s="120"/>
      <c r="BO56" s="120"/>
      <c r="BP56" s="120"/>
      <c r="BQ56" s="120"/>
      <c r="BR56" s="120"/>
      <c r="BS56" s="120"/>
      <c r="BT56" s="120"/>
      <c r="BU56" s="120"/>
      <c r="BV56" s="120"/>
      <c r="BW56" s="120"/>
      <c r="BX56" s="120"/>
      <c r="BY56" s="120"/>
      <c r="BZ56" s="120"/>
      <c r="CA56" s="120"/>
      <c r="CB56" s="120"/>
      <c r="CC56" s="120"/>
      <c r="CD56" s="120"/>
      <c r="CE56" s="120"/>
      <c r="CF56" s="120"/>
      <c r="CG56" s="120"/>
      <c r="CH56" s="120"/>
      <c r="CI56" s="120"/>
      <c r="CJ56" s="120"/>
      <c r="CK56" s="120"/>
      <c r="CL56" s="120"/>
      <c r="CM56" s="120"/>
      <c r="CN56" s="120"/>
    </row>
    <row r="57" spans="2:115" ht="43.5" hidden="1" customHeight="1" x14ac:dyDescent="0.2">
      <c r="G57" s="890"/>
      <c r="H57" s="22"/>
      <c r="I57" s="22"/>
      <c r="J57" s="22"/>
      <c r="K57" s="22"/>
      <c r="L57" s="22"/>
      <c r="M57" s="22"/>
      <c r="N57" s="22"/>
      <c r="O57" s="883"/>
      <c r="P57" s="224"/>
      <c r="Q57" s="224"/>
      <c r="R57" s="224"/>
      <c r="S57" s="224"/>
      <c r="T57" s="224"/>
      <c r="U57" s="224"/>
      <c r="V57" s="224"/>
      <c r="W57" s="224"/>
      <c r="X57" s="224"/>
      <c r="Y57" s="228"/>
      <c r="Z57" s="228"/>
      <c r="AA57" s="229"/>
      <c r="AU57" s="81"/>
      <c r="AV57" s="856"/>
      <c r="AW57" s="81"/>
      <c r="AX57" s="105"/>
      <c r="AY57" s="40"/>
      <c r="AZ57" s="120"/>
      <c r="BA57" s="120"/>
      <c r="BB57" s="120"/>
      <c r="BC57" s="120"/>
      <c r="BD57" s="120"/>
      <c r="BE57" s="120"/>
      <c r="BF57" s="120"/>
      <c r="BG57" s="120"/>
      <c r="BH57" s="120"/>
      <c r="BI57" s="120"/>
      <c r="BJ57" s="120"/>
      <c r="BK57" s="120"/>
      <c r="BL57" s="120"/>
      <c r="BM57" s="120"/>
      <c r="BN57" s="120"/>
      <c r="BO57" s="120"/>
      <c r="BP57" s="120"/>
      <c r="BQ57" s="120"/>
      <c r="BR57" s="120"/>
      <c r="BS57" s="120"/>
      <c r="BT57" s="120"/>
      <c r="BU57" s="120"/>
      <c r="BV57" s="120"/>
      <c r="BW57" s="120"/>
      <c r="BX57" s="120"/>
      <c r="BY57" s="120"/>
      <c r="BZ57" s="120"/>
      <c r="CA57" s="120"/>
      <c r="CB57" s="120"/>
      <c r="CC57" s="120"/>
      <c r="CD57" s="120"/>
      <c r="CE57" s="120"/>
      <c r="CF57" s="120"/>
      <c r="CG57" s="120"/>
      <c r="CH57" s="120"/>
      <c r="CI57" s="120"/>
      <c r="CJ57" s="120"/>
      <c r="CK57" s="120"/>
      <c r="CL57" s="120"/>
      <c r="CM57" s="120"/>
      <c r="CN57" s="120"/>
    </row>
    <row r="58" spans="2:115" ht="20" hidden="1" x14ac:dyDescent="0.2">
      <c r="G58" s="890"/>
      <c r="H58" s="22"/>
      <c r="I58" s="22"/>
      <c r="J58" s="22"/>
      <c r="K58" s="22"/>
      <c r="L58" s="22"/>
      <c r="M58" s="22"/>
      <c r="N58" s="22"/>
      <c r="O58" s="883"/>
      <c r="AU58" s="81"/>
      <c r="AV58" s="856"/>
      <c r="AW58" s="81"/>
      <c r="AX58" s="105"/>
      <c r="AY58" s="40"/>
      <c r="AZ58" s="120"/>
      <c r="BA58" s="120"/>
      <c r="BB58" s="120"/>
      <c r="BC58" s="120"/>
      <c r="BD58" s="120"/>
      <c r="BE58" s="120"/>
      <c r="BF58" s="120"/>
      <c r="BG58" s="120"/>
      <c r="BH58" s="120"/>
      <c r="BI58" s="120"/>
      <c r="BJ58" s="120"/>
      <c r="BK58" s="120"/>
      <c r="BL58" s="120"/>
      <c r="BM58" s="120"/>
      <c r="BN58" s="120"/>
      <c r="BO58" s="120"/>
      <c r="BP58" s="120"/>
      <c r="BQ58" s="120"/>
      <c r="BR58" s="120"/>
      <c r="BS58" s="120"/>
      <c r="BT58" s="120"/>
      <c r="BU58" s="120"/>
      <c r="BV58" s="120"/>
      <c r="BW58" s="120"/>
      <c r="BX58" s="120"/>
      <c r="BY58" s="120"/>
      <c r="BZ58" s="120"/>
      <c r="CA58" s="120"/>
      <c r="CB58" s="120"/>
      <c r="CC58" s="120"/>
      <c r="CD58" s="120"/>
      <c r="CE58" s="120"/>
      <c r="CF58" s="120"/>
      <c r="CG58" s="120"/>
      <c r="CH58" s="120"/>
      <c r="CI58" s="120"/>
      <c r="CJ58" s="120"/>
      <c r="CK58" s="120"/>
      <c r="CL58" s="120"/>
      <c r="CM58" s="120"/>
      <c r="CN58" s="120"/>
    </row>
    <row r="59" spans="2:115" ht="21" hidden="1" thickBot="1" x14ac:dyDescent="0.25">
      <c r="G59" s="890"/>
      <c r="H59" s="22"/>
      <c r="I59" s="22"/>
      <c r="J59" s="22"/>
      <c r="K59" s="22"/>
      <c r="L59" s="22"/>
      <c r="M59" s="22"/>
      <c r="N59" s="22"/>
      <c r="O59" s="883"/>
      <c r="AU59" s="81"/>
      <c r="AV59" s="856"/>
      <c r="AW59" s="81"/>
      <c r="AX59" s="105"/>
      <c r="AY59" s="40"/>
      <c r="AZ59" s="120"/>
      <c r="BA59" s="120"/>
      <c r="BB59" s="120"/>
      <c r="BC59" s="120"/>
      <c r="BD59" s="120"/>
      <c r="BE59" s="120"/>
      <c r="BF59" s="120"/>
      <c r="BG59" s="120"/>
      <c r="BH59" s="120"/>
      <c r="BI59" s="120"/>
      <c r="BJ59" s="120"/>
      <c r="BK59" s="120"/>
      <c r="BL59" s="120"/>
      <c r="BM59" s="120"/>
      <c r="BN59" s="120"/>
      <c r="BO59" s="120"/>
      <c r="BP59" s="120"/>
      <c r="BQ59" s="120"/>
      <c r="BR59" s="120"/>
      <c r="BS59" s="120"/>
      <c r="BT59" s="120"/>
      <c r="BU59" s="120"/>
      <c r="BV59" s="120"/>
      <c r="BW59" s="120"/>
      <c r="BX59" s="120"/>
      <c r="BY59" s="120"/>
      <c r="BZ59" s="120"/>
      <c r="CA59" s="120"/>
      <c r="CB59" s="120"/>
      <c r="CC59" s="120"/>
      <c r="CD59" s="120"/>
      <c r="CE59" s="120"/>
      <c r="CF59" s="120"/>
      <c r="CG59" s="120"/>
      <c r="CH59" s="120"/>
      <c r="CI59" s="120"/>
      <c r="CJ59" s="120"/>
      <c r="CK59" s="120"/>
      <c r="CL59" s="120"/>
      <c r="CM59" s="120"/>
      <c r="CN59" s="120"/>
    </row>
    <row r="60" spans="2:115" ht="16" hidden="1" customHeight="1" thickBot="1" x14ac:dyDescent="0.3">
      <c r="B60" s="234"/>
      <c r="C60" s="77"/>
      <c r="D60" s="77"/>
      <c r="E60" s="230"/>
      <c r="G60" s="890"/>
      <c r="H60" s="22"/>
      <c r="I60" s="22"/>
      <c r="J60" s="22"/>
      <c r="K60" s="22"/>
      <c r="L60" s="22"/>
      <c r="M60" s="22"/>
      <c r="N60" s="22"/>
      <c r="O60" s="883"/>
      <c r="AV60" s="855"/>
      <c r="AW60" s="47"/>
      <c r="AX60" s="930"/>
      <c r="AY60" s="56"/>
      <c r="AZ60" s="57"/>
      <c r="BA60" s="57"/>
      <c r="BB60" s="57"/>
      <c r="BC60" s="57"/>
      <c r="BD60" s="57"/>
      <c r="BE60" s="57"/>
      <c r="BF60" s="57"/>
      <c r="BG60" s="57"/>
      <c r="BH60" s="54"/>
      <c r="BI60" s="54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90"/>
      <c r="BU60" s="50"/>
      <c r="BV60" s="50"/>
      <c r="BW60" s="17"/>
      <c r="BX60" s="55"/>
      <c r="BY60" s="55"/>
      <c r="BZ60" s="55"/>
      <c r="CA60" s="55"/>
      <c r="CB60" s="52"/>
      <c r="CC60" s="52"/>
      <c r="CD60" s="52"/>
      <c r="CE60" s="52"/>
      <c r="CF60" s="52"/>
      <c r="CG60" s="52"/>
      <c r="CH60" s="52"/>
      <c r="CI60" s="52"/>
      <c r="CJ60" s="52"/>
      <c r="CK60" s="52"/>
      <c r="CL60" s="4"/>
      <c r="CM60" s="40"/>
      <c r="DK60" s="81"/>
    </row>
    <row r="61" spans="2:115" ht="21" hidden="1" thickBot="1" x14ac:dyDescent="0.25">
      <c r="B61" s="234"/>
      <c r="C61" s="77"/>
      <c r="D61" s="77"/>
      <c r="E61" s="230"/>
      <c r="G61" s="890"/>
      <c r="H61" s="22"/>
      <c r="I61" s="22"/>
      <c r="J61" s="22"/>
      <c r="K61" s="22"/>
      <c r="L61" s="22"/>
      <c r="M61" s="22"/>
      <c r="N61" s="22"/>
      <c r="O61" s="883"/>
      <c r="AV61" s="855"/>
      <c r="AW61" s="47"/>
      <c r="AX61" s="930"/>
      <c r="AY61" s="56"/>
      <c r="AZ61" s="57"/>
      <c r="BA61" s="57"/>
      <c r="BB61" s="57"/>
      <c r="BC61" s="57"/>
      <c r="BD61" s="57"/>
      <c r="BE61" s="57"/>
      <c r="BF61" s="57"/>
      <c r="BG61" s="57"/>
      <c r="BH61" s="54"/>
      <c r="BI61" s="54"/>
      <c r="BJ61" s="50"/>
      <c r="BK61" s="50"/>
      <c r="BL61" s="50"/>
      <c r="BM61" s="50"/>
      <c r="BN61" s="50"/>
      <c r="BO61" s="50"/>
      <c r="BP61" s="50"/>
      <c r="BQ61" s="50"/>
      <c r="BR61" s="50"/>
      <c r="BS61" s="50"/>
      <c r="BT61" s="578"/>
      <c r="BU61" s="50"/>
      <c r="BV61" s="50"/>
      <c r="BW61" s="17"/>
      <c r="BX61" s="55"/>
      <c r="BY61" s="55"/>
      <c r="BZ61" s="55"/>
      <c r="CA61" s="55"/>
      <c r="CB61" s="52"/>
      <c r="CC61" s="52"/>
      <c r="CD61" s="52"/>
      <c r="CE61" s="52"/>
      <c r="CF61" s="52"/>
      <c r="CG61" s="52"/>
      <c r="CH61" s="52"/>
      <c r="CI61" s="52"/>
      <c r="CJ61" s="52"/>
      <c r="CK61" s="52"/>
      <c r="CL61" s="60" t="b">
        <f>IF(CM46=40,39)</f>
        <v>0</v>
      </c>
      <c r="CM61" s="40"/>
      <c r="CN61" s="60" t="b">
        <f>IF(CM46=40,41)</f>
        <v>0</v>
      </c>
      <c r="DK61" s="81"/>
    </row>
    <row r="62" spans="2:115" ht="24" hidden="1" customHeight="1" thickBot="1" x14ac:dyDescent="0.3">
      <c r="G62" s="890"/>
      <c r="H62" s="22"/>
      <c r="I62" s="22"/>
      <c r="J62" s="22"/>
      <c r="K62" s="22"/>
      <c r="L62" s="22"/>
      <c r="M62" s="22"/>
      <c r="N62" s="22"/>
      <c r="O62" s="883"/>
      <c r="AV62" s="855"/>
      <c r="AW62" s="47"/>
      <c r="AX62" s="930"/>
      <c r="AY62" s="56"/>
      <c r="AZ62" s="57"/>
      <c r="BA62" s="57"/>
      <c r="BB62" s="57"/>
      <c r="BC62" s="57"/>
      <c r="BD62" s="57"/>
      <c r="BE62" s="57"/>
      <c r="BF62" s="57"/>
      <c r="BG62" s="57"/>
      <c r="BH62" s="54"/>
      <c r="BI62" s="54"/>
      <c r="BJ62" s="50"/>
      <c r="BK62" s="50"/>
      <c r="BL62" s="50"/>
      <c r="BM62" s="50"/>
      <c r="BN62" s="50"/>
      <c r="BO62" s="50"/>
      <c r="BP62" s="50"/>
      <c r="BQ62" s="50"/>
      <c r="BR62" s="50"/>
      <c r="BS62" s="50"/>
      <c r="BT62" s="578"/>
      <c r="BU62" s="50"/>
      <c r="BV62" s="50"/>
      <c r="BW62" s="17"/>
      <c r="BX62" s="55"/>
      <c r="BY62" s="55"/>
      <c r="BZ62" s="55"/>
      <c r="CA62" s="55"/>
      <c r="CB62" s="52"/>
      <c r="CC62" s="52"/>
      <c r="CD62" s="52"/>
      <c r="CE62" s="52"/>
      <c r="CF62" s="52"/>
      <c r="CG62" s="52"/>
      <c r="CH62" s="52"/>
      <c r="CI62" s="52"/>
      <c r="CJ62" s="60" t="b">
        <f>IF(CL46=39,37)</f>
        <v>0</v>
      </c>
      <c r="CK62" s="52"/>
      <c r="CL62" s="4"/>
      <c r="CM62" s="40"/>
      <c r="CN62" s="60" t="b">
        <f>IF(CL46=39,41)</f>
        <v>0</v>
      </c>
    </row>
    <row r="63" spans="2:115" ht="24" hidden="1" customHeight="1" thickBot="1" x14ac:dyDescent="0.3">
      <c r="G63" s="890"/>
      <c r="H63" s="22"/>
      <c r="I63" s="22"/>
      <c r="J63" s="22"/>
      <c r="K63" s="22"/>
      <c r="L63" s="22"/>
      <c r="M63" s="22"/>
      <c r="N63" s="22"/>
      <c r="O63" s="883"/>
      <c r="AV63" s="855"/>
      <c r="AW63" s="47"/>
      <c r="AX63" s="930"/>
      <c r="AY63" s="56"/>
      <c r="AZ63" s="57"/>
      <c r="BA63" s="57"/>
      <c r="BB63" s="57"/>
      <c r="BC63" s="57"/>
      <c r="BD63" s="57"/>
      <c r="BE63" s="57"/>
      <c r="BF63" s="57"/>
      <c r="BG63" s="57"/>
      <c r="BH63" s="54"/>
      <c r="BI63" s="54"/>
      <c r="BJ63" s="50"/>
      <c r="BK63" s="50"/>
      <c r="BL63" s="50"/>
      <c r="BM63" s="50"/>
      <c r="BN63" s="50"/>
      <c r="BO63" s="50"/>
      <c r="BP63" s="50"/>
      <c r="BQ63" s="50"/>
      <c r="BR63" s="50"/>
      <c r="BS63" s="50"/>
      <c r="BT63" s="578"/>
      <c r="BU63" s="50"/>
      <c r="BV63" s="50"/>
      <c r="BW63" s="17"/>
      <c r="BX63" s="55"/>
      <c r="BY63" s="55"/>
      <c r="BZ63" s="55"/>
      <c r="CA63" s="55"/>
      <c r="CB63" s="52"/>
      <c r="CC63" s="52"/>
      <c r="CD63" s="52"/>
      <c r="CE63" s="52"/>
      <c r="CF63" s="52"/>
      <c r="CG63" s="52"/>
      <c r="CH63" s="60" t="b">
        <f>IF(CK46=38,35)</f>
        <v>0</v>
      </c>
      <c r="CI63" s="52"/>
      <c r="CJ63" s="52"/>
      <c r="CK63" s="52"/>
      <c r="CL63" s="4"/>
      <c r="CM63" s="40"/>
      <c r="CN63" s="60" t="b">
        <f>IF(CK46=38,41)</f>
        <v>0</v>
      </c>
    </row>
    <row r="64" spans="2:115" ht="24" hidden="1" customHeight="1" thickBot="1" x14ac:dyDescent="0.3">
      <c r="G64" s="890"/>
      <c r="H64" s="22"/>
      <c r="I64" s="22"/>
      <c r="J64" s="22"/>
      <c r="K64" s="22"/>
      <c r="L64" s="22"/>
      <c r="M64" s="22"/>
      <c r="N64" s="22"/>
      <c r="O64" s="883"/>
      <c r="AV64" s="855"/>
      <c r="AW64" s="47"/>
      <c r="AX64" s="930"/>
      <c r="AY64" s="56"/>
      <c r="AZ64" s="57"/>
      <c r="BA64" s="57"/>
      <c r="BB64" s="57"/>
      <c r="BC64" s="57"/>
      <c r="BD64" s="57"/>
      <c r="BE64" s="57"/>
      <c r="BF64" s="57"/>
      <c r="BG64" s="57"/>
      <c r="BH64" s="54"/>
      <c r="BI64" s="54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78"/>
      <c r="BU64" s="50"/>
      <c r="BV64" s="50"/>
      <c r="BW64" s="17"/>
      <c r="BX64" s="55"/>
      <c r="BY64" s="55"/>
      <c r="BZ64" s="55"/>
      <c r="CA64" s="55"/>
      <c r="CB64" s="52"/>
      <c r="CC64" s="52"/>
      <c r="CD64" s="52"/>
      <c r="CE64" s="52"/>
      <c r="CF64" s="60" t="b">
        <f>IF(CJ46=37,33)</f>
        <v>0</v>
      </c>
      <c r="CG64" s="52"/>
      <c r="CH64" s="52"/>
      <c r="CI64" s="52"/>
      <c r="CJ64" s="52"/>
      <c r="CK64" s="52"/>
      <c r="CL64" s="4"/>
      <c r="CM64" s="40"/>
      <c r="CN64" s="60" t="b">
        <f>IF(CJ46=37,41)</f>
        <v>0</v>
      </c>
    </row>
    <row r="65" spans="7:119" ht="24" hidden="1" customHeight="1" thickBot="1" x14ac:dyDescent="0.3">
      <c r="G65" s="890"/>
      <c r="H65" s="22"/>
      <c r="I65" s="22"/>
      <c r="J65" s="22"/>
      <c r="K65" s="22"/>
      <c r="L65" s="22"/>
      <c r="M65" s="22"/>
      <c r="N65" s="22"/>
      <c r="O65" s="883"/>
      <c r="AV65" s="855"/>
      <c r="AW65" s="47"/>
      <c r="AX65" s="930"/>
      <c r="AY65" s="56">
        <v>36</v>
      </c>
      <c r="AZ65" s="57"/>
      <c r="BA65" s="57"/>
      <c r="BB65" s="57"/>
      <c r="BC65" s="57"/>
      <c r="BD65" s="57"/>
      <c r="BE65" s="57"/>
      <c r="BF65" s="57"/>
      <c r="BG65" s="57"/>
      <c r="BH65" s="54"/>
      <c r="BI65" s="54"/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78"/>
      <c r="BU65" s="50"/>
      <c r="BV65" s="50"/>
      <c r="BW65" s="17"/>
      <c r="BX65" s="55"/>
      <c r="BY65" s="55"/>
      <c r="BZ65" s="55"/>
      <c r="CA65" s="55"/>
      <c r="CB65" s="52"/>
      <c r="CC65" s="52"/>
      <c r="CD65" s="58" t="b">
        <f>IF(CI46=36,31)</f>
        <v>0</v>
      </c>
      <c r="CE65" s="52"/>
      <c r="CF65" s="52"/>
      <c r="CG65" s="52"/>
      <c r="CI65" s="59"/>
      <c r="CK65" s="52"/>
      <c r="CL65" s="4"/>
      <c r="CM65" s="40"/>
      <c r="CN65" s="60" t="b">
        <f>IF(CI46=36,41)</f>
        <v>0</v>
      </c>
    </row>
    <row r="66" spans="7:119" ht="24" hidden="1" customHeight="1" thickBot="1" x14ac:dyDescent="0.3">
      <c r="G66" s="890"/>
      <c r="H66" s="22"/>
      <c r="I66" s="22"/>
      <c r="J66" s="22"/>
      <c r="K66" s="22"/>
      <c r="L66" s="22"/>
      <c r="M66" s="22"/>
      <c r="N66" s="22"/>
      <c r="O66" s="883"/>
      <c r="AV66" s="855"/>
      <c r="AW66" s="47"/>
      <c r="AX66" s="930"/>
      <c r="AY66" s="56">
        <v>35</v>
      </c>
      <c r="AZ66" s="57"/>
      <c r="BA66" s="57"/>
      <c r="BB66" s="57"/>
      <c r="BC66" s="57"/>
      <c r="BD66" s="57"/>
      <c r="BE66" s="57"/>
      <c r="BF66" s="57"/>
      <c r="BG66" s="57"/>
      <c r="BH66" s="54"/>
      <c r="BI66" s="54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78"/>
      <c r="BU66" s="50"/>
      <c r="BV66" s="50"/>
      <c r="BW66" s="17"/>
      <c r="BX66" s="55"/>
      <c r="BY66" s="55"/>
      <c r="BZ66" s="55"/>
      <c r="CA66" s="55"/>
      <c r="CB66" s="58" t="b">
        <f>IF(CH46=35,29)</f>
        <v>0</v>
      </c>
      <c r="CC66" s="52"/>
      <c r="CD66" s="52"/>
      <c r="CE66" s="52"/>
      <c r="CG66" s="59"/>
      <c r="CH66" s="59"/>
      <c r="CI66" s="59"/>
      <c r="CK66" s="52"/>
      <c r="CL66" s="4"/>
      <c r="CM66" s="40"/>
      <c r="CN66" s="60" t="b">
        <f>IF(CH46=35,41)</f>
        <v>0</v>
      </c>
    </row>
    <row r="67" spans="7:119" ht="21" hidden="1" customHeight="1" thickBot="1" x14ac:dyDescent="0.3">
      <c r="G67" s="890"/>
      <c r="H67" s="22"/>
      <c r="I67" s="22"/>
      <c r="J67" s="22"/>
      <c r="K67" s="22"/>
      <c r="L67" s="22"/>
      <c r="M67" s="22"/>
      <c r="N67" s="22"/>
      <c r="O67" s="883"/>
      <c r="AV67" s="855"/>
      <c r="AW67" s="47"/>
      <c r="AX67" s="930"/>
      <c r="AY67" s="56">
        <v>34</v>
      </c>
      <c r="AZ67" s="57"/>
      <c r="BA67" s="57"/>
      <c r="BB67" s="57"/>
      <c r="BC67" s="57"/>
      <c r="BD67" s="57"/>
      <c r="BE67" s="57"/>
      <c r="BF67" s="57"/>
      <c r="BG67" s="57"/>
      <c r="BH67" s="54"/>
      <c r="BI67" s="54"/>
      <c r="BJ67" s="50"/>
      <c r="BK67" s="50"/>
      <c r="BL67" s="50"/>
      <c r="BM67" s="50"/>
      <c r="BN67" s="50"/>
      <c r="BO67" s="50"/>
      <c r="BP67" s="50"/>
      <c r="BQ67" s="50"/>
      <c r="BR67" s="50"/>
      <c r="BS67" s="50"/>
      <c r="BT67" s="578"/>
      <c r="BU67" s="50"/>
      <c r="BV67" s="50"/>
      <c r="BW67" s="17"/>
      <c r="BX67" s="55"/>
      <c r="BY67" s="55"/>
      <c r="BZ67" s="58" t="b">
        <f>IF(CG46=34,27)</f>
        <v>0</v>
      </c>
      <c r="CA67" s="55"/>
      <c r="CB67" s="52"/>
      <c r="CC67" s="52"/>
      <c r="CE67" s="59"/>
      <c r="CF67" s="59"/>
      <c r="CG67" s="59"/>
      <c r="CH67" s="59"/>
      <c r="CI67" s="59"/>
      <c r="CK67" s="52"/>
      <c r="CL67" s="4"/>
      <c r="CM67" s="40"/>
      <c r="CN67" s="60" t="b">
        <f>IF(CG46=34,41)</f>
        <v>0</v>
      </c>
    </row>
    <row r="68" spans="7:119" ht="21" hidden="1" customHeight="1" thickBot="1" x14ac:dyDescent="0.3">
      <c r="G68" s="890"/>
      <c r="H68" s="22"/>
      <c r="I68" s="22"/>
      <c r="J68" s="22"/>
      <c r="K68" s="22"/>
      <c r="L68" s="22"/>
      <c r="M68" s="22"/>
      <c r="N68" s="22"/>
      <c r="O68" s="883"/>
      <c r="AV68" s="855"/>
      <c r="AW68" s="47"/>
      <c r="AX68" s="930"/>
      <c r="AY68" s="56">
        <v>33</v>
      </c>
      <c r="AZ68" s="57"/>
      <c r="BA68" s="57"/>
      <c r="BB68" s="57"/>
      <c r="BC68" s="57"/>
      <c r="BD68" s="57"/>
      <c r="BE68" s="57"/>
      <c r="BF68" s="57"/>
      <c r="BG68" s="57"/>
      <c r="BH68" s="54"/>
      <c r="BI68" s="54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78"/>
      <c r="BU68" s="50"/>
      <c r="BV68" s="50"/>
      <c r="BW68" s="17"/>
      <c r="BX68" s="58" t="b">
        <f>IF(CF46=33,25)</f>
        <v>0</v>
      </c>
      <c r="BY68" s="55"/>
      <c r="BZ68" s="55"/>
      <c r="CA68" s="55"/>
      <c r="CC68" s="59"/>
      <c r="CD68" s="59"/>
      <c r="CE68" s="59"/>
      <c r="CF68" s="59"/>
      <c r="CG68" s="59"/>
      <c r="CH68" s="59"/>
      <c r="CI68" s="59"/>
      <c r="CK68" s="52"/>
      <c r="CL68" s="4"/>
      <c r="CM68" s="40"/>
      <c r="CN68" s="60" t="b">
        <f>IF(CF46=33,41)</f>
        <v>0</v>
      </c>
    </row>
    <row r="69" spans="7:119" ht="21" hidden="1" customHeight="1" thickBot="1" x14ac:dyDescent="0.25">
      <c r="G69" s="890"/>
      <c r="H69" s="22"/>
      <c r="I69" s="22"/>
      <c r="J69" s="22"/>
      <c r="K69" s="22"/>
      <c r="L69" s="22"/>
      <c r="M69" s="22"/>
      <c r="N69" s="22"/>
      <c r="O69" s="883"/>
      <c r="AV69" s="855"/>
      <c r="AW69" s="47"/>
      <c r="AX69" s="105"/>
      <c r="AY69" s="56">
        <v>32</v>
      </c>
      <c r="AZ69" s="62"/>
      <c r="BA69" s="62"/>
      <c r="BB69" s="62"/>
      <c r="BC69" s="62"/>
      <c r="BD69" s="62"/>
      <c r="BE69" s="63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579"/>
      <c r="BU69" s="62"/>
      <c r="BV69" s="58" t="b">
        <f>IF(CE46=32,23)</f>
        <v>0</v>
      </c>
      <c r="BW69" s="63"/>
      <c r="BX69" s="40"/>
      <c r="BY69" s="40"/>
      <c r="CA69" s="64"/>
      <c r="CB69" s="64"/>
      <c r="CC69" s="64"/>
      <c r="CD69" s="64"/>
      <c r="CE69" s="64"/>
      <c r="CF69" s="64"/>
      <c r="CG69" s="64"/>
      <c r="CH69" s="64"/>
      <c r="CI69" s="64"/>
      <c r="CK69" s="40"/>
      <c r="CL69" s="40"/>
      <c r="CN69" s="60" t="b">
        <f>IF(CE46=32,41)</f>
        <v>0</v>
      </c>
    </row>
    <row r="70" spans="7:119" ht="21" hidden="1" customHeight="1" thickBot="1" x14ac:dyDescent="0.25">
      <c r="G70" s="890"/>
      <c r="H70" s="22"/>
      <c r="I70" s="22"/>
      <c r="J70" s="22"/>
      <c r="K70" s="22"/>
      <c r="L70" s="22"/>
      <c r="M70" s="22"/>
      <c r="N70" s="22"/>
      <c r="O70" s="883"/>
      <c r="AV70" s="855"/>
      <c r="AW70" s="47"/>
      <c r="AX70" s="105"/>
      <c r="AY70" s="56">
        <v>31</v>
      </c>
      <c r="AZ70" s="62"/>
      <c r="BA70" s="62"/>
      <c r="BB70" s="62"/>
      <c r="BC70" s="62"/>
      <c r="BD70" s="62"/>
      <c r="BE70" s="63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2"/>
      <c r="BQ70" s="62"/>
      <c r="BR70" s="62"/>
      <c r="BS70" s="62"/>
      <c r="BT70" s="579"/>
      <c r="BU70" s="58" t="b">
        <f>IF(CD46=31,22)</f>
        <v>0</v>
      </c>
      <c r="BV70" s="62"/>
      <c r="BW70" s="63"/>
      <c r="BY70" s="64"/>
      <c r="BZ70" s="64"/>
      <c r="CA70" s="64"/>
      <c r="CB70" s="64"/>
      <c r="CC70" s="64"/>
      <c r="CD70" s="64"/>
      <c r="CE70" s="64"/>
      <c r="CF70" s="64"/>
      <c r="CG70" s="64"/>
      <c r="CH70" s="64"/>
      <c r="CI70" s="64"/>
      <c r="CK70" s="40"/>
      <c r="CL70" s="40"/>
      <c r="CM70" s="60" t="b">
        <f>IF(CD46=31,40)</f>
        <v>0</v>
      </c>
    </row>
    <row r="71" spans="7:119" ht="21" hidden="1" customHeight="1" thickBot="1" x14ac:dyDescent="0.25">
      <c r="G71" s="890"/>
      <c r="H71" s="22"/>
      <c r="I71" s="22"/>
      <c r="J71" s="22"/>
      <c r="K71" s="22"/>
      <c r="L71" s="22"/>
      <c r="M71" s="22"/>
      <c r="N71" s="22"/>
      <c r="O71" s="883"/>
      <c r="AV71" s="855"/>
      <c r="AW71" s="47"/>
      <c r="AX71" s="105"/>
      <c r="AY71" s="56">
        <v>30</v>
      </c>
      <c r="AZ71" s="62"/>
      <c r="BA71" s="62"/>
      <c r="BB71" s="62"/>
      <c r="BC71" s="62"/>
      <c r="BD71" s="62"/>
      <c r="BE71" s="63"/>
      <c r="BF71" s="62"/>
      <c r="BG71" s="62"/>
      <c r="BH71" s="62"/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579"/>
      <c r="BU71" s="58" t="b">
        <f>IF(CC46=30,22)</f>
        <v>0</v>
      </c>
      <c r="BW71" s="65"/>
      <c r="BX71" s="64"/>
      <c r="BY71" s="64"/>
      <c r="BZ71" s="64"/>
      <c r="CA71" s="64"/>
      <c r="CB71" s="64"/>
      <c r="CC71" s="64"/>
      <c r="CD71" s="64"/>
      <c r="CE71" s="64"/>
      <c r="CF71" s="64"/>
      <c r="CG71" s="64"/>
      <c r="CH71" s="64"/>
      <c r="CI71" s="64"/>
      <c r="CK71" s="60" t="b">
        <f>IF(CC46=30,38)</f>
        <v>0</v>
      </c>
      <c r="CL71" s="40"/>
      <c r="CM71" s="40"/>
    </row>
    <row r="72" spans="7:119" ht="21" hidden="1" customHeight="1" thickBot="1" x14ac:dyDescent="0.25">
      <c r="G72" s="890"/>
      <c r="H72" s="22"/>
      <c r="I72" s="22"/>
      <c r="J72" s="22"/>
      <c r="K72" s="22"/>
      <c r="L72" s="22"/>
      <c r="M72" s="22"/>
      <c r="N72" s="22"/>
      <c r="O72" s="883"/>
      <c r="AV72" s="855"/>
      <c r="AW72" s="47"/>
      <c r="AX72" s="929"/>
      <c r="AY72" s="56">
        <v>29</v>
      </c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U72" s="580" t="b">
        <f>IF(CB46=29,22)</f>
        <v>0</v>
      </c>
      <c r="BV72" s="64"/>
      <c r="BW72" s="64"/>
      <c r="BX72" s="64"/>
      <c r="BY72" s="64"/>
      <c r="BZ72" s="64"/>
      <c r="CA72" s="69"/>
      <c r="CB72" s="64"/>
      <c r="CC72" s="69"/>
      <c r="CD72" s="70"/>
      <c r="CE72" s="70"/>
      <c r="CF72" s="70"/>
      <c r="CG72" s="70"/>
      <c r="CH72" s="70"/>
      <c r="CI72" s="60" t="b">
        <f>IF(CB46=29,36)</f>
        <v>0</v>
      </c>
      <c r="CK72" s="38"/>
      <c r="CL72" s="40"/>
      <c r="CM72" s="40"/>
    </row>
    <row r="73" spans="7:119" ht="21" hidden="1" customHeight="1" thickBot="1" x14ac:dyDescent="0.25">
      <c r="G73" s="890"/>
      <c r="H73" s="22"/>
      <c r="I73" s="22"/>
      <c r="J73" s="22"/>
      <c r="K73" s="22"/>
      <c r="L73" s="22"/>
      <c r="M73" s="22"/>
      <c r="N73" s="22"/>
      <c r="O73" s="883"/>
      <c r="AV73" s="855"/>
      <c r="AW73" s="47"/>
      <c r="AX73" s="929"/>
      <c r="AY73" s="56">
        <v>28</v>
      </c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U73" s="581" t="b">
        <f>IF(CA46=28,22)</f>
        <v>0</v>
      </c>
      <c r="BV73" s="72"/>
      <c r="BW73" s="72"/>
      <c r="BX73" s="72"/>
      <c r="BY73" s="73"/>
      <c r="BZ73" s="72"/>
      <c r="CA73" s="72"/>
      <c r="CB73" s="72"/>
      <c r="CC73" s="73"/>
      <c r="CD73" s="74"/>
      <c r="CE73" s="74"/>
      <c r="CF73" s="74"/>
      <c r="CG73" s="75" t="b">
        <f>IF(CA46=28,34)</f>
        <v>0</v>
      </c>
      <c r="CI73" s="38"/>
      <c r="CJ73" s="38"/>
      <c r="CK73" s="38"/>
      <c r="CL73" s="40"/>
      <c r="CM73" s="40"/>
    </row>
    <row r="74" spans="7:119" ht="21" hidden="1" customHeight="1" thickBot="1" x14ac:dyDescent="0.25">
      <c r="G74" s="890"/>
      <c r="H74" s="22"/>
      <c r="I74" s="22"/>
      <c r="J74" s="22"/>
      <c r="K74" s="22"/>
      <c r="L74" s="22"/>
      <c r="M74" s="22"/>
      <c r="N74" s="22"/>
      <c r="O74" s="883"/>
      <c r="AV74" s="855"/>
      <c r="AW74" s="47"/>
      <c r="AX74" s="929"/>
      <c r="AY74" s="56">
        <v>27</v>
      </c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581" t="b">
        <f>IF(BZ46=27,13)</f>
        <v>0</v>
      </c>
      <c r="BM74" s="40"/>
      <c r="BN74" s="40"/>
      <c r="BO74" s="40"/>
      <c r="BP74" s="40"/>
      <c r="BQ74" s="40"/>
      <c r="BR74" s="40"/>
      <c r="BS74" s="40"/>
      <c r="BU74" s="72"/>
      <c r="BV74" s="72"/>
      <c r="BW74" s="73"/>
      <c r="BX74" s="72"/>
      <c r="BY74" s="72"/>
      <c r="BZ74" s="72"/>
      <c r="CA74" s="72"/>
      <c r="CB74" s="72"/>
      <c r="CC74" s="73"/>
      <c r="CD74" s="74"/>
      <c r="CE74" s="74"/>
      <c r="CG74" s="38"/>
      <c r="CH74" s="38"/>
      <c r="CI74" s="38"/>
      <c r="CJ74" s="38"/>
      <c r="CK74" s="38"/>
      <c r="CL74" s="40"/>
      <c r="CM74" s="75" t="b">
        <f>IF(BZ46=27,40)</f>
        <v>0</v>
      </c>
    </row>
    <row r="75" spans="7:119" ht="21" hidden="1" customHeight="1" thickBot="1" x14ac:dyDescent="0.25">
      <c r="G75" s="890"/>
      <c r="H75" s="22"/>
      <c r="I75" s="22"/>
      <c r="J75" s="22"/>
      <c r="K75" s="22"/>
      <c r="L75" s="22"/>
      <c r="M75" s="22"/>
      <c r="N75" s="22"/>
      <c r="O75" s="883"/>
      <c r="AV75" s="855"/>
      <c r="AW75" s="47"/>
      <c r="AX75" s="105"/>
      <c r="AY75" s="56">
        <v>26</v>
      </c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581" t="b">
        <f>IF(BY46=26,13)</f>
        <v>0</v>
      </c>
      <c r="BM75" s="40"/>
      <c r="BN75" s="40"/>
      <c r="BO75" s="40"/>
      <c r="BP75" s="40"/>
      <c r="BQ75" s="40"/>
      <c r="BR75" s="40"/>
      <c r="BS75" s="40"/>
      <c r="BU75" s="73"/>
      <c r="BV75" s="72"/>
      <c r="BW75" s="72"/>
      <c r="BX75" s="72"/>
      <c r="BY75" s="72"/>
      <c r="BZ75" s="72"/>
      <c r="CA75" s="72"/>
      <c r="CB75" s="72"/>
      <c r="CC75" s="73"/>
      <c r="CE75" s="38"/>
      <c r="CF75" s="38"/>
      <c r="CG75" s="38"/>
      <c r="CH75" s="38"/>
      <c r="CI75" s="38"/>
      <c r="CJ75" s="38"/>
      <c r="CK75" s="75" t="b">
        <f>IF(BY46=26,38)</f>
        <v>0</v>
      </c>
      <c r="CL75" s="40"/>
      <c r="CM75" s="40"/>
    </row>
    <row r="76" spans="7:119" ht="21" hidden="1" customHeight="1" thickBot="1" x14ac:dyDescent="0.25">
      <c r="G76" s="890"/>
      <c r="H76" s="22"/>
      <c r="I76" s="22"/>
      <c r="J76" s="22"/>
      <c r="K76" s="22"/>
      <c r="L76" s="22"/>
      <c r="M76" s="22"/>
      <c r="N76" s="22"/>
      <c r="O76" s="883"/>
      <c r="AV76" s="855"/>
      <c r="AW76" s="47"/>
      <c r="AX76" s="38"/>
      <c r="AY76" s="56">
        <v>25</v>
      </c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L76" s="581" t="b">
        <f>IF(BX46=25,13)</f>
        <v>0</v>
      </c>
      <c r="BM76" s="40"/>
      <c r="BN76" s="40"/>
      <c r="BO76" s="40"/>
      <c r="BP76" s="40"/>
      <c r="BQ76" s="40"/>
      <c r="BR76" s="40"/>
      <c r="BU76" s="72"/>
      <c r="BV76" s="72"/>
      <c r="BW76" s="72"/>
      <c r="BX76" s="72"/>
      <c r="BY76" s="72"/>
      <c r="BZ76" s="72"/>
      <c r="CA76" s="72"/>
      <c r="CD76" s="38"/>
      <c r="CE76" s="38"/>
      <c r="CF76" s="38"/>
      <c r="CG76" s="38"/>
      <c r="CH76" s="38"/>
      <c r="CI76" s="75" t="b">
        <f>IF(BX46=25,36)</f>
        <v>0</v>
      </c>
      <c r="CJ76" s="38"/>
      <c r="CK76" s="38"/>
      <c r="CL76" s="40"/>
      <c r="CM76" s="40"/>
    </row>
    <row r="77" spans="7:119" ht="21" hidden="1" customHeight="1" thickBot="1" x14ac:dyDescent="0.25">
      <c r="G77" s="890"/>
      <c r="H77" s="22"/>
      <c r="I77" s="22"/>
      <c r="J77" s="22"/>
      <c r="K77" s="22"/>
      <c r="L77" s="22"/>
      <c r="M77" s="22"/>
      <c r="N77" s="22"/>
      <c r="O77" s="883"/>
      <c r="AV77" s="855"/>
      <c r="AW77" s="47"/>
      <c r="AX77" s="38"/>
      <c r="AY77" s="56">
        <v>24</v>
      </c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L77" s="68" t="b">
        <f>IF(BW46=24,13)</f>
        <v>0</v>
      </c>
      <c r="BM77" s="64"/>
      <c r="BN77" s="64"/>
      <c r="BO77" s="64"/>
      <c r="BP77" s="64"/>
      <c r="BQ77" s="256"/>
      <c r="BR77" s="575"/>
      <c r="BS77" s="575"/>
      <c r="BT77" s="582"/>
      <c r="BU77" s="64"/>
      <c r="BV77" s="64"/>
      <c r="BW77" s="64"/>
      <c r="BX77" s="64"/>
      <c r="BY77" s="64"/>
      <c r="BZ77" s="64"/>
      <c r="CA77" s="64"/>
      <c r="CB77" s="64"/>
      <c r="CC77" s="69"/>
      <c r="CD77" s="70"/>
      <c r="CE77" s="70"/>
      <c r="CF77" s="70"/>
      <c r="CG77" s="60" t="b">
        <f>IF(BW46=24,34)</f>
        <v>0</v>
      </c>
      <c r="CH77" s="70"/>
      <c r="CJ77" s="38"/>
      <c r="CK77" s="38"/>
      <c r="CL77" s="40"/>
      <c r="CM77" s="40"/>
    </row>
    <row r="78" spans="7:119" ht="21" hidden="1" customHeight="1" thickBot="1" x14ac:dyDescent="0.25">
      <c r="G78" s="890"/>
      <c r="H78" s="22"/>
      <c r="I78" s="22"/>
      <c r="J78" s="22"/>
      <c r="K78" s="22"/>
      <c r="L78" s="22"/>
      <c r="M78" s="22"/>
      <c r="N78" s="22"/>
      <c r="O78" s="883"/>
      <c r="AV78" s="855"/>
      <c r="AW78" s="47"/>
      <c r="AX78" s="38"/>
      <c r="AY78" s="56">
        <v>23</v>
      </c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L78" s="71" t="b">
        <f>IF(BV46=23,13)</f>
        <v>0</v>
      </c>
      <c r="BM78" s="72"/>
      <c r="BN78" s="72"/>
      <c r="BO78" s="73"/>
      <c r="BP78" s="72"/>
      <c r="BQ78" s="575"/>
      <c r="BR78" s="575"/>
      <c r="BS78" s="575"/>
      <c r="BT78" s="583"/>
      <c r="BU78" s="72"/>
      <c r="BV78" s="72"/>
      <c r="BW78" s="72"/>
      <c r="BX78" s="72"/>
      <c r="BY78" s="72"/>
      <c r="BZ78" s="72"/>
      <c r="CA78" s="72"/>
      <c r="CB78" s="72"/>
      <c r="CC78" s="73"/>
      <c r="CD78" s="74"/>
      <c r="CE78" s="75" t="b">
        <f>IF(BV46=23,32)</f>
        <v>0</v>
      </c>
      <c r="CF78" s="74"/>
      <c r="CH78" s="38"/>
      <c r="CI78" s="38"/>
      <c r="CJ78" s="38"/>
      <c r="CK78" s="38"/>
      <c r="CL78" s="40"/>
      <c r="CM78" s="40"/>
    </row>
    <row r="79" spans="7:119" ht="21" hidden="1" thickBot="1" x14ac:dyDescent="0.25">
      <c r="G79" s="834"/>
      <c r="H79" s="22"/>
      <c r="I79" s="22"/>
      <c r="J79" s="22"/>
      <c r="K79" s="22"/>
      <c r="L79" s="22"/>
      <c r="M79" s="22"/>
      <c r="N79" s="22"/>
      <c r="O79" s="883"/>
      <c r="AV79" s="855"/>
      <c r="AW79" s="47"/>
      <c r="AX79" s="38"/>
      <c r="AY79" s="56">
        <v>22</v>
      </c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L79" s="71" t="b">
        <f>IF(BU46=22,13)</f>
        <v>0</v>
      </c>
      <c r="BM79" s="74"/>
      <c r="BN79" s="74"/>
      <c r="BO79" s="73"/>
      <c r="BP79" s="74"/>
      <c r="BQ79" s="95"/>
      <c r="BR79" s="95"/>
      <c r="BS79" s="95"/>
      <c r="BT79" s="581"/>
      <c r="BU79" s="74"/>
      <c r="BV79" s="74"/>
      <c r="BW79" s="74"/>
      <c r="BX79" s="72"/>
      <c r="BY79" s="72"/>
      <c r="BZ79" s="73"/>
      <c r="CA79" s="72"/>
      <c r="CB79" s="72"/>
      <c r="CC79" s="75" t="b">
        <f>IF(BU46=22,30)</f>
        <v>0</v>
      </c>
      <c r="CD79" s="72"/>
      <c r="CF79" s="40"/>
      <c r="CG79" s="40"/>
      <c r="CH79" s="40"/>
      <c r="CI79" s="40"/>
      <c r="CJ79" s="40"/>
      <c r="CK79" s="40"/>
      <c r="CL79" s="40"/>
      <c r="CM79" s="40"/>
    </row>
    <row r="80" spans="7:119" ht="56" hidden="1" customHeight="1" thickBot="1" x14ac:dyDescent="0.25">
      <c r="G80" s="890"/>
      <c r="H80" s="22"/>
      <c r="I80" s="22"/>
      <c r="J80" s="22"/>
      <c r="K80" s="22"/>
      <c r="L80" s="22"/>
      <c r="M80" s="22"/>
      <c r="N80" s="22"/>
      <c r="O80" s="883"/>
      <c r="AV80" s="855"/>
      <c r="AW80" s="47"/>
      <c r="AX80" s="38"/>
      <c r="AY80" s="56">
        <v>21</v>
      </c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L80" s="71" t="b">
        <f>IF(BT46=21,13)</f>
        <v>0</v>
      </c>
      <c r="BM80" s="72"/>
      <c r="BN80" s="72"/>
      <c r="BO80" s="72"/>
      <c r="BP80" s="72"/>
      <c r="BQ80" s="575"/>
      <c r="BR80" s="575"/>
      <c r="BS80" s="575"/>
      <c r="BT80" s="583"/>
      <c r="BU80" s="72"/>
      <c r="BV80" s="72"/>
      <c r="BW80" s="72"/>
      <c r="BX80" s="72"/>
      <c r="BY80" s="72"/>
      <c r="BZ80" s="72"/>
      <c r="CA80" s="72"/>
      <c r="CB80" s="75" t="b">
        <f>IF(BT46=21,29)</f>
        <v>0</v>
      </c>
      <c r="CD80" s="38"/>
      <c r="CE80" s="38"/>
      <c r="CF80" s="38"/>
      <c r="CG80" s="38"/>
      <c r="CH80" s="38"/>
      <c r="CI80" s="38"/>
      <c r="CJ80" s="38"/>
      <c r="CK80" s="38"/>
      <c r="CL80" s="40"/>
      <c r="CM80" s="40"/>
      <c r="DO80" s="81"/>
    </row>
    <row r="81" spans="2:119" ht="45" hidden="1" customHeight="1" thickBot="1" x14ac:dyDescent="0.25">
      <c r="G81" s="890"/>
      <c r="H81" s="22"/>
      <c r="I81" s="22"/>
      <c r="J81" s="22"/>
      <c r="K81" s="22"/>
      <c r="L81" s="22"/>
      <c r="M81" s="22"/>
      <c r="N81" s="22"/>
      <c r="O81" s="883"/>
      <c r="AV81" s="855"/>
      <c r="AW81" s="47"/>
      <c r="AX81" s="932"/>
      <c r="AY81" s="56">
        <v>20</v>
      </c>
      <c r="AZ81" s="40"/>
      <c r="BA81" s="40"/>
      <c r="BB81" s="40"/>
      <c r="BC81" s="40"/>
      <c r="BD81" s="40"/>
      <c r="BE81" s="40"/>
      <c r="BF81" s="40"/>
      <c r="BG81" s="40"/>
      <c r="BJ81" s="82"/>
      <c r="BK81" s="68">
        <f>IF(BS46=20,12)</f>
        <v>12</v>
      </c>
      <c r="BL81" s="64"/>
      <c r="BM81" s="64"/>
      <c r="BN81" s="64"/>
      <c r="BO81" s="64"/>
      <c r="BP81" s="64"/>
      <c r="BQ81" s="575"/>
      <c r="BR81" s="575"/>
      <c r="BS81" s="575"/>
      <c r="BT81" s="582"/>
      <c r="BU81" s="64"/>
      <c r="BV81" s="64"/>
      <c r="BW81" s="64"/>
      <c r="BX81" s="64"/>
      <c r="BY81" s="64"/>
      <c r="BZ81" s="64"/>
      <c r="CB81" s="60">
        <f>IF(BS46=20,29)</f>
        <v>29</v>
      </c>
      <c r="CD81" s="38"/>
      <c r="CE81" s="38"/>
      <c r="CF81" s="38"/>
      <c r="CG81" s="38"/>
      <c r="CH81" s="38"/>
      <c r="CI81" s="38"/>
      <c r="CJ81" s="38"/>
      <c r="CK81" s="38"/>
      <c r="CL81" s="40"/>
      <c r="CM81" s="40"/>
    </row>
    <row r="82" spans="2:119" ht="21" hidden="1" thickBot="1" x14ac:dyDescent="0.25">
      <c r="G82" s="890"/>
      <c r="H82" s="22"/>
      <c r="I82" s="22"/>
      <c r="J82" s="22"/>
      <c r="K82" s="22"/>
      <c r="L82" s="22"/>
      <c r="M82" s="22"/>
      <c r="N82" s="22"/>
      <c r="O82" s="883"/>
      <c r="AV82" s="855"/>
      <c r="AW82" s="47"/>
      <c r="AX82" s="932"/>
      <c r="AY82" s="56">
        <v>19</v>
      </c>
      <c r="AZ82" s="40"/>
      <c r="BA82" s="40"/>
      <c r="BB82" s="40"/>
      <c r="BC82" s="40"/>
      <c r="BD82" s="40"/>
      <c r="BE82" s="40"/>
      <c r="BF82" s="40"/>
      <c r="BG82" s="40"/>
      <c r="BI82" s="68" t="b">
        <f>IF(BR46=19,10)</f>
        <v>0</v>
      </c>
      <c r="BJ82" s="83"/>
      <c r="BL82" s="70"/>
      <c r="BM82" s="70"/>
      <c r="BN82" s="69"/>
      <c r="BO82" s="70"/>
      <c r="BP82" s="70"/>
      <c r="BQ82" s="95"/>
      <c r="BR82" s="95"/>
      <c r="BS82" s="95"/>
      <c r="BT82" s="584"/>
      <c r="BU82" s="70"/>
      <c r="BV82" s="70"/>
      <c r="BW82" s="70"/>
      <c r="BX82" s="64"/>
      <c r="BZ82" s="84"/>
      <c r="CA82" s="82"/>
      <c r="CB82" s="60" t="b">
        <f>IF(BR46=19,29)</f>
        <v>0</v>
      </c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DO82" s="81"/>
    </row>
    <row r="83" spans="2:119" ht="22.5" hidden="1" customHeight="1" thickBot="1" x14ac:dyDescent="0.25">
      <c r="G83" s="890"/>
      <c r="H83" s="22"/>
      <c r="I83" s="22"/>
      <c r="J83" s="22"/>
      <c r="K83" s="835">
        <v>5</v>
      </c>
      <c r="L83" s="22"/>
      <c r="M83" s="835">
        <v>51</v>
      </c>
      <c r="N83" s="22"/>
      <c r="O83" s="883"/>
      <c r="AV83" s="855"/>
      <c r="AW83" s="47"/>
      <c r="AX83" s="932"/>
      <c r="AY83" s="56">
        <v>18</v>
      </c>
      <c r="AZ83" s="38"/>
      <c r="BA83" s="38"/>
      <c r="BB83" s="38"/>
      <c r="BC83" s="38"/>
      <c r="BD83" s="38"/>
      <c r="BE83" s="38"/>
      <c r="BF83" s="38"/>
      <c r="BG83" s="68" t="b">
        <f>IF(BQ46=18,8)</f>
        <v>0</v>
      </c>
      <c r="BJ83" s="70"/>
      <c r="BK83" s="70"/>
      <c r="BL83" s="70"/>
      <c r="BM83" s="70"/>
      <c r="BN83" s="69"/>
      <c r="BO83" s="70"/>
      <c r="BP83" s="70"/>
      <c r="BQ83" s="95"/>
      <c r="BR83" s="95"/>
      <c r="BS83" s="95"/>
      <c r="BT83" s="584"/>
      <c r="BU83" s="70"/>
      <c r="BV83" s="70"/>
      <c r="BW83" s="70"/>
      <c r="BX83" s="64"/>
      <c r="CA83" s="40"/>
      <c r="CB83" s="60" t="b">
        <f>IF(BQ46=18,29)</f>
        <v>0</v>
      </c>
      <c r="CC83" s="40"/>
      <c r="CD83" s="40"/>
      <c r="CE83" s="40"/>
      <c r="CF83" s="40"/>
      <c r="CG83" s="40"/>
      <c r="CH83" s="40"/>
      <c r="CI83" s="40"/>
      <c r="CJ83" s="40"/>
      <c r="CK83" s="40"/>
      <c r="CL83" s="40"/>
      <c r="CM83" s="40"/>
      <c r="DO83" s="81"/>
    </row>
    <row r="84" spans="2:119" ht="61.5" hidden="1" customHeight="1" thickBot="1" x14ac:dyDescent="0.25">
      <c r="G84" s="890"/>
      <c r="H84" s="22"/>
      <c r="I84" s="22"/>
      <c r="J84" s="22"/>
      <c r="K84" s="836" t="s">
        <v>220</v>
      </c>
      <c r="L84" s="836" t="s">
        <v>221</v>
      </c>
      <c r="M84" s="836" t="s">
        <v>222</v>
      </c>
      <c r="N84" s="22"/>
      <c r="O84" s="883"/>
      <c r="AV84" s="855"/>
      <c r="AW84" s="47"/>
      <c r="AX84" s="932"/>
      <c r="AY84" s="56">
        <v>17</v>
      </c>
      <c r="AZ84" s="38"/>
      <c r="BA84" s="38"/>
      <c r="BB84" s="38"/>
      <c r="BC84" s="38"/>
      <c r="BD84" s="38"/>
      <c r="BE84" s="68" t="b">
        <f>IF(BP46=17,6)</f>
        <v>0</v>
      </c>
      <c r="BF84" s="38"/>
      <c r="BH84" s="69"/>
      <c r="BI84" s="69"/>
      <c r="BJ84" s="70"/>
      <c r="BK84" s="70"/>
      <c r="BL84" s="70"/>
      <c r="BM84" s="70"/>
      <c r="BN84" s="70"/>
      <c r="BO84" s="70"/>
      <c r="BP84" s="70"/>
      <c r="BQ84" s="95"/>
      <c r="BR84" s="95"/>
      <c r="BS84" s="95"/>
      <c r="BT84" s="580"/>
      <c r="BU84" s="70"/>
      <c r="BV84" s="70"/>
      <c r="BW84" s="69"/>
      <c r="BX84" s="69"/>
      <c r="BZ84" s="40"/>
      <c r="CA84" s="40"/>
      <c r="CB84" s="60" t="b">
        <f>IF(BP46=17,29)</f>
        <v>0</v>
      </c>
      <c r="CC84" s="40"/>
      <c r="CD84" s="40"/>
      <c r="CE84" s="40"/>
      <c r="CF84" s="40"/>
      <c r="CG84" s="40"/>
      <c r="CH84" s="40"/>
      <c r="CI84" s="40"/>
      <c r="CJ84" s="40"/>
      <c r="CK84" s="40"/>
      <c r="CL84" s="40"/>
      <c r="CM84" s="40"/>
      <c r="DO84" s="81"/>
    </row>
    <row r="85" spans="2:119" ht="50.25" hidden="1" customHeight="1" thickBot="1" x14ac:dyDescent="0.3">
      <c r="G85" s="890"/>
      <c r="H85" s="22"/>
      <c r="I85" s="22"/>
      <c r="J85" s="871" t="s">
        <v>192</v>
      </c>
      <c r="K85" s="858">
        <f>+MIN(J19:K20)</f>
        <v>82.061068702290072</v>
      </c>
      <c r="L85" s="859">
        <f>+$E$11/(AZ14)</f>
        <v>82.061068702290072</v>
      </c>
      <c r="M85" s="859">
        <f>+MIN(K25:L26)</f>
        <v>77.689507190073329</v>
      </c>
      <c r="N85" s="22"/>
      <c r="O85" s="883"/>
      <c r="AV85" s="855"/>
      <c r="AW85" s="47"/>
      <c r="AX85" s="932"/>
      <c r="AY85" s="56">
        <v>16</v>
      </c>
      <c r="AZ85" s="38"/>
      <c r="BA85" s="38"/>
      <c r="BB85" s="38"/>
      <c r="BC85" s="87" t="b">
        <f>IF(BO46=16,4)</f>
        <v>0</v>
      </c>
      <c r="BD85" s="38"/>
      <c r="BF85" s="88"/>
      <c r="BG85" s="89"/>
      <c r="BH85" s="89"/>
      <c r="BI85" s="88"/>
      <c r="BJ85" s="88"/>
      <c r="BK85" s="88"/>
      <c r="BL85" s="88"/>
      <c r="BM85" s="88"/>
      <c r="BN85" s="88"/>
      <c r="BO85" s="88"/>
      <c r="BP85" s="88"/>
      <c r="BQ85" s="95"/>
      <c r="BR85" s="95"/>
      <c r="BS85" s="95"/>
      <c r="BT85" s="585"/>
      <c r="BU85" s="88"/>
      <c r="BV85" s="89"/>
      <c r="BW85" s="89"/>
      <c r="BX85" s="90"/>
      <c r="BZ85" s="40"/>
      <c r="CA85" s="40"/>
      <c r="CB85" s="91" t="b">
        <f>IF(BO46=16,29)</f>
        <v>0</v>
      </c>
      <c r="CC85" s="40"/>
      <c r="CD85" s="40"/>
      <c r="CE85" s="40"/>
      <c r="CF85" s="40"/>
      <c r="CG85" s="40"/>
      <c r="CH85" s="40"/>
      <c r="CI85" s="40"/>
      <c r="CJ85" s="40"/>
      <c r="CK85" s="40"/>
      <c r="CL85" s="40"/>
      <c r="CM85" s="40"/>
      <c r="DO85" s="81"/>
    </row>
    <row r="86" spans="2:119" ht="22.5" hidden="1" customHeight="1" thickBot="1" x14ac:dyDescent="0.25">
      <c r="G86" s="890"/>
      <c r="H86" s="22"/>
      <c r="I86" s="814">
        <v>6</v>
      </c>
      <c r="J86" s="814">
        <v>61</v>
      </c>
      <c r="K86" s="814">
        <v>62</v>
      </c>
      <c r="L86" s="814">
        <v>63</v>
      </c>
      <c r="M86" s="835">
        <v>64</v>
      </c>
      <c r="N86" s="22"/>
      <c r="O86" s="883"/>
      <c r="AV86" s="855"/>
      <c r="AW86" s="47"/>
      <c r="AX86" s="932"/>
      <c r="AY86" s="56">
        <v>15</v>
      </c>
      <c r="AZ86" s="38"/>
      <c r="BA86" s="68" t="b">
        <f>IF(BN46=15,2)</f>
        <v>0</v>
      </c>
      <c r="BB86" s="38"/>
      <c r="BD86" s="70"/>
      <c r="BE86" s="70"/>
      <c r="BF86" s="70"/>
      <c r="BG86" s="69"/>
      <c r="BH86" s="70"/>
      <c r="BI86" s="70"/>
      <c r="BJ86" s="69"/>
      <c r="BK86" s="70"/>
      <c r="BL86" s="70"/>
      <c r="BM86" s="70"/>
      <c r="BN86" s="70"/>
      <c r="BO86" s="70"/>
      <c r="BP86" s="70"/>
      <c r="BQ86" s="95"/>
      <c r="BR86" s="256"/>
      <c r="BS86" s="95"/>
      <c r="BT86" s="580"/>
      <c r="BU86" s="69"/>
      <c r="BV86" s="70"/>
      <c r="BW86" s="70"/>
      <c r="BX86" s="64"/>
      <c r="BZ86" s="40"/>
      <c r="CA86" s="40"/>
      <c r="CB86" s="60" t="b">
        <f>IF(BN46=15,29)</f>
        <v>0</v>
      </c>
      <c r="CC86" s="40"/>
      <c r="CD86" s="40"/>
      <c r="CE86" s="40"/>
      <c r="CF86" s="40"/>
      <c r="CG86" s="40"/>
      <c r="CH86" s="40"/>
      <c r="CI86" s="40"/>
      <c r="CJ86" s="40"/>
      <c r="CK86" s="40"/>
      <c r="CL86" s="40"/>
      <c r="CM86" s="40"/>
    </row>
    <row r="87" spans="2:119" ht="24" hidden="1" customHeight="1" thickBot="1" x14ac:dyDescent="0.25">
      <c r="G87" s="890"/>
      <c r="H87" s="22"/>
      <c r="I87" s="22"/>
      <c r="J87" s="22"/>
      <c r="K87" s="22"/>
      <c r="L87" s="22"/>
      <c r="M87" s="22"/>
      <c r="N87" s="22"/>
      <c r="O87" s="883"/>
      <c r="AV87" s="855"/>
      <c r="AW87" s="47"/>
      <c r="AX87" s="932"/>
      <c r="AY87" s="56">
        <v>14</v>
      </c>
      <c r="AZ87" s="38"/>
      <c r="BB87" s="70"/>
      <c r="BC87" s="70"/>
      <c r="BD87" s="70"/>
      <c r="BE87" s="69"/>
      <c r="BF87" s="70"/>
      <c r="BG87" s="68" t="b">
        <f>IF(BM46=14,8)</f>
        <v>0</v>
      </c>
      <c r="BH87" s="69"/>
      <c r="BI87" s="70"/>
      <c r="BJ87" s="70"/>
      <c r="BK87" s="70"/>
      <c r="BL87" s="70"/>
      <c r="BM87" s="70"/>
      <c r="BN87" s="70"/>
      <c r="BO87" s="70"/>
      <c r="BP87" s="70"/>
      <c r="BQ87" s="95"/>
      <c r="BR87" s="256"/>
      <c r="BS87" s="60" t="b">
        <f>IF(BM46=14,20)</f>
        <v>0</v>
      </c>
      <c r="BT87" s="580"/>
      <c r="BU87" s="69"/>
      <c r="BV87" s="70"/>
      <c r="BW87" s="70"/>
      <c r="BX87" s="64"/>
      <c r="BZ87" s="40"/>
      <c r="CA87" s="40"/>
      <c r="CB87" s="40"/>
      <c r="CC87" s="40"/>
      <c r="CD87" s="40"/>
      <c r="CE87" s="40"/>
      <c r="CF87" s="40"/>
      <c r="CG87" s="40"/>
      <c r="CH87" s="40"/>
      <c r="CI87" s="40"/>
      <c r="CJ87" s="40"/>
      <c r="CK87" s="40"/>
      <c r="CL87" s="40"/>
      <c r="CM87" s="40"/>
      <c r="DO87" s="81"/>
    </row>
    <row r="88" spans="2:119" ht="28.5" hidden="1" customHeight="1" thickBot="1" x14ac:dyDescent="0.25">
      <c r="E88" s="230"/>
      <c r="G88" s="890"/>
      <c r="H88" s="22"/>
      <c r="I88" s="22"/>
      <c r="J88" s="22"/>
      <c r="K88" s="22"/>
      <c r="L88" s="22"/>
      <c r="M88" s="22"/>
      <c r="N88" s="22"/>
      <c r="O88" s="883"/>
      <c r="AV88" s="855"/>
      <c r="AW88" s="47"/>
      <c r="AX88" s="932"/>
      <c r="AY88" s="56">
        <v>13</v>
      </c>
      <c r="AZ88" s="38"/>
      <c r="BA88" s="38"/>
      <c r="BB88" s="38"/>
      <c r="BD88" s="92"/>
      <c r="BE88" s="71" t="b">
        <f>IF(BL46=13,6)</f>
        <v>0</v>
      </c>
      <c r="BF88" s="51"/>
      <c r="BG88" s="92"/>
      <c r="BI88" s="74"/>
      <c r="BJ88" s="74"/>
      <c r="BK88" s="74"/>
      <c r="BL88" s="74"/>
      <c r="BM88" s="74"/>
      <c r="BN88" s="74"/>
      <c r="BO88" s="74"/>
      <c r="BQ88" s="38"/>
      <c r="BS88" s="74" t="b">
        <f>IF(BL46=13,20)</f>
        <v>0</v>
      </c>
      <c r="BT88" s="586"/>
      <c r="BV88" s="38"/>
      <c r="BW88" s="38"/>
      <c r="BX88" s="40"/>
      <c r="BY88" s="40"/>
      <c r="BZ88" s="40"/>
      <c r="CA88" s="40"/>
      <c r="CB88" s="40"/>
      <c r="CC88" s="40"/>
      <c r="CD88" s="40"/>
      <c r="CE88" s="40"/>
      <c r="CF88" s="40"/>
      <c r="CG88" s="40"/>
      <c r="CH88" s="40"/>
      <c r="CI88" s="40"/>
      <c r="CJ88" s="40"/>
      <c r="CK88" s="40"/>
      <c r="CL88" s="40"/>
      <c r="CM88" s="40"/>
    </row>
    <row r="89" spans="2:119" ht="21" hidden="1" thickBot="1" x14ac:dyDescent="0.25">
      <c r="E89" s="230"/>
      <c r="G89" s="890"/>
      <c r="H89" s="22"/>
      <c r="I89" s="22"/>
      <c r="J89" s="22"/>
      <c r="K89" s="22"/>
      <c r="L89" s="22"/>
      <c r="M89" s="22"/>
      <c r="N89" s="22"/>
      <c r="O89" s="883"/>
      <c r="AV89" s="855"/>
      <c r="AW89" s="47"/>
      <c r="AX89" s="932"/>
      <c r="AY89" s="56">
        <v>12</v>
      </c>
      <c r="AZ89" s="38"/>
      <c r="BB89" s="83"/>
      <c r="BC89" s="68" t="b">
        <f>IF(BK46=12,4)</f>
        <v>0</v>
      </c>
      <c r="BD89" s="84"/>
      <c r="BE89" s="83"/>
      <c r="BG89" s="70"/>
      <c r="BH89" s="70"/>
      <c r="BI89" s="70"/>
      <c r="BJ89" s="70"/>
      <c r="BK89" s="70"/>
      <c r="BL89" s="70"/>
      <c r="BM89" s="70"/>
      <c r="BN89" s="70"/>
      <c r="BO89" s="70"/>
      <c r="BQ89" s="38"/>
      <c r="BS89" s="70" t="b">
        <f>IF(BK46=12,20)</f>
        <v>0</v>
      </c>
      <c r="BT89" s="587"/>
      <c r="BV89" s="38"/>
      <c r="BW89" s="38"/>
      <c r="BX89" s="40"/>
      <c r="BY89" s="40"/>
      <c r="BZ89" s="40"/>
      <c r="CA89" s="40"/>
      <c r="CB89" s="40"/>
      <c r="CC89" s="40"/>
      <c r="CD89" s="40"/>
      <c r="CE89" s="40"/>
      <c r="CF89" s="40"/>
      <c r="CG89" s="40"/>
      <c r="CH89" s="40"/>
      <c r="CI89" s="40"/>
      <c r="CJ89" s="40"/>
      <c r="CK89" s="40"/>
      <c r="CL89" s="40"/>
      <c r="CM89" s="40"/>
    </row>
    <row r="90" spans="2:119" ht="21" hidden="1" thickBot="1" x14ac:dyDescent="0.25">
      <c r="E90" s="230"/>
      <c r="G90" s="890"/>
      <c r="H90" s="22"/>
      <c r="I90" s="22"/>
      <c r="J90" s="22"/>
      <c r="K90" s="22"/>
      <c r="L90" s="22"/>
      <c r="M90" s="22"/>
      <c r="N90" s="22"/>
      <c r="O90" s="883"/>
      <c r="AV90" s="855"/>
      <c r="AW90" s="47"/>
      <c r="AX90" s="932"/>
      <c r="AY90" s="56">
        <v>11</v>
      </c>
      <c r="BA90" s="68" t="b">
        <f>IF(BJ46=11,2)</f>
        <v>0</v>
      </c>
      <c r="BB90" s="51"/>
      <c r="BC90" s="92"/>
      <c r="BE90" s="70"/>
      <c r="BF90" s="70"/>
      <c r="BG90" s="70"/>
      <c r="BH90" s="70"/>
      <c r="BI90" s="70"/>
      <c r="BJ90" s="70"/>
      <c r="BK90" s="70"/>
      <c r="BL90" s="70"/>
      <c r="BM90" s="70"/>
      <c r="BN90" s="70"/>
      <c r="BO90" s="70"/>
      <c r="BQ90" s="38"/>
      <c r="BS90" s="70" t="b">
        <f>IF(BJ46=11,20)</f>
        <v>0</v>
      </c>
      <c r="BT90" s="588"/>
      <c r="BU90" s="38"/>
      <c r="BV90" s="38"/>
      <c r="BW90" s="38"/>
      <c r="BX90" s="40"/>
      <c r="BY90" s="40"/>
      <c r="BZ90" s="40"/>
      <c r="CA90" s="40"/>
      <c r="CB90" s="40"/>
      <c r="CC90" s="40"/>
      <c r="CD90" s="40"/>
      <c r="CE90" s="40"/>
      <c r="CF90" s="40"/>
      <c r="CG90" s="40"/>
      <c r="CH90" s="40"/>
      <c r="CI90" s="40"/>
      <c r="CJ90" s="40"/>
      <c r="CK90" s="40"/>
      <c r="CL90" s="40"/>
      <c r="CM90" s="40"/>
    </row>
    <row r="91" spans="2:119" ht="21" hidden="1" thickBot="1" x14ac:dyDescent="0.25">
      <c r="E91" s="230"/>
      <c r="G91" s="890"/>
      <c r="H91" s="22"/>
      <c r="I91" s="22"/>
      <c r="J91" s="22"/>
      <c r="K91" s="22"/>
      <c r="L91" s="22"/>
      <c r="M91" s="22"/>
      <c r="N91" s="22"/>
      <c r="O91" s="883"/>
      <c r="P91" s="124"/>
      <c r="Q91" s="124"/>
      <c r="R91" s="124"/>
      <c r="S91" s="124"/>
      <c r="T91" s="124"/>
      <c r="U91" s="231"/>
      <c r="V91" s="124"/>
      <c r="W91" s="124"/>
      <c r="X91" s="124"/>
      <c r="Y91" s="232"/>
      <c r="Z91" s="232"/>
      <c r="AA91" s="233"/>
      <c r="AV91" s="855"/>
      <c r="AW91" s="47"/>
      <c r="AX91" s="932"/>
      <c r="AY91" s="56">
        <v>10</v>
      </c>
      <c r="AZ91" s="68" t="b">
        <f>IF(BI46=10,1)</f>
        <v>0</v>
      </c>
      <c r="BA91" s="92"/>
      <c r="BC91" s="70"/>
      <c r="BD91" s="70"/>
      <c r="BE91" s="70"/>
      <c r="BF91" s="70"/>
      <c r="BG91" s="70"/>
      <c r="BH91" s="70"/>
      <c r="BI91" s="70"/>
      <c r="BJ91" s="70"/>
      <c r="BK91" s="70"/>
      <c r="BL91" s="70"/>
      <c r="BM91" s="70"/>
      <c r="BN91" s="70"/>
      <c r="BO91" s="70"/>
      <c r="BQ91" s="38"/>
      <c r="BR91" s="70" t="b">
        <f>IF(BI46=10,19)</f>
        <v>0</v>
      </c>
      <c r="BS91" s="38"/>
      <c r="BT91" s="589"/>
      <c r="BU91" s="38"/>
      <c r="BV91" s="38"/>
      <c r="BW91" s="38"/>
      <c r="BX91" s="40"/>
      <c r="BY91" s="40"/>
      <c r="BZ91" s="40"/>
      <c r="CA91" s="40"/>
      <c r="CB91" s="40"/>
      <c r="CC91" s="40"/>
      <c r="CD91" s="40"/>
      <c r="CE91" s="40"/>
      <c r="CF91" s="40"/>
      <c r="CG91" s="40"/>
      <c r="CH91" s="40"/>
      <c r="CI91" s="40"/>
      <c r="CJ91" s="40"/>
      <c r="CK91" s="40"/>
      <c r="CL91" s="40"/>
      <c r="CM91" s="40"/>
    </row>
    <row r="92" spans="2:119" ht="21" hidden="1" thickBot="1" x14ac:dyDescent="0.25">
      <c r="D92" s="77"/>
      <c r="E92" s="230"/>
      <c r="G92" s="890"/>
      <c r="H92" s="22"/>
      <c r="I92" s="22"/>
      <c r="J92" s="22"/>
      <c r="K92" s="22"/>
      <c r="L92" s="22"/>
      <c r="M92" s="22"/>
      <c r="N92" s="22"/>
      <c r="O92" s="883"/>
      <c r="AV92" s="855"/>
      <c r="AW92" s="47"/>
      <c r="AX92" s="932"/>
      <c r="AY92" s="56">
        <v>9</v>
      </c>
      <c r="AZ92" s="68" t="b">
        <f>IF(BH46=9,1)</f>
        <v>0</v>
      </c>
      <c r="BA92" s="70"/>
      <c r="BB92" s="70"/>
      <c r="BC92" s="70"/>
      <c r="BD92" s="70"/>
      <c r="BE92" s="70"/>
      <c r="BF92" s="70"/>
      <c r="BG92" s="70"/>
      <c r="BH92" s="70"/>
      <c r="BI92" s="70"/>
      <c r="BJ92" s="70"/>
      <c r="BK92" s="70"/>
      <c r="BL92" s="70"/>
      <c r="BM92" s="70"/>
      <c r="BN92" s="70"/>
      <c r="BO92" s="70"/>
      <c r="BP92" s="70" t="b">
        <f>IF(BH46=9,17)</f>
        <v>0</v>
      </c>
      <c r="BQ92" s="38"/>
      <c r="BR92" s="38"/>
      <c r="BS92" s="38"/>
      <c r="BT92" s="589"/>
      <c r="BU92" s="38"/>
      <c r="BV92" s="38"/>
      <c r="BW92" s="38"/>
      <c r="BX92" s="40"/>
      <c r="BY92" s="40"/>
      <c r="BZ92" s="40"/>
      <c r="CA92" s="40"/>
      <c r="CB92" s="40"/>
      <c r="CC92" s="40"/>
      <c r="CD92" s="40"/>
      <c r="CE92" s="40"/>
      <c r="CF92" s="40"/>
      <c r="CG92" s="40"/>
      <c r="CH92" s="40"/>
      <c r="CI92" s="40"/>
      <c r="CJ92" s="40"/>
      <c r="CK92" s="40"/>
      <c r="CL92" s="40"/>
      <c r="CM92" s="40"/>
    </row>
    <row r="93" spans="2:119" ht="21" hidden="1" thickBot="1" x14ac:dyDescent="0.25">
      <c r="B93" s="234"/>
      <c r="C93" s="77"/>
      <c r="D93" s="77"/>
      <c r="E93" s="230"/>
      <c r="G93" s="890"/>
      <c r="H93" s="22"/>
      <c r="I93" s="22"/>
      <c r="J93" s="22"/>
      <c r="K93" s="22"/>
      <c r="L93" s="22"/>
      <c r="M93" s="22"/>
      <c r="N93" s="22"/>
      <c r="O93" s="883"/>
      <c r="AV93" s="855"/>
      <c r="AW93" s="47"/>
      <c r="AX93" s="932"/>
      <c r="AY93" s="56">
        <v>8</v>
      </c>
      <c r="AZ93" s="68" t="b">
        <f>IF(BG46=8,1)</f>
        <v>0</v>
      </c>
      <c r="BA93" s="70"/>
      <c r="BB93" s="69"/>
      <c r="BC93" s="70"/>
      <c r="BD93" s="70"/>
      <c r="BE93" s="70"/>
      <c r="BF93" s="70"/>
      <c r="BG93" s="70"/>
      <c r="BH93" s="70"/>
      <c r="BI93" s="70"/>
      <c r="BJ93" s="70"/>
      <c r="BK93" s="70"/>
      <c r="BL93" s="69"/>
      <c r="BM93" s="70"/>
      <c r="BN93" s="60" t="b">
        <f>IF(BG46=8,15)</f>
        <v>0</v>
      </c>
      <c r="BO93" s="38"/>
      <c r="BP93" s="38"/>
      <c r="BQ93" s="38"/>
      <c r="BR93" s="38"/>
      <c r="BS93" s="38"/>
      <c r="BT93" s="589"/>
      <c r="BU93" s="38"/>
      <c r="BV93" s="38"/>
      <c r="BW93" s="38"/>
      <c r="BX93" s="40"/>
      <c r="BY93" s="40"/>
      <c r="BZ93" s="40"/>
      <c r="CA93" s="40"/>
      <c r="CB93" s="40"/>
      <c r="CC93" s="40"/>
      <c r="CD93" s="40"/>
      <c r="CE93" s="40"/>
      <c r="CF93" s="40"/>
      <c r="CG93" s="40"/>
      <c r="CH93" s="40"/>
      <c r="CI93" s="40"/>
      <c r="CJ93" s="40"/>
      <c r="CK93" s="40"/>
      <c r="CL93" s="40"/>
      <c r="CM93" s="40"/>
    </row>
    <row r="94" spans="2:119" ht="21" hidden="1" thickBot="1" x14ac:dyDescent="0.25">
      <c r="B94" s="234"/>
      <c r="C94" s="77"/>
      <c r="D94" s="77"/>
      <c r="E94" s="230"/>
      <c r="G94" s="890"/>
      <c r="H94" s="22"/>
      <c r="I94" s="22"/>
      <c r="J94" s="22"/>
      <c r="K94" s="22"/>
      <c r="L94" s="22"/>
      <c r="M94" s="22"/>
      <c r="N94" s="22"/>
      <c r="O94" s="883"/>
      <c r="AV94" s="855"/>
      <c r="AW94" s="47"/>
      <c r="AX94" s="932"/>
      <c r="AY94" s="56">
        <v>7</v>
      </c>
      <c r="AZ94" s="68" t="b">
        <f>IF(BF46=7,1)</f>
        <v>0</v>
      </c>
      <c r="BA94" s="69"/>
      <c r="BB94" s="70"/>
      <c r="BC94" s="70"/>
      <c r="BD94" s="70"/>
      <c r="BE94" s="70"/>
      <c r="BF94" s="70"/>
      <c r="BG94" s="70"/>
      <c r="BH94" s="70"/>
      <c r="BI94" s="70"/>
      <c r="BJ94" s="69"/>
      <c r="BK94" s="69"/>
      <c r="BL94" s="60" t="b">
        <f>IF(BF46=7,13)</f>
        <v>0</v>
      </c>
      <c r="BM94" s="38"/>
      <c r="BN94" s="38"/>
      <c r="BO94" s="38"/>
      <c r="BP94" s="38"/>
      <c r="BQ94" s="38"/>
      <c r="BR94" s="38"/>
      <c r="BS94" s="38"/>
      <c r="BT94" s="589"/>
      <c r="BU94" s="38"/>
      <c r="BV94" s="38"/>
      <c r="BW94" s="38"/>
      <c r="BX94" s="40"/>
      <c r="BY94" s="40"/>
      <c r="BZ94" s="40"/>
      <c r="CA94" s="40"/>
      <c r="CB94" s="40"/>
      <c r="CC94" s="40"/>
      <c r="CD94" s="40"/>
      <c r="CE94" s="40"/>
      <c r="CF94" s="40"/>
      <c r="CG94" s="40"/>
      <c r="CH94" s="40"/>
      <c r="CI94" s="40"/>
      <c r="CJ94" s="40"/>
      <c r="CK94" s="40"/>
      <c r="CL94" s="40"/>
      <c r="CM94" s="40"/>
    </row>
    <row r="95" spans="2:119" ht="21" hidden="1" thickBot="1" x14ac:dyDescent="0.25">
      <c r="B95" s="234"/>
      <c r="C95" s="77"/>
      <c r="D95" s="77"/>
      <c r="E95" s="230"/>
      <c r="G95" s="890"/>
      <c r="H95" s="22"/>
      <c r="I95" s="22"/>
      <c r="J95" s="22"/>
      <c r="K95" s="22"/>
      <c r="L95" s="22"/>
      <c r="M95" s="22"/>
      <c r="N95" s="22"/>
      <c r="O95" s="883"/>
      <c r="AV95" s="855"/>
      <c r="AW95" s="47"/>
      <c r="AX95" s="932"/>
      <c r="AY95" s="56">
        <v>6</v>
      </c>
      <c r="AZ95" s="71" t="b">
        <f>IF(BE46=6,1)</f>
        <v>0</v>
      </c>
      <c r="BA95" s="74"/>
      <c r="BB95" s="74"/>
      <c r="BC95" s="74"/>
      <c r="BD95" s="74"/>
      <c r="BE95" s="74"/>
      <c r="BF95" s="74"/>
      <c r="BG95" s="74"/>
      <c r="BH95" s="74"/>
      <c r="BI95" s="74"/>
      <c r="BJ95" s="75" t="b">
        <f>IF(BE46=6,11)</f>
        <v>0</v>
      </c>
      <c r="BK95" s="38"/>
      <c r="BL95" s="38"/>
      <c r="BM95" s="38"/>
      <c r="BN95" s="38"/>
      <c r="BO95" s="38"/>
      <c r="BP95" s="38"/>
      <c r="BQ95" s="38"/>
      <c r="BR95" s="38"/>
      <c r="BS95" s="38"/>
      <c r="BT95" s="589"/>
      <c r="BU95" s="38"/>
      <c r="BV95" s="38"/>
      <c r="BW95" s="38"/>
      <c r="BX95" s="40"/>
      <c r="BY95" s="40"/>
      <c r="BZ95" s="40"/>
      <c r="CA95" s="40"/>
      <c r="CB95" s="40"/>
      <c r="CC95" s="40"/>
      <c r="CD95" s="40"/>
      <c r="CE95" s="40"/>
      <c r="CF95" s="40"/>
      <c r="CG95" s="40"/>
      <c r="CH95" s="40"/>
      <c r="CI95" s="40"/>
      <c r="CJ95" s="40"/>
      <c r="CK95" s="40"/>
      <c r="CL95" s="40"/>
      <c r="CM95" s="40"/>
    </row>
    <row r="96" spans="2:119" ht="24" hidden="1" customHeight="1" thickBot="1" x14ac:dyDescent="0.25">
      <c r="B96" s="234"/>
      <c r="C96" s="77"/>
      <c r="D96" s="77"/>
      <c r="E96" s="230"/>
      <c r="G96" s="890"/>
      <c r="H96" s="22"/>
      <c r="I96" s="22"/>
      <c r="J96" s="22"/>
      <c r="K96" s="22"/>
      <c r="L96" s="22"/>
      <c r="M96" s="22"/>
      <c r="N96" s="22"/>
      <c r="O96" s="883"/>
      <c r="AV96" s="855"/>
      <c r="AW96" s="47"/>
      <c r="AX96" s="932"/>
      <c r="AY96" s="56">
        <v>5</v>
      </c>
      <c r="AZ96" s="71" t="b">
        <f>IF(BD46=5,1)</f>
        <v>0</v>
      </c>
      <c r="BA96" s="73"/>
      <c r="BB96" s="74"/>
      <c r="BC96" s="74"/>
      <c r="BD96" s="74"/>
      <c r="BE96" s="74"/>
      <c r="BF96" s="74"/>
      <c r="BG96" s="73"/>
      <c r="BH96" s="75" t="b">
        <f>IF(BD46=5,9)</f>
        <v>0</v>
      </c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589"/>
      <c r="BU96" s="38"/>
      <c r="BV96" s="38"/>
      <c r="BW96" s="38"/>
      <c r="BX96" s="40"/>
      <c r="BY96" s="40"/>
      <c r="BZ96" s="40"/>
      <c r="CA96" s="40"/>
      <c r="CB96" s="40"/>
      <c r="CC96" s="40"/>
      <c r="CD96" s="40"/>
      <c r="CE96" s="40"/>
      <c r="CF96" s="40"/>
      <c r="CG96" s="40"/>
      <c r="CH96" s="40"/>
      <c r="CI96" s="40"/>
      <c r="CJ96" s="40"/>
      <c r="CK96" s="40"/>
      <c r="CL96" s="40"/>
      <c r="CM96" s="40"/>
      <c r="DK96" s="67"/>
    </row>
    <row r="97" spans="2:115" ht="24" hidden="1" customHeight="1" thickBot="1" x14ac:dyDescent="0.25">
      <c r="B97" s="6"/>
      <c r="C97" s="77"/>
      <c r="D97" s="77"/>
      <c r="E97" s="6"/>
      <c r="G97" s="890"/>
      <c r="H97" s="22"/>
      <c r="I97" s="22"/>
      <c r="J97" s="22"/>
      <c r="K97" s="22"/>
      <c r="L97" s="22"/>
      <c r="M97" s="22"/>
      <c r="N97" s="22"/>
      <c r="O97" s="883"/>
      <c r="AV97" s="855"/>
      <c r="AW97" s="47"/>
      <c r="AX97" s="932"/>
      <c r="AY97" s="56">
        <v>4</v>
      </c>
      <c r="AZ97" s="71" t="b">
        <f>IF(BC46=4,1)</f>
        <v>0</v>
      </c>
      <c r="BA97" s="74"/>
      <c r="BB97" s="74"/>
      <c r="BC97" s="74"/>
      <c r="BD97" s="74"/>
      <c r="BE97" s="74"/>
      <c r="BF97" s="75" t="b">
        <f>IF(BC46=4,7)</f>
        <v>0</v>
      </c>
      <c r="BG97" s="38"/>
      <c r="BH97" s="93"/>
      <c r="BI97" s="93"/>
      <c r="BJ97" s="38"/>
      <c r="BK97" s="93"/>
      <c r="BL97" s="38"/>
      <c r="BM97" s="38"/>
      <c r="BN97" s="38"/>
      <c r="BO97" s="38"/>
      <c r="BP97" s="38"/>
      <c r="BQ97" s="38"/>
      <c r="BR97" s="38"/>
      <c r="BS97" s="38"/>
      <c r="BT97" s="589"/>
      <c r="BU97" s="38"/>
      <c r="BV97" s="38"/>
      <c r="BW97" s="38"/>
      <c r="BX97" s="40"/>
      <c r="BY97" s="40"/>
      <c r="BZ97" s="40"/>
      <c r="CA97" s="40"/>
      <c r="CB97" s="40"/>
      <c r="CC97" s="40"/>
      <c r="CD97" s="40"/>
      <c r="CE97" s="40"/>
      <c r="CF97" s="40"/>
      <c r="CG97" s="40"/>
      <c r="CH97" s="40"/>
      <c r="CI97" s="40"/>
      <c r="CJ97" s="40"/>
      <c r="CK97" s="40"/>
      <c r="CL97" s="40"/>
      <c r="CM97" s="40"/>
      <c r="DK97" s="67"/>
    </row>
    <row r="98" spans="2:115" ht="24" hidden="1" customHeight="1" thickBot="1" x14ac:dyDescent="0.25">
      <c r="B98" s="234"/>
      <c r="C98" s="77"/>
      <c r="D98" s="77"/>
      <c r="E98" s="230"/>
      <c r="G98" s="890"/>
      <c r="H98" s="22"/>
      <c r="I98" s="22"/>
      <c r="J98" s="22"/>
      <c r="K98" s="22"/>
      <c r="L98" s="22"/>
      <c r="M98" s="22"/>
      <c r="N98" s="22"/>
      <c r="O98" s="883"/>
      <c r="AV98" s="855"/>
      <c r="AW98" s="47"/>
      <c r="AX98" s="932"/>
      <c r="AY98" s="56">
        <v>3</v>
      </c>
      <c r="AZ98" s="71" t="b">
        <f>IF(BB46=3,1)</f>
        <v>0</v>
      </c>
      <c r="BA98" s="74"/>
      <c r="BB98" s="74"/>
      <c r="BC98" s="74"/>
      <c r="BD98" s="75" t="b">
        <f>IF(BB46=3,5)</f>
        <v>0</v>
      </c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589"/>
      <c r="BU98" s="38"/>
      <c r="BV98" s="38"/>
      <c r="BW98" s="38"/>
      <c r="BX98" s="40"/>
      <c r="BY98" s="40"/>
      <c r="BZ98" s="40"/>
      <c r="CA98" s="40"/>
      <c r="CB98" s="40"/>
      <c r="CC98" s="40"/>
      <c r="CD98" s="40"/>
      <c r="CE98" s="40"/>
      <c r="CF98" s="40"/>
      <c r="CG98" s="40"/>
      <c r="CH98" s="40"/>
      <c r="CI98" s="40"/>
      <c r="CJ98" s="40"/>
      <c r="CK98" s="40"/>
      <c r="CL98" s="40"/>
      <c r="CM98" s="40"/>
      <c r="DK98" s="67"/>
    </row>
    <row r="99" spans="2:115" ht="24" hidden="1" customHeight="1" thickBot="1" x14ac:dyDescent="0.25">
      <c r="B99" s="234"/>
      <c r="C99" s="77"/>
      <c r="D99" s="77"/>
      <c r="E99" s="230"/>
      <c r="G99" s="890"/>
      <c r="H99" s="22"/>
      <c r="I99" s="22"/>
      <c r="J99" s="22"/>
      <c r="K99" s="22"/>
      <c r="L99" s="22"/>
      <c r="M99" s="22"/>
      <c r="N99" s="22"/>
      <c r="O99" s="883"/>
      <c r="AV99" s="855"/>
      <c r="AW99" s="47"/>
      <c r="AX99" s="932"/>
      <c r="AY99" s="56">
        <v>2</v>
      </c>
      <c r="AZ99" s="94" t="b">
        <f>IF(BA46=2,1)</f>
        <v>0</v>
      </c>
      <c r="BA99" s="95"/>
      <c r="BB99" s="96" t="b">
        <f>IF(BA46=2,3)</f>
        <v>0</v>
      </c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591"/>
      <c r="BU99" s="38"/>
      <c r="BV99" s="38"/>
      <c r="BW99" s="38"/>
      <c r="BX99" s="40"/>
      <c r="BY99" s="40"/>
      <c r="BZ99" s="40"/>
      <c r="CA99" s="40"/>
      <c r="CB99" s="40"/>
      <c r="CC99" s="40"/>
      <c r="CD99" s="40"/>
      <c r="CE99" s="40"/>
      <c r="CF99" s="40"/>
      <c r="CG99" s="40"/>
      <c r="CH99" s="40"/>
      <c r="CI99" s="40"/>
      <c r="CJ99" s="40"/>
      <c r="CK99" s="40"/>
      <c r="CL99" s="40"/>
      <c r="CM99" s="40"/>
    </row>
    <row r="100" spans="2:115" ht="56.25" hidden="1" customHeight="1" x14ac:dyDescent="0.2">
      <c r="B100" s="234"/>
      <c r="C100" s="77"/>
      <c r="D100" s="77"/>
      <c r="E100" s="230"/>
      <c r="G100" s="890"/>
      <c r="H100" s="22"/>
      <c r="I100" s="22"/>
      <c r="J100" s="22"/>
      <c r="K100" s="22"/>
      <c r="L100" s="22"/>
      <c r="M100" s="22"/>
      <c r="N100" s="22"/>
      <c r="O100" s="883"/>
      <c r="AV100" s="855"/>
      <c r="AW100" s="47"/>
      <c r="AX100" s="932"/>
      <c r="AY100" s="97"/>
      <c r="AZ100" s="98">
        <f t="shared" ref="AZ100:CM100" si="3">SUM(AZ61:AZ99)</f>
        <v>0</v>
      </c>
      <c r="BA100" s="98">
        <f t="shared" si="3"/>
        <v>0</v>
      </c>
      <c r="BB100" s="98">
        <f t="shared" si="3"/>
        <v>0</v>
      </c>
      <c r="BC100" s="98">
        <f t="shared" si="3"/>
        <v>0</v>
      </c>
      <c r="BD100" s="98">
        <f t="shared" si="3"/>
        <v>0</v>
      </c>
      <c r="BE100" s="98">
        <f t="shared" si="3"/>
        <v>0</v>
      </c>
      <c r="BF100" s="98">
        <f t="shared" si="3"/>
        <v>0</v>
      </c>
      <c r="BG100" s="98">
        <f t="shared" si="3"/>
        <v>0</v>
      </c>
      <c r="BH100" s="98">
        <f t="shared" si="3"/>
        <v>0</v>
      </c>
      <c r="BI100" s="98">
        <f t="shared" si="3"/>
        <v>0</v>
      </c>
      <c r="BJ100" s="98">
        <f t="shared" si="3"/>
        <v>0</v>
      </c>
      <c r="BK100" s="98">
        <f t="shared" si="3"/>
        <v>12</v>
      </c>
      <c r="BL100" s="98">
        <f t="shared" si="3"/>
        <v>0</v>
      </c>
      <c r="BM100" s="98">
        <f t="shared" si="3"/>
        <v>0</v>
      </c>
      <c r="BN100" s="98">
        <f t="shared" si="3"/>
        <v>0</v>
      </c>
      <c r="BO100" s="98">
        <f t="shared" si="3"/>
        <v>0</v>
      </c>
      <c r="BP100" s="98">
        <f t="shared" si="3"/>
        <v>0</v>
      </c>
      <c r="BQ100" s="98">
        <f t="shared" si="3"/>
        <v>0</v>
      </c>
      <c r="BR100" s="98">
        <f t="shared" si="3"/>
        <v>0</v>
      </c>
      <c r="BS100" s="98">
        <f t="shared" si="3"/>
        <v>0</v>
      </c>
      <c r="BT100" s="98">
        <f t="shared" si="3"/>
        <v>0</v>
      </c>
      <c r="BU100" s="98">
        <f t="shared" si="3"/>
        <v>0</v>
      </c>
      <c r="BV100" s="98">
        <f t="shared" si="3"/>
        <v>0</v>
      </c>
      <c r="BW100" s="98">
        <f t="shared" si="3"/>
        <v>0</v>
      </c>
      <c r="BX100" s="98">
        <f t="shared" si="3"/>
        <v>0</v>
      </c>
      <c r="BY100" s="98">
        <f t="shared" si="3"/>
        <v>0</v>
      </c>
      <c r="BZ100" s="98">
        <f t="shared" si="3"/>
        <v>0</v>
      </c>
      <c r="CA100" s="98">
        <f t="shared" si="3"/>
        <v>0</v>
      </c>
      <c r="CB100" s="98">
        <f t="shared" si="3"/>
        <v>29</v>
      </c>
      <c r="CC100" s="98">
        <f t="shared" si="3"/>
        <v>0</v>
      </c>
      <c r="CD100" s="98">
        <f t="shared" si="3"/>
        <v>0</v>
      </c>
      <c r="CE100" s="98">
        <f t="shared" si="3"/>
        <v>0</v>
      </c>
      <c r="CF100" s="98">
        <f t="shared" si="3"/>
        <v>0</v>
      </c>
      <c r="CG100" s="98">
        <f t="shared" si="3"/>
        <v>0</v>
      </c>
      <c r="CH100" s="98">
        <f t="shared" si="3"/>
        <v>0</v>
      </c>
      <c r="CI100" s="98">
        <f t="shared" si="3"/>
        <v>0</v>
      </c>
      <c r="CJ100" s="98">
        <f t="shared" si="3"/>
        <v>0</v>
      </c>
      <c r="CK100" s="98">
        <f t="shared" si="3"/>
        <v>0</v>
      </c>
      <c r="CL100" s="98">
        <f t="shared" si="3"/>
        <v>0</v>
      </c>
      <c r="CM100" s="98">
        <f t="shared" si="3"/>
        <v>0</v>
      </c>
      <c r="CN100" s="98">
        <f>SUM(CN61:CN99)</f>
        <v>0</v>
      </c>
      <c r="DK100" s="77"/>
    </row>
    <row r="101" spans="2:115" ht="127.5" customHeight="1" thickBot="1" x14ac:dyDescent="0.25">
      <c r="B101" s="234"/>
      <c r="C101" s="77"/>
      <c r="D101" s="77"/>
      <c r="E101" s="230"/>
      <c r="G101" s="890"/>
      <c r="H101" s="22"/>
      <c r="I101" s="22"/>
      <c r="J101" s="22"/>
      <c r="K101" s="22"/>
      <c r="L101" s="22"/>
      <c r="M101" s="22"/>
      <c r="N101" s="22"/>
      <c r="O101" s="883"/>
      <c r="AV101" s="855"/>
      <c r="AW101" s="47"/>
      <c r="AX101" s="932"/>
      <c r="AY101" s="574"/>
      <c r="AZ101" s="99"/>
      <c r="BA101" s="99"/>
      <c r="BB101" s="99"/>
      <c r="BC101" s="99"/>
      <c r="BD101" s="99"/>
      <c r="BE101" s="99"/>
      <c r="BF101" s="99"/>
      <c r="BG101" s="99"/>
      <c r="BH101" s="99"/>
      <c r="BI101" s="99"/>
      <c r="BJ101" s="99"/>
      <c r="BK101" s="99"/>
      <c r="BL101" s="99"/>
      <c r="BM101" s="99"/>
      <c r="BN101" s="99"/>
      <c r="BO101" s="99"/>
      <c r="BP101" s="99"/>
      <c r="BQ101" s="99"/>
      <c r="BR101" s="99"/>
      <c r="BS101" s="99"/>
      <c r="BT101" s="99"/>
      <c r="BU101" s="99"/>
      <c r="BV101" s="99"/>
      <c r="BW101" s="99"/>
      <c r="BX101" s="99"/>
      <c r="BY101" s="99"/>
      <c r="BZ101" s="99"/>
      <c r="CA101" s="99"/>
      <c r="CB101" s="99"/>
      <c r="CC101" s="99"/>
      <c r="CD101" s="99"/>
      <c r="CE101" s="99"/>
      <c r="CF101" s="99"/>
      <c r="CG101" s="99"/>
      <c r="CH101" s="99"/>
      <c r="CI101" s="99"/>
      <c r="CJ101" s="99"/>
      <c r="CK101" s="40"/>
      <c r="CL101" s="40"/>
      <c r="CM101" s="40"/>
      <c r="DK101" s="77"/>
    </row>
    <row r="102" spans="2:115" ht="54" customHeight="1" thickBot="1" x14ac:dyDescent="0.3">
      <c r="B102" s="234"/>
      <c r="C102" s="77"/>
      <c r="D102" s="77"/>
      <c r="E102" s="230"/>
      <c r="G102" s="890"/>
      <c r="H102" s="22"/>
      <c r="I102" s="22"/>
      <c r="J102" s="22"/>
      <c r="K102" s="22"/>
      <c r="L102" s="22"/>
      <c r="M102" s="22"/>
      <c r="N102" s="22"/>
      <c r="O102" s="883"/>
      <c r="AV102" s="855"/>
      <c r="AW102" s="47"/>
      <c r="AX102" s="935" t="s">
        <v>110</v>
      </c>
      <c r="AY102" s="875" t="s">
        <v>164</v>
      </c>
      <c r="AZ102" s="600" t="str">
        <f>IF(AZ100=1,20,"")</f>
        <v/>
      </c>
      <c r="BA102" s="601" t="str">
        <f>IF(BA100=2,19,"")</f>
        <v/>
      </c>
      <c r="BB102" s="601" t="str">
        <f>IF(BB100=3,18,"")</f>
        <v/>
      </c>
      <c r="BC102" s="601" t="str">
        <f>IF(BC100=4,17,"")</f>
        <v/>
      </c>
      <c r="BD102" s="601" t="str">
        <f>IF(BD100=5,16,"")</f>
        <v/>
      </c>
      <c r="BE102" s="601" t="str">
        <f>IF(BE100=6,15,"")</f>
        <v/>
      </c>
      <c r="BF102" s="601" t="str">
        <f>IF(BF100=7,14,"")</f>
        <v/>
      </c>
      <c r="BG102" s="601" t="str">
        <f>IF(BG100=8,13,"")</f>
        <v/>
      </c>
      <c r="BH102" s="601" t="str">
        <f>IF(BH100=9,12,"")</f>
        <v/>
      </c>
      <c r="BI102" s="601" t="str">
        <f>IF(BI100=10,11,"")</f>
        <v/>
      </c>
      <c r="BJ102" s="601" t="str">
        <f>IF(BJ100=11,10,"")</f>
        <v/>
      </c>
      <c r="BK102" s="601">
        <f>IF(BK100=12,9,"")</f>
        <v>9</v>
      </c>
      <c r="BL102" s="907" t="str">
        <f>IF(BL100=13,"8 ADS-N","")</f>
        <v/>
      </c>
      <c r="BM102" s="601" t="str">
        <f>IF(BM100=14,7,"")</f>
        <v/>
      </c>
      <c r="BN102" s="601" t="str">
        <f>IF(BN100=15,6,"")</f>
        <v/>
      </c>
      <c r="BO102" s="601" t="str">
        <f>IF(BO100=16,5,"")</f>
        <v/>
      </c>
      <c r="BP102" s="601" t="str">
        <f>IF(BP100=17,4,"")</f>
        <v/>
      </c>
      <c r="BQ102" s="601" t="str">
        <f>IF(BQ100=18,3,"")</f>
        <v/>
      </c>
      <c r="BR102" s="601" t="str">
        <f>IF(BR100=19,2,"")</f>
        <v/>
      </c>
      <c r="BS102" s="601" t="str">
        <f>IF(BS100=20,1,"")</f>
        <v/>
      </c>
      <c r="BT102" s="602"/>
      <c r="BU102" s="603" t="str">
        <f>IF(BU100=22,1,"")</f>
        <v/>
      </c>
      <c r="BV102" s="603" t="str">
        <f>IF(BV100=23,2,"")</f>
        <v/>
      </c>
      <c r="BW102" s="603" t="str">
        <f>IF(BW100=24,3,"")</f>
        <v/>
      </c>
      <c r="BX102" s="603" t="str">
        <f>IF(BX100=25,4,"")</f>
        <v/>
      </c>
      <c r="BY102" s="603" t="str">
        <f>IF(BY100=26,5,"")</f>
        <v/>
      </c>
      <c r="BZ102" s="603" t="str">
        <f>IF(BZ100=27,6,"")</f>
        <v/>
      </c>
      <c r="CA102" s="603" t="str">
        <f>IF(CA100=28,7,"")</f>
        <v/>
      </c>
      <c r="CB102" s="907" t="str">
        <f>IF(CB100=29,"8  ADS-N ","")</f>
        <v xml:space="preserve">8  ADS-N </v>
      </c>
      <c r="CC102" s="603" t="str">
        <f>IF(CC100=30,9,"")</f>
        <v/>
      </c>
      <c r="CD102" s="603" t="str">
        <f>IF(CD100=31,10,"")</f>
        <v/>
      </c>
      <c r="CE102" s="603" t="str">
        <f>IF(CE100=32,11,"")</f>
        <v/>
      </c>
      <c r="CF102" s="603" t="str">
        <f>IF(CF100=33,12,"")</f>
        <v/>
      </c>
      <c r="CG102" s="603" t="str">
        <f>IF(CG100=34,13,"")</f>
        <v/>
      </c>
      <c r="CH102" s="603" t="str">
        <f>IF(CH100=35,14,"")</f>
        <v/>
      </c>
      <c r="CI102" s="603" t="str">
        <f>IF(CI100=36,15,"")</f>
        <v/>
      </c>
      <c r="CJ102" s="603" t="str">
        <f>IF(CJ100=37,16,"")</f>
        <v/>
      </c>
      <c r="CK102" s="603" t="str">
        <f>IF(CK100=38,17,"")</f>
        <v/>
      </c>
      <c r="CL102" s="603" t="str">
        <f>IF(CL100=39,18,"")</f>
        <v/>
      </c>
      <c r="CM102" s="603" t="str">
        <f>IF(CM100=40,19,"")</f>
        <v/>
      </c>
      <c r="CN102" s="604" t="str">
        <f>IF(CN100=41,20,"")</f>
        <v/>
      </c>
      <c r="DK102" s="77"/>
    </row>
    <row r="103" spans="2:115" ht="40.5" customHeight="1" thickBot="1" x14ac:dyDescent="0.3">
      <c r="B103" s="234"/>
      <c r="C103" s="77"/>
      <c r="D103" s="77"/>
      <c r="E103" s="230"/>
      <c r="G103" s="890"/>
      <c r="H103" s="22"/>
      <c r="I103" s="22"/>
      <c r="J103" s="22"/>
      <c r="K103" s="22"/>
      <c r="L103" s="22"/>
      <c r="M103" s="22"/>
      <c r="N103" s="22"/>
      <c r="O103" s="883"/>
      <c r="AU103" s="667">
        <v>6</v>
      </c>
      <c r="AV103" s="855" t="b">
        <f>AND(AX103&gt;=10,$AN$142&gt;=10,$AO$142&gt;=10)</f>
        <v>1</v>
      </c>
      <c r="AW103" s="873" t="str">
        <f>IF(AV103=TRUE,"O K","OVERLOAD")</f>
        <v>O K</v>
      </c>
      <c r="AX103" s="947">
        <f>SUM(I132:M132)</f>
        <v>164.12213740458014</v>
      </c>
      <c r="AY103" s="786" t="s">
        <v>92</v>
      </c>
      <c r="AZ103" s="780">
        <v>-10</v>
      </c>
      <c r="BA103" s="780">
        <v>-9</v>
      </c>
      <c r="BB103" s="780">
        <v>-8</v>
      </c>
      <c r="BC103" s="780">
        <v>-7</v>
      </c>
      <c r="BD103" s="780">
        <v>-6</v>
      </c>
      <c r="BE103" s="780">
        <v>-5</v>
      </c>
      <c r="BF103" s="780">
        <v>-4</v>
      </c>
      <c r="BG103" s="780">
        <v>-3</v>
      </c>
      <c r="BH103" s="780">
        <v>-2</v>
      </c>
      <c r="BI103" s="780">
        <v>-1</v>
      </c>
      <c r="BJ103" s="780">
        <v>0</v>
      </c>
      <c r="BK103" s="780">
        <v>1</v>
      </c>
      <c r="BL103" s="780">
        <v>2</v>
      </c>
      <c r="BM103" s="780">
        <v>3</v>
      </c>
      <c r="BN103" s="780">
        <v>4</v>
      </c>
      <c r="BO103" s="780">
        <v>5</v>
      </c>
      <c r="BP103" s="780">
        <v>6</v>
      </c>
      <c r="BQ103" s="780">
        <v>7</v>
      </c>
      <c r="BR103" s="780">
        <v>8</v>
      </c>
      <c r="BS103" s="780">
        <v>9</v>
      </c>
      <c r="BT103" s="780">
        <v>10</v>
      </c>
      <c r="BU103" s="780">
        <v>11</v>
      </c>
      <c r="BV103" s="780">
        <v>12</v>
      </c>
      <c r="BW103" s="780">
        <v>13</v>
      </c>
      <c r="BX103" s="780">
        <v>14</v>
      </c>
      <c r="BY103" s="780">
        <v>15</v>
      </c>
      <c r="BZ103" s="780">
        <v>16</v>
      </c>
      <c r="CA103" s="780">
        <v>17</v>
      </c>
      <c r="CB103" s="780">
        <v>18</v>
      </c>
      <c r="CC103" s="780">
        <v>19</v>
      </c>
      <c r="CD103" s="780">
        <v>20</v>
      </c>
      <c r="CE103" s="780">
        <v>21</v>
      </c>
      <c r="CF103" s="780">
        <v>22</v>
      </c>
      <c r="CG103" s="780">
        <v>23</v>
      </c>
      <c r="CH103" s="780">
        <v>24</v>
      </c>
      <c r="CI103" s="780">
        <v>25</v>
      </c>
      <c r="CJ103" s="780">
        <v>26</v>
      </c>
      <c r="CK103" s="780">
        <v>27</v>
      </c>
      <c r="CL103" s="780">
        <v>28</v>
      </c>
      <c r="CM103" s="780">
        <v>29</v>
      </c>
      <c r="CN103" s="780">
        <v>30</v>
      </c>
      <c r="CO103" s="778"/>
      <c r="DK103" s="77"/>
    </row>
    <row r="104" spans="2:115" ht="24" hidden="1" customHeight="1" x14ac:dyDescent="0.2">
      <c r="B104" s="234"/>
      <c r="C104" s="77"/>
      <c r="D104" s="77"/>
      <c r="E104" s="230"/>
      <c r="G104" s="890"/>
      <c r="H104" s="22"/>
      <c r="I104" s="22"/>
      <c r="J104" s="22"/>
      <c r="K104" s="22"/>
      <c r="L104" s="22"/>
      <c r="M104" s="22"/>
      <c r="N104" s="22"/>
      <c r="O104" s="883"/>
      <c r="AU104" s="81"/>
      <c r="AV104" s="856"/>
      <c r="AW104" s="81"/>
      <c r="AX104" s="905"/>
      <c r="AY104" s="40"/>
      <c r="AZ104" s="120">
        <v>1</v>
      </c>
      <c r="BA104" s="120">
        <v>2</v>
      </c>
      <c r="BB104" s="120">
        <v>3</v>
      </c>
      <c r="BC104" s="120">
        <v>4</v>
      </c>
      <c r="BD104" s="120">
        <v>5</v>
      </c>
      <c r="BE104" s="120">
        <v>6</v>
      </c>
      <c r="BF104" s="120">
        <v>7</v>
      </c>
      <c r="BG104" s="120">
        <v>8</v>
      </c>
      <c r="BH104" s="120">
        <v>9</v>
      </c>
      <c r="BI104" s="120">
        <v>10</v>
      </c>
      <c r="BJ104" s="120">
        <v>11</v>
      </c>
      <c r="BK104" s="120">
        <v>12</v>
      </c>
      <c r="BL104" s="120">
        <v>13</v>
      </c>
      <c r="BM104" s="120">
        <v>14</v>
      </c>
      <c r="BN104" s="120">
        <v>15</v>
      </c>
      <c r="BO104" s="120">
        <v>16</v>
      </c>
      <c r="BP104" s="120">
        <v>17</v>
      </c>
      <c r="BQ104" s="120">
        <v>18</v>
      </c>
      <c r="BR104" s="120">
        <v>19</v>
      </c>
      <c r="BS104" s="120">
        <v>20</v>
      </c>
      <c r="BT104" s="576">
        <v>21</v>
      </c>
      <c r="BU104" s="120">
        <v>22</v>
      </c>
      <c r="BV104" s="120">
        <v>23</v>
      </c>
      <c r="BW104" s="120">
        <v>24</v>
      </c>
      <c r="BX104" s="120">
        <v>25</v>
      </c>
      <c r="BY104" s="120">
        <v>26</v>
      </c>
      <c r="BZ104" s="120">
        <v>27</v>
      </c>
      <c r="CA104" s="120">
        <v>28</v>
      </c>
      <c r="CB104" s="120">
        <v>29</v>
      </c>
      <c r="CC104" s="120">
        <v>30</v>
      </c>
      <c r="CD104" s="120">
        <v>31</v>
      </c>
      <c r="CE104" s="120">
        <v>32</v>
      </c>
      <c r="CF104" s="120">
        <v>33</v>
      </c>
      <c r="CG104" s="120">
        <v>34</v>
      </c>
      <c r="CH104" s="120">
        <v>35</v>
      </c>
      <c r="CI104" s="120">
        <v>36</v>
      </c>
      <c r="CJ104" s="120">
        <v>37</v>
      </c>
      <c r="CK104" s="120">
        <v>38</v>
      </c>
      <c r="CL104" s="120">
        <v>39</v>
      </c>
      <c r="CM104" s="120">
        <v>40</v>
      </c>
      <c r="CN104" s="120">
        <v>41</v>
      </c>
      <c r="DK104" s="77"/>
    </row>
    <row r="105" spans="2:115" ht="21" hidden="1" customHeight="1" x14ac:dyDescent="0.2">
      <c r="B105" s="234"/>
      <c r="C105" s="77"/>
      <c r="D105" s="77"/>
      <c r="E105" s="230"/>
      <c r="G105" s="890"/>
      <c r="H105" s="22"/>
      <c r="I105" s="22"/>
      <c r="J105" s="22"/>
      <c r="K105" s="22"/>
      <c r="L105" s="22"/>
      <c r="M105" s="22"/>
      <c r="N105" s="22"/>
      <c r="O105" s="883"/>
      <c r="AU105" s="81"/>
      <c r="AV105" s="856"/>
      <c r="AW105" s="81"/>
      <c r="AX105" s="905"/>
      <c r="AY105" s="38"/>
      <c r="AZ105" s="38"/>
      <c r="BA105" s="38"/>
      <c r="BB105" s="38"/>
      <c r="BC105" s="38"/>
      <c r="BD105" s="38"/>
      <c r="BE105" s="123"/>
      <c r="BF105" s="123"/>
      <c r="BG105" s="123"/>
      <c r="BH105" s="123"/>
      <c r="BI105" s="123"/>
      <c r="BJ105" s="123"/>
      <c r="BK105" s="123"/>
      <c r="BL105" s="123"/>
      <c r="BM105" s="123"/>
      <c r="BN105" s="123"/>
      <c r="BO105" s="123"/>
      <c r="BP105" s="123"/>
      <c r="BQ105" s="123"/>
      <c r="BR105" s="123"/>
      <c r="BS105" s="40"/>
      <c r="BT105" s="40"/>
      <c r="BU105" s="40"/>
      <c r="BV105" s="40"/>
      <c r="BW105" s="40"/>
      <c r="BX105" s="40"/>
      <c r="BY105" s="40"/>
      <c r="BZ105" s="40"/>
      <c r="CA105" s="40"/>
      <c r="CB105" s="40"/>
      <c r="CC105" s="40"/>
      <c r="CD105" s="40"/>
      <c r="CE105" s="40"/>
      <c r="CF105" s="40"/>
      <c r="CG105" s="40"/>
      <c r="CH105" s="40"/>
      <c r="CI105" s="40"/>
      <c r="CJ105" s="40"/>
      <c r="CK105" s="40"/>
      <c r="CL105" s="40"/>
      <c r="CM105" s="40"/>
      <c r="DK105" s="81"/>
    </row>
    <row r="106" spans="2:115" ht="39.75" hidden="1" customHeight="1" x14ac:dyDescent="0.2">
      <c r="B106" s="234"/>
      <c r="C106" s="77"/>
      <c r="D106" s="77"/>
      <c r="E106" s="230"/>
      <c r="G106" s="890"/>
      <c r="H106" s="22"/>
      <c r="I106" s="22"/>
      <c r="J106" s="22"/>
      <c r="K106" s="22"/>
      <c r="L106" s="22"/>
      <c r="M106" s="22"/>
      <c r="N106" s="22"/>
      <c r="O106" s="883"/>
      <c r="AU106" s="81"/>
      <c r="AV106" s="856"/>
      <c r="AW106" s="81"/>
      <c r="AX106" s="905"/>
      <c r="AY106" s="77"/>
      <c r="AZ106" s="77"/>
      <c r="BA106" s="77"/>
      <c r="BB106" s="77"/>
      <c r="BC106" s="77"/>
      <c r="BD106" s="77"/>
      <c r="BE106" s="124"/>
      <c r="BF106" s="124"/>
      <c r="BG106" s="124"/>
      <c r="BH106" s="124"/>
      <c r="BI106" s="124"/>
      <c r="BJ106" s="124"/>
      <c r="BK106" s="124"/>
      <c r="BL106" s="124"/>
      <c r="BM106" s="124"/>
      <c r="BN106" s="124"/>
      <c r="BO106" s="124"/>
      <c r="BP106" s="124"/>
      <c r="BQ106" s="124"/>
      <c r="BR106" s="124"/>
      <c r="DK106" s="81"/>
    </row>
    <row r="107" spans="2:115" ht="21" hidden="1" customHeight="1" x14ac:dyDescent="0.2">
      <c r="B107" s="234"/>
      <c r="C107" s="77"/>
      <c r="D107" s="77"/>
      <c r="E107" s="230"/>
      <c r="G107" s="890"/>
      <c r="H107" s="22"/>
      <c r="I107" s="22"/>
      <c r="J107" s="22"/>
      <c r="K107" s="22"/>
      <c r="L107" s="22"/>
      <c r="M107" s="22"/>
      <c r="N107" s="22"/>
      <c r="O107" s="883"/>
      <c r="AU107" s="125" t="s">
        <v>55</v>
      </c>
      <c r="AV107" s="81"/>
      <c r="AW107" s="110"/>
      <c r="AX107" s="905"/>
      <c r="AY107" s="27"/>
      <c r="BB107" s="77"/>
      <c r="BC107" s="77"/>
      <c r="BD107" s="77"/>
      <c r="BE107" s="124"/>
      <c r="BF107" s="124"/>
      <c r="BG107" s="124"/>
      <c r="BH107" s="124"/>
      <c r="BI107" s="124"/>
      <c r="BJ107" s="124"/>
      <c r="BK107" s="124"/>
      <c r="BL107" s="124"/>
      <c r="BM107" s="124"/>
      <c r="BN107" s="124"/>
      <c r="BO107" s="124"/>
      <c r="BP107" s="124"/>
      <c r="BQ107" s="124"/>
      <c r="BR107" s="124"/>
      <c r="CA107" s="27"/>
      <c r="CP107" s="125" t="s">
        <v>54</v>
      </c>
      <c r="DK107" s="81"/>
    </row>
    <row r="108" spans="2:115" ht="21" hidden="1" customHeight="1" x14ac:dyDescent="0.2">
      <c r="B108" s="234"/>
      <c r="C108" s="77"/>
      <c r="D108" s="77"/>
      <c r="E108" s="230"/>
      <c r="G108" s="890"/>
      <c r="H108" s="22"/>
      <c r="I108" s="22"/>
      <c r="J108" s="22"/>
      <c r="K108" s="22"/>
      <c r="L108" s="22"/>
      <c r="M108" s="22"/>
      <c r="N108" s="22"/>
      <c r="O108" s="883"/>
      <c r="AU108" s="125">
        <f>-+BW165</f>
        <v>544.644384037176</v>
      </c>
      <c r="AV108" s="81"/>
      <c r="AW108" s="110"/>
      <c r="AX108" s="905"/>
      <c r="AY108" s="27"/>
      <c r="BB108" s="77"/>
      <c r="BC108" s="77"/>
      <c r="BD108" s="77"/>
      <c r="BE108" s="124"/>
      <c r="BF108" s="124"/>
      <c r="BG108" s="124"/>
      <c r="BH108" s="124"/>
      <c r="BI108" s="124"/>
      <c r="BJ108" s="124"/>
      <c r="BK108" s="124"/>
      <c r="BL108" s="124"/>
      <c r="BM108" s="124"/>
      <c r="BN108" s="124"/>
      <c r="BO108" s="124"/>
      <c r="BP108" s="124"/>
      <c r="BQ108" s="124"/>
      <c r="BR108" s="124"/>
      <c r="BY108" s="133"/>
      <c r="CA108" s="27"/>
      <c r="CP108" s="125">
        <f>+-BW205</f>
        <v>-575.355615962824</v>
      </c>
      <c r="DK108" s="81"/>
    </row>
    <row r="109" spans="2:115" ht="21" hidden="1" customHeight="1" x14ac:dyDescent="0.2">
      <c r="B109" s="234"/>
      <c r="C109" s="77"/>
      <c r="D109" s="77"/>
      <c r="E109" s="230"/>
      <c r="G109" s="890"/>
      <c r="H109" s="22"/>
      <c r="I109" s="22"/>
      <c r="J109" s="22"/>
      <c r="K109" s="22"/>
      <c r="L109" s="22"/>
      <c r="M109" s="22"/>
      <c r="N109" s="22"/>
      <c r="O109" s="883"/>
      <c r="AV109" s="81"/>
      <c r="AW109" s="81"/>
      <c r="AX109" s="905"/>
      <c r="AY109" s="77"/>
      <c r="AZ109" s="77"/>
      <c r="BA109" s="77"/>
      <c r="BB109" s="77"/>
      <c r="BC109" s="77"/>
      <c r="BD109" s="77"/>
      <c r="BE109" s="124"/>
      <c r="BF109" s="124"/>
      <c r="BG109" s="124"/>
      <c r="BH109" s="124"/>
      <c r="BI109" s="124"/>
      <c r="BJ109" s="124"/>
      <c r="BK109" s="124"/>
      <c r="BL109" s="124"/>
      <c r="BM109" s="124"/>
      <c r="BN109" s="124"/>
      <c r="BO109" s="124"/>
      <c r="BP109" s="124"/>
      <c r="BQ109" s="124"/>
      <c r="BR109" s="124"/>
      <c r="DK109" s="81"/>
    </row>
    <row r="110" spans="2:115" ht="21" hidden="1" customHeight="1" x14ac:dyDescent="0.3">
      <c r="B110" s="234"/>
      <c r="C110" s="77"/>
      <c r="D110" s="77"/>
      <c r="E110" s="230"/>
      <c r="G110" s="890"/>
      <c r="H110" s="22"/>
      <c r="I110" s="22"/>
      <c r="J110" s="22"/>
      <c r="K110" s="22"/>
      <c r="L110" s="22"/>
      <c r="M110" s="22"/>
      <c r="N110" s="22"/>
      <c r="O110" s="883"/>
      <c r="AV110" s="135"/>
      <c r="AW110" s="135"/>
      <c r="AX110" s="135"/>
      <c r="AY110" s="77"/>
      <c r="AZ110" s="77"/>
      <c r="BA110" s="77"/>
      <c r="BB110" s="77"/>
      <c r="BC110" s="77"/>
      <c r="BD110" s="77"/>
      <c r="BE110" s="124"/>
      <c r="BF110" s="124"/>
      <c r="BG110" s="124"/>
      <c r="BH110" s="124"/>
      <c r="BI110" s="124"/>
      <c r="BJ110" s="124"/>
      <c r="BK110" s="124"/>
      <c r="BL110" s="124"/>
      <c r="BM110" s="124"/>
      <c r="BN110" s="124"/>
      <c r="BO110" s="124"/>
      <c r="BP110" s="124"/>
      <c r="BQ110" s="124"/>
      <c r="BR110" s="124"/>
      <c r="DK110" s="81"/>
    </row>
    <row r="111" spans="2:115" ht="30.75" hidden="1" customHeight="1" x14ac:dyDescent="0.3">
      <c r="B111" s="235"/>
      <c r="C111" s="236"/>
      <c r="D111" s="236"/>
      <c r="E111" s="31"/>
      <c r="G111" s="890"/>
      <c r="H111" s="22"/>
      <c r="I111" s="22"/>
      <c r="J111" s="22"/>
      <c r="K111" s="22"/>
      <c r="L111" s="22"/>
      <c r="M111" s="22"/>
      <c r="N111" s="22"/>
      <c r="O111" s="883"/>
      <c r="AV111" s="135"/>
      <c r="AW111" s="135"/>
      <c r="AX111" s="135"/>
      <c r="AY111" s="77"/>
      <c r="AZ111" s="77"/>
      <c r="BA111" s="77"/>
      <c r="BB111" s="77"/>
      <c r="BC111" s="77"/>
      <c r="BD111" s="77"/>
      <c r="BE111" s="124"/>
      <c r="BF111" s="124"/>
      <c r="BG111" s="124"/>
      <c r="BH111" s="124"/>
      <c r="BI111" s="124"/>
      <c r="BJ111" s="124"/>
      <c r="BK111" s="124"/>
      <c r="BL111" s="124"/>
      <c r="BM111" s="124"/>
      <c r="BN111" s="124"/>
      <c r="BO111" s="124"/>
      <c r="BP111" s="124"/>
      <c r="BQ111" s="124"/>
      <c r="BR111" s="124"/>
      <c r="DK111" s="81"/>
    </row>
    <row r="112" spans="2:115" ht="21" hidden="1" customHeight="1" x14ac:dyDescent="0.3">
      <c r="B112" s="1011"/>
      <c r="C112" s="1011"/>
      <c r="D112" s="1011"/>
      <c r="E112" s="1011"/>
      <c r="G112" s="890"/>
      <c r="H112" s="22"/>
      <c r="I112" s="22"/>
      <c r="J112" s="22"/>
      <c r="K112" s="22"/>
      <c r="L112" s="22"/>
      <c r="M112" s="22"/>
      <c r="N112" s="22"/>
      <c r="O112" s="883"/>
      <c r="AV112" s="135"/>
      <c r="AW112" s="135"/>
      <c r="AX112" s="135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77"/>
      <c r="CG112" s="77"/>
      <c r="CH112" s="77"/>
      <c r="CI112" s="77"/>
      <c r="CJ112" s="77"/>
      <c r="DK112" s="81"/>
    </row>
    <row r="113" spans="2:119" ht="21" hidden="1" customHeight="1" x14ac:dyDescent="0.3">
      <c r="B113" s="234"/>
      <c r="C113" s="77"/>
      <c r="D113" s="77"/>
      <c r="E113" s="230"/>
      <c r="G113" s="890"/>
      <c r="H113" s="22"/>
      <c r="I113" s="22"/>
      <c r="J113" s="22"/>
      <c r="K113" s="22"/>
      <c r="L113" s="22"/>
      <c r="M113" s="22"/>
      <c r="N113" s="22"/>
      <c r="O113" s="883"/>
      <c r="AV113" s="135"/>
      <c r="AW113" s="135"/>
      <c r="AX113" s="135"/>
      <c r="BR113" s="156"/>
      <c r="BS113" s="156"/>
      <c r="BT113" s="156"/>
      <c r="BU113" s="156"/>
      <c r="BV113" s="156"/>
      <c r="BW113" s="156"/>
      <c r="DK113" s="81"/>
    </row>
    <row r="114" spans="2:119" ht="21" hidden="1" customHeight="1" x14ac:dyDescent="0.3">
      <c r="B114" s="234"/>
      <c r="C114" s="77"/>
      <c r="D114" s="27"/>
      <c r="E114" s="230"/>
      <c r="F114" s="27"/>
      <c r="G114" s="890"/>
      <c r="H114" s="22"/>
      <c r="I114" s="22"/>
      <c r="J114" s="22"/>
      <c r="K114" s="22"/>
      <c r="L114" s="22"/>
      <c r="M114" s="22"/>
      <c r="N114" s="22"/>
      <c r="O114" s="883"/>
      <c r="AV114" s="135"/>
      <c r="AW114" s="135"/>
      <c r="AX114" s="135"/>
      <c r="DK114" s="81"/>
    </row>
    <row r="115" spans="2:119" ht="21" hidden="1" customHeight="1" x14ac:dyDescent="0.3">
      <c r="B115" s="237"/>
      <c r="C115" s="236"/>
      <c r="D115" s="237"/>
      <c r="E115" s="237"/>
      <c r="G115" s="890"/>
      <c r="H115" s="22"/>
      <c r="I115" s="22"/>
      <c r="J115" s="22"/>
      <c r="K115" s="22"/>
      <c r="L115" s="22"/>
      <c r="M115" s="22"/>
      <c r="N115" s="22"/>
      <c r="O115" s="883"/>
      <c r="AV115" s="135"/>
      <c r="AW115" s="135"/>
      <c r="AX115" s="135"/>
      <c r="DK115" s="81"/>
    </row>
    <row r="116" spans="2:119" ht="21" hidden="1" customHeight="1" x14ac:dyDescent="0.3">
      <c r="B116" s="238"/>
      <c r="C116" s="236"/>
      <c r="D116" s="47"/>
      <c r="E116" s="239"/>
      <c r="G116" s="890"/>
      <c r="H116" s="22"/>
      <c r="I116" s="22"/>
      <c r="J116" s="22"/>
      <c r="K116" s="22"/>
      <c r="L116" s="22"/>
      <c r="M116" s="22"/>
      <c r="N116" s="22"/>
      <c r="O116" s="883"/>
      <c r="AV116" s="135"/>
      <c r="AW116" s="135"/>
      <c r="AX116" s="135"/>
      <c r="DK116" s="81"/>
    </row>
    <row r="117" spans="2:119" ht="21" hidden="1" customHeight="1" x14ac:dyDescent="0.3">
      <c r="B117" s="238"/>
      <c r="C117" s="236"/>
      <c r="D117" s="236"/>
      <c r="E117" s="239"/>
      <c r="G117" s="890"/>
      <c r="H117" s="22"/>
      <c r="I117" s="22"/>
      <c r="J117" s="22"/>
      <c r="K117" s="22"/>
      <c r="L117" s="22"/>
      <c r="M117" s="22"/>
      <c r="N117" s="22"/>
      <c r="O117" s="883"/>
      <c r="AV117" s="135"/>
      <c r="AW117" s="135"/>
      <c r="AX117" s="135"/>
      <c r="DK117" s="81"/>
    </row>
    <row r="118" spans="2:119" ht="21" hidden="1" customHeight="1" x14ac:dyDescent="0.3">
      <c r="B118" s="240"/>
      <c r="C118" s="47"/>
      <c r="D118" s="47"/>
      <c r="E118" s="47"/>
      <c r="G118" s="890"/>
      <c r="H118" s="22"/>
      <c r="I118" s="22"/>
      <c r="J118" s="22"/>
      <c r="K118" s="22"/>
      <c r="L118" s="22"/>
      <c r="M118" s="22"/>
      <c r="N118" s="22"/>
      <c r="O118" s="883"/>
      <c r="AV118" s="135"/>
      <c r="AW118" s="135"/>
      <c r="AX118" s="135"/>
      <c r="DK118" s="81"/>
    </row>
    <row r="119" spans="2:119" ht="21" hidden="1" customHeight="1" x14ac:dyDescent="0.3">
      <c r="B119" s="238"/>
      <c r="C119" s="236"/>
      <c r="G119" s="890"/>
      <c r="H119" s="22"/>
      <c r="I119" s="22"/>
      <c r="J119" s="22"/>
      <c r="K119" s="22"/>
      <c r="L119" s="22"/>
      <c r="M119" s="22"/>
      <c r="N119" s="22"/>
      <c r="O119" s="883"/>
      <c r="AV119" s="135"/>
      <c r="AW119" s="135"/>
      <c r="AX119" s="135"/>
      <c r="AZ119">
        <v>1</v>
      </c>
      <c r="BA119">
        <v>2</v>
      </c>
      <c r="BB119">
        <v>3</v>
      </c>
      <c r="BC119">
        <v>4</v>
      </c>
      <c r="BD119">
        <v>5</v>
      </c>
      <c r="BE119">
        <v>6</v>
      </c>
      <c r="BF119">
        <v>7</v>
      </c>
      <c r="BG119">
        <v>8</v>
      </c>
      <c r="BH119">
        <v>9</v>
      </c>
      <c r="BI119">
        <v>10</v>
      </c>
      <c r="BJ119">
        <v>11</v>
      </c>
      <c r="BK119">
        <v>12</v>
      </c>
      <c r="BL119">
        <v>13</v>
      </c>
      <c r="BM119">
        <v>14</v>
      </c>
      <c r="BN119">
        <v>15</v>
      </c>
      <c r="BO119">
        <v>16</v>
      </c>
      <c r="BP119">
        <v>17</v>
      </c>
      <c r="BQ119">
        <v>18</v>
      </c>
      <c r="BR119">
        <v>19</v>
      </c>
      <c r="BS119">
        <v>20</v>
      </c>
      <c r="BT119">
        <v>21</v>
      </c>
      <c r="BU119">
        <v>22</v>
      </c>
      <c r="BV119">
        <v>23</v>
      </c>
      <c r="BW119">
        <v>24</v>
      </c>
      <c r="BX119">
        <v>25</v>
      </c>
      <c r="BY119">
        <v>26</v>
      </c>
      <c r="BZ119">
        <v>27</v>
      </c>
      <c r="CA119">
        <v>28</v>
      </c>
      <c r="CB119">
        <v>29</v>
      </c>
      <c r="CC119">
        <v>30</v>
      </c>
      <c r="CD119">
        <v>31</v>
      </c>
      <c r="CE119">
        <v>32</v>
      </c>
      <c r="CF119">
        <v>33</v>
      </c>
      <c r="CG119">
        <v>34</v>
      </c>
      <c r="CH119">
        <v>35</v>
      </c>
      <c r="CI119">
        <v>36</v>
      </c>
      <c r="CJ119">
        <v>37</v>
      </c>
      <c r="CK119">
        <v>38</v>
      </c>
      <c r="CL119">
        <v>39</v>
      </c>
      <c r="CM119">
        <v>40</v>
      </c>
      <c r="CN119">
        <v>41</v>
      </c>
      <c r="DK119" s="81"/>
    </row>
    <row r="120" spans="2:119" ht="21" hidden="1" customHeight="1" x14ac:dyDescent="0.3">
      <c r="B120" s="241"/>
      <c r="C120" s="47"/>
      <c r="D120" s="241"/>
      <c r="E120" s="242"/>
      <c r="G120" s="890"/>
      <c r="H120" s="22"/>
      <c r="I120" s="22"/>
      <c r="J120" s="22"/>
      <c r="K120" s="22"/>
      <c r="L120" s="22"/>
      <c r="M120" s="22"/>
      <c r="N120" s="22"/>
      <c r="O120" s="883"/>
      <c r="AV120" s="135"/>
      <c r="AW120" s="135"/>
      <c r="AX120" s="135"/>
      <c r="DK120" s="81"/>
    </row>
    <row r="121" spans="2:119" ht="21" hidden="1" customHeight="1" x14ac:dyDescent="0.3">
      <c r="B121" s="241"/>
      <c r="C121" s="47"/>
      <c r="D121" s="241"/>
      <c r="E121" s="7"/>
      <c r="G121" s="890"/>
      <c r="H121" s="22"/>
      <c r="I121" s="22"/>
      <c r="J121" s="22"/>
      <c r="K121" s="22"/>
      <c r="L121" s="22"/>
      <c r="M121" s="22"/>
      <c r="N121" s="22"/>
      <c r="O121" s="883"/>
      <c r="AV121" s="135"/>
      <c r="AW121" s="135"/>
      <c r="AX121" s="135"/>
      <c r="DK121" s="81"/>
    </row>
    <row r="122" spans="2:119" ht="21" hidden="1" customHeight="1" x14ac:dyDescent="0.3">
      <c r="B122" s="85"/>
      <c r="G122" s="890"/>
      <c r="H122" s="22"/>
      <c r="I122" s="22"/>
      <c r="J122" s="22"/>
      <c r="K122" s="22"/>
      <c r="L122" s="22"/>
      <c r="M122" s="22"/>
      <c r="N122" s="22"/>
      <c r="O122" s="883"/>
      <c r="AV122" s="135"/>
      <c r="AW122" s="135"/>
      <c r="AX122" s="135"/>
      <c r="DK122" s="81"/>
    </row>
    <row r="123" spans="2:119" hidden="1" x14ac:dyDescent="0.2">
      <c r="C123" s="77"/>
      <c r="G123" s="890"/>
      <c r="H123" s="22"/>
      <c r="I123" s="22"/>
      <c r="J123" s="22"/>
      <c r="K123" s="22"/>
      <c r="L123" s="22"/>
      <c r="M123" s="22"/>
      <c r="N123" s="22"/>
      <c r="O123" s="883"/>
      <c r="DK123" s="81"/>
    </row>
    <row r="124" spans="2:119" ht="96.75" hidden="1" customHeight="1" x14ac:dyDescent="0.2">
      <c r="B124" s="234"/>
      <c r="C124" s="77"/>
      <c r="D124" s="77"/>
      <c r="E124" s="230"/>
      <c r="G124" s="890"/>
      <c r="H124" s="22"/>
      <c r="I124" s="837" t="s">
        <v>193</v>
      </c>
      <c r="J124" s="837" t="s">
        <v>194</v>
      </c>
      <c r="K124" s="838" t="s">
        <v>195</v>
      </c>
      <c r="L124" s="839" t="s">
        <v>196</v>
      </c>
      <c r="M124" s="840" t="s">
        <v>197</v>
      </c>
      <c r="N124" s="22"/>
      <c r="O124" s="883"/>
      <c r="DK124" s="81"/>
    </row>
    <row r="125" spans="2:119" ht="57" hidden="1" customHeight="1" thickBot="1" x14ac:dyDescent="0.25">
      <c r="B125" s="234"/>
      <c r="C125" s="77"/>
      <c r="D125" s="77"/>
      <c r="E125" s="230"/>
      <c r="G125" s="890"/>
      <c r="H125" s="22"/>
      <c r="I125" s="836" t="s">
        <v>198</v>
      </c>
      <c r="J125" s="841" t="s">
        <v>199</v>
      </c>
      <c r="K125" s="842" t="s">
        <v>200</v>
      </c>
      <c r="L125" s="843" t="s">
        <v>200</v>
      </c>
      <c r="M125" s="844" t="s">
        <v>200</v>
      </c>
      <c r="N125" s="22"/>
      <c r="O125" s="883"/>
      <c r="DK125" s="81"/>
    </row>
    <row r="126" spans="2:119" ht="121" hidden="1" thickBot="1" x14ac:dyDescent="0.3">
      <c r="B126" s="234"/>
      <c r="C126" s="77"/>
      <c r="D126" s="77"/>
      <c r="E126" s="230"/>
      <c r="G126" s="890"/>
      <c r="H126" s="871" t="s">
        <v>201</v>
      </c>
      <c r="I126" s="858">
        <f>+MIN(K31:L32)</f>
        <v>77.689507190073329</v>
      </c>
      <c r="J126" s="858">
        <f>+MIN(J37:K38)</f>
        <v>89.124947853928035</v>
      </c>
      <c r="K126" s="860">
        <f>+MIN(J43:L44)</f>
        <v>164.12213740458014</v>
      </c>
      <c r="L126" s="861">
        <f>+MIN(J49:L50)</f>
        <v>45.801526717557252</v>
      </c>
      <c r="M126" s="862">
        <f>+MIN(J55:L56)</f>
        <v>164.12213740458014</v>
      </c>
      <c r="N126" s="22"/>
      <c r="O126" s="883"/>
      <c r="DK126" s="81"/>
    </row>
    <row r="127" spans="2:119" ht="45" hidden="1" customHeight="1" x14ac:dyDescent="0.2">
      <c r="B127" s="234"/>
      <c r="C127" s="77"/>
      <c r="D127" s="77"/>
      <c r="E127" s="230"/>
      <c r="G127" s="845"/>
      <c r="H127" s="77"/>
      <c r="I127" s="77"/>
      <c r="J127" s="77"/>
      <c r="K127" s="77"/>
      <c r="L127" s="77"/>
      <c r="M127" s="77"/>
      <c r="N127" s="77"/>
      <c r="O127" s="846"/>
      <c r="DK127" s="81"/>
    </row>
    <row r="128" spans="2:119" ht="30" hidden="1" x14ac:dyDescent="0.2">
      <c r="G128" s="890"/>
      <c r="H128" s="122"/>
      <c r="I128" s="122"/>
      <c r="J128" s="122"/>
      <c r="K128" s="122"/>
      <c r="L128" s="122"/>
      <c r="M128" s="122"/>
      <c r="N128" s="122"/>
      <c r="O128" s="847"/>
      <c r="DO128" s="81"/>
    </row>
    <row r="129" spans="2:119" ht="20" hidden="1" x14ac:dyDescent="0.2">
      <c r="B129" s="234"/>
      <c r="C129" s="77"/>
      <c r="D129" s="77"/>
      <c r="E129" s="230"/>
      <c r="G129" s="890"/>
      <c r="H129" s="22"/>
      <c r="I129" s="22"/>
      <c r="J129" s="22"/>
      <c r="K129" s="22"/>
      <c r="L129" s="22"/>
      <c r="M129" s="22"/>
      <c r="N129" s="22"/>
      <c r="O129" s="883"/>
      <c r="DK129" s="81"/>
      <c r="DO129" s="81"/>
    </row>
    <row r="130" spans="2:119" ht="23" hidden="1" x14ac:dyDescent="0.25">
      <c r="B130" s="234"/>
      <c r="C130" s="77"/>
      <c r="D130" s="77"/>
      <c r="E130" s="230"/>
      <c r="G130" s="890"/>
      <c r="H130" s="22"/>
      <c r="I130" s="848" t="s">
        <v>188</v>
      </c>
      <c r="J130" s="848" t="s">
        <v>183</v>
      </c>
      <c r="K130" s="872" t="s">
        <v>223</v>
      </c>
      <c r="L130" s="872" t="s">
        <v>223</v>
      </c>
      <c r="M130" s="22"/>
      <c r="N130" s="22"/>
      <c r="O130" s="883"/>
      <c r="DK130" s="81"/>
      <c r="DO130" s="81"/>
    </row>
    <row r="131" spans="2:119" ht="28.5" hidden="1" customHeight="1" x14ac:dyDescent="0.25">
      <c r="B131" s="234"/>
      <c r="C131" s="77"/>
      <c r="D131" s="77"/>
      <c r="E131" s="230"/>
      <c r="G131" s="849"/>
      <c r="H131" s="130"/>
      <c r="I131" s="868">
        <f>COUNTIF(BU102:CN102,"&gt;0")</f>
        <v>0</v>
      </c>
      <c r="J131" s="868">
        <f>COUNTIF(AZ102:BS102,"&gt;0")</f>
        <v>1</v>
      </c>
      <c r="K131" s="868" t="b">
        <f>AND(IF(SUM(AZ102:BK102)&gt;0,1,0),IF(CB102="8  ADS-N ",1,0))</f>
        <v>1</v>
      </c>
      <c r="L131" s="868" t="b">
        <f>AND(IF(SUM(CC102:CN102)&gt;0,1,0),IF(BL102="8 ADS-N",1,0))</f>
        <v>0</v>
      </c>
      <c r="M131" s="868" t="b">
        <f>AND(IF(CB102="8  ADS-N ",1,0),IF(BL102="8 ADS-N",1,0))</f>
        <v>0</v>
      </c>
      <c r="N131" s="130"/>
      <c r="O131" s="850"/>
      <c r="DK131" s="81"/>
      <c r="DO131" s="81"/>
    </row>
    <row r="132" spans="2:119" ht="28.5" hidden="1" customHeight="1" thickBot="1" x14ac:dyDescent="0.3">
      <c r="B132" s="234"/>
      <c r="C132" s="77"/>
      <c r="D132" s="77"/>
      <c r="E132" s="230"/>
      <c r="G132" s="851"/>
      <c r="H132" s="852"/>
      <c r="I132" s="869">
        <f>IF(I131=2,I126,0)</f>
        <v>0</v>
      </c>
      <c r="J132" s="869">
        <f>IF(J131=2,J126,0)</f>
        <v>0</v>
      </c>
      <c r="K132" s="869">
        <f t="shared" ref="K132:M132" si="4">IF(K131=TRUE,K126,0)</f>
        <v>164.12213740458014</v>
      </c>
      <c r="L132" s="869">
        <f t="shared" si="4"/>
        <v>0</v>
      </c>
      <c r="M132" s="869">
        <f t="shared" si="4"/>
        <v>0</v>
      </c>
      <c r="N132" s="852"/>
      <c r="O132" s="853"/>
      <c r="DK132" s="81"/>
      <c r="DO132" s="81"/>
    </row>
    <row r="133" spans="2:119" ht="49.5" customHeight="1" thickBot="1" x14ac:dyDescent="0.25">
      <c r="B133" s="234"/>
      <c r="C133" s="15"/>
      <c r="D133" s="136" t="str">
        <f>IF(AU108&gt;0," ","change the angle of frame")</f>
        <v xml:space="preserve"> </v>
      </c>
      <c r="E133" s="129"/>
      <c r="F133" s="129"/>
      <c r="R133" s="155"/>
      <c r="S133" s="155"/>
      <c r="T133" s="155"/>
      <c r="DK133" s="81"/>
      <c r="DO133" s="81"/>
    </row>
    <row r="134" spans="2:119" ht="49.5" customHeight="1" thickBot="1" x14ac:dyDescent="0.35">
      <c r="B134" s="1004" t="s">
        <v>119</v>
      </c>
      <c r="C134" s="15"/>
      <c r="D134" s="136" t="str">
        <f>IF(CP108&lt;0," ","change the angle of frame")</f>
        <v xml:space="preserve"> </v>
      </c>
      <c r="E134" s="129"/>
      <c r="F134" s="129"/>
      <c r="P134" s="468" t="s">
        <v>106</v>
      </c>
      <c r="Q134" s="461"/>
      <c r="R134" s="461"/>
      <c r="S134" s="461"/>
      <c r="T134" s="469" t="s">
        <v>107</v>
      </c>
      <c r="U134" s="462"/>
      <c r="V134" s="462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  <c r="AP134" s="85"/>
      <c r="AQ134" s="85"/>
      <c r="AR134" s="85"/>
      <c r="AS134" s="85"/>
      <c r="AT134" s="85"/>
      <c r="DI134" s="85"/>
      <c r="DJ134" s="85"/>
      <c r="DK134" s="81"/>
      <c r="DO134" s="135"/>
    </row>
    <row r="135" spans="2:119" ht="49.5" customHeight="1" thickBot="1" x14ac:dyDescent="0.35">
      <c r="B135" s="1005"/>
      <c r="C135" s="577"/>
      <c r="D135" s="243" t="str">
        <f>IF(AU108&gt;(+COS(($B$136*-1)*3.14159265358979/180)*294)," ","USE EXBAR-N AT THE FRONT")</f>
        <v xml:space="preserve"> </v>
      </c>
      <c r="E135" s="129"/>
      <c r="F135" s="129"/>
      <c r="P135" s="437" t="s">
        <v>87</v>
      </c>
      <c r="Q135" s="622" t="s">
        <v>88</v>
      </c>
      <c r="R135" s="622" t="s">
        <v>89</v>
      </c>
      <c r="S135" s="623" t="s">
        <v>108</v>
      </c>
      <c r="T135" s="465" t="s">
        <v>91</v>
      </c>
      <c r="U135" s="462"/>
      <c r="V135" s="462"/>
      <c r="DK135" s="81"/>
      <c r="DO135" s="135"/>
    </row>
    <row r="136" spans="2:119" ht="49.5" customHeight="1" thickBot="1" x14ac:dyDescent="0.35">
      <c r="B136" s="2">
        <v>0</v>
      </c>
      <c r="C136" s="577"/>
      <c r="D136" s="243" t="str">
        <f>IF(CP108&lt;-(+COS(($B$136*-1)*3.14159265358979/180)*266)," ","USE EXBAR-N AT THE BACK")</f>
        <v xml:space="preserve"> </v>
      </c>
      <c r="E136" s="527"/>
      <c r="F136" s="129"/>
      <c r="P136" s="437">
        <v>3.3679226</v>
      </c>
      <c r="Q136" s="622">
        <f>+$B$136-P136</f>
        <v>-3.3679226</v>
      </c>
      <c r="R136" s="624">
        <f>COS(Q136*3.14159265358979/180)</f>
        <v>0.99827287452202351</v>
      </c>
      <c r="S136" s="625">
        <f>+R136*273.3307633</f>
        <v>272.85868677478982</v>
      </c>
      <c r="T136" s="467">
        <f>+((X142*AF142)+(S136*9.4))/(AF142+9.4)</f>
        <v>244.6444062156904</v>
      </c>
      <c r="U136" s="462"/>
      <c r="V136" s="462"/>
      <c r="DK136" s="81"/>
      <c r="DO136" s="135"/>
    </row>
    <row r="137" spans="2:119" ht="17.25" customHeight="1" thickBot="1" x14ac:dyDescent="0.35">
      <c r="C137" s="15"/>
      <c r="G137" s="244" t="s">
        <v>62</v>
      </c>
      <c r="H137" s="244" t="s">
        <v>63</v>
      </c>
      <c r="I137" s="244" t="s">
        <v>64</v>
      </c>
      <c r="O137" s="244" t="s">
        <v>65</v>
      </c>
      <c r="P137" s="244" t="s">
        <v>66</v>
      </c>
      <c r="Q137" s="234"/>
      <c r="R137" s="244" t="s">
        <v>67</v>
      </c>
      <c r="U137" s="245"/>
      <c r="V137" s="246"/>
      <c r="DK137" s="81"/>
      <c r="DO137" s="135"/>
    </row>
    <row r="138" spans="2:119" ht="52.5" customHeight="1" thickBot="1" x14ac:dyDescent="0.35">
      <c r="B138" s="247" t="s">
        <v>30</v>
      </c>
      <c r="C138" s="248"/>
      <c r="D138" s="1009" t="s">
        <v>120</v>
      </c>
      <c r="E138" s="1010"/>
      <c r="F138" s="17"/>
      <c r="S138" s="77"/>
      <c r="T138" s="77"/>
      <c r="AN138" s="1007" t="s">
        <v>165</v>
      </c>
      <c r="AO138" s="1008"/>
      <c r="AP138" s="273"/>
      <c r="AQ138" s="273"/>
      <c r="AR138" s="273"/>
      <c r="AS138" s="273"/>
      <c r="AT138" s="273"/>
      <c r="DI138" s="273"/>
      <c r="DJ138" s="273"/>
      <c r="DK138" s="81"/>
      <c r="DO138" s="135"/>
    </row>
    <row r="139" spans="2:119" ht="50.25" customHeight="1" thickBot="1" x14ac:dyDescent="0.35">
      <c r="B139" s="11">
        <v>1</v>
      </c>
      <c r="C139" s="249"/>
      <c r="D139" s="432" t="s">
        <v>22</v>
      </c>
      <c r="E139" s="234"/>
      <c r="F139" s="234"/>
      <c r="G139" s="234"/>
      <c r="H139" s="234"/>
      <c r="I139" s="234"/>
      <c r="J139" s="234"/>
      <c r="K139" s="234"/>
      <c r="L139" s="234"/>
      <c r="M139" s="234"/>
      <c r="N139" s="234"/>
      <c r="O139" s="234"/>
      <c r="P139" s="234"/>
      <c r="Q139" s="234"/>
      <c r="R139" s="234"/>
      <c r="S139" s="234"/>
      <c r="T139" s="234"/>
      <c r="AM139" s="251"/>
      <c r="AN139" s="252" t="s">
        <v>23</v>
      </c>
      <c r="AO139" s="252" t="s">
        <v>24</v>
      </c>
      <c r="AP139" s="273"/>
      <c r="AQ139" s="273"/>
      <c r="AR139" s="273"/>
      <c r="AS139" s="273"/>
      <c r="AT139" s="273"/>
      <c r="DI139" s="273"/>
      <c r="DJ139" s="273"/>
      <c r="DK139" s="81"/>
      <c r="DO139" s="135"/>
    </row>
    <row r="140" spans="2:119" ht="21" hidden="1" thickBot="1" x14ac:dyDescent="0.35">
      <c r="B140" s="253"/>
      <c r="C140" s="254"/>
      <c r="D140" s="255"/>
      <c r="E140" s="256"/>
      <c r="G140" s="257" t="s">
        <v>4</v>
      </c>
      <c r="H140" s="257" t="s">
        <v>1</v>
      </c>
      <c r="I140" s="258" t="s">
        <v>60</v>
      </c>
      <c r="J140" s="219" t="s">
        <v>2</v>
      </c>
      <c r="K140" s="219" t="s">
        <v>3</v>
      </c>
      <c r="L140" s="219" t="s">
        <v>8</v>
      </c>
      <c r="M140" s="219" t="s">
        <v>5</v>
      </c>
      <c r="N140" s="219" t="s">
        <v>6</v>
      </c>
      <c r="O140" s="219" t="s">
        <v>7</v>
      </c>
      <c r="P140" s="219" t="s">
        <v>9</v>
      </c>
      <c r="Q140" s="218" t="s">
        <v>10</v>
      </c>
      <c r="R140" s="219" t="s">
        <v>11</v>
      </c>
      <c r="S140" s="259" t="s">
        <v>12</v>
      </c>
      <c r="T140" s="260"/>
      <c r="U140" s="148"/>
      <c r="V140" s="151"/>
      <c r="W140" s="151"/>
      <c r="X140" s="151"/>
      <c r="Y140" s="151"/>
      <c r="Z140" s="151"/>
      <c r="AA140" s="151"/>
      <c r="AB140" s="151"/>
      <c r="AC140" s="151"/>
      <c r="AD140" s="151"/>
      <c r="AE140" s="151"/>
      <c r="AF140" s="151"/>
      <c r="AG140" s="151"/>
      <c r="AH140" s="151"/>
      <c r="AI140" s="151"/>
      <c r="AJ140" s="151"/>
      <c r="AK140" s="151"/>
      <c r="AL140" s="251"/>
      <c r="AM140" s="251"/>
      <c r="AN140" s="151"/>
      <c r="AO140" s="151"/>
      <c r="AP140" s="151"/>
      <c r="AQ140" s="151"/>
      <c r="AR140" s="151"/>
      <c r="AS140" s="151"/>
      <c r="AT140" s="151"/>
      <c r="DI140" s="151"/>
      <c r="DJ140" s="151"/>
      <c r="DK140" s="81"/>
      <c r="DO140" s="135"/>
    </row>
    <row r="141" spans="2:119" ht="88" hidden="1" thickBot="1" x14ac:dyDescent="0.35">
      <c r="B141" s="261"/>
      <c r="C141" s="262"/>
      <c r="D141" s="263"/>
      <c r="E141" s="264"/>
      <c r="F141" s="160"/>
      <c r="G141" s="257"/>
      <c r="H141" s="257"/>
      <c r="I141" s="258"/>
      <c r="J141" s="219"/>
      <c r="K141" s="219"/>
      <c r="L141" s="219"/>
      <c r="M141" s="219"/>
      <c r="N141" s="219"/>
      <c r="O141" s="219"/>
      <c r="P141" s="219"/>
      <c r="Q141" s="218"/>
      <c r="R141" s="219"/>
      <c r="S141" s="259"/>
      <c r="T141" s="260"/>
      <c r="U141" s="148"/>
      <c r="V141" s="151"/>
      <c r="W141" s="151"/>
      <c r="X141" s="260" t="s">
        <v>38</v>
      </c>
      <c r="Y141" s="265" t="s">
        <v>31</v>
      </c>
      <c r="Z141" s="266" t="s">
        <v>124</v>
      </c>
      <c r="AA141" s="267" t="s">
        <v>32</v>
      </c>
      <c r="AB141" s="268" t="s">
        <v>33</v>
      </c>
      <c r="AC141" s="269" t="s">
        <v>125</v>
      </c>
      <c r="AD141" s="270" t="s">
        <v>34</v>
      </c>
      <c r="AE141" s="271" t="s">
        <v>35</v>
      </c>
      <c r="AF141" s="627" t="s">
        <v>36</v>
      </c>
      <c r="AG141" s="260" t="s">
        <v>46</v>
      </c>
      <c r="AH141" s="260" t="s">
        <v>39</v>
      </c>
      <c r="AI141" s="260" t="s">
        <v>58</v>
      </c>
      <c r="AJ141" s="272" t="s">
        <v>41</v>
      </c>
      <c r="AK141" s="272" t="s">
        <v>42</v>
      </c>
      <c r="AL141" s="273" t="s">
        <v>23</v>
      </c>
      <c r="AM141" s="273" t="s">
        <v>24</v>
      </c>
      <c r="AN141" s="148"/>
      <c r="AO141" s="148"/>
      <c r="AP141" s="85"/>
      <c r="AQ141" s="85"/>
      <c r="AR141" s="85"/>
      <c r="AS141" s="85"/>
      <c r="AT141" s="85"/>
      <c r="DI141" s="85"/>
      <c r="DJ141" s="85"/>
      <c r="DK141" s="81"/>
      <c r="DO141" s="135"/>
    </row>
    <row r="142" spans="2:119" ht="25.5" customHeight="1" thickBot="1" x14ac:dyDescent="0.35">
      <c r="B142" s="274">
        <v>1</v>
      </c>
      <c r="C142" s="275">
        <f>+(B136*-1)+D142</f>
        <v>0</v>
      </c>
      <c r="D142" s="811">
        <v>0</v>
      </c>
      <c r="E142" s="276" t="s">
        <v>123</v>
      </c>
      <c r="F142" s="277"/>
      <c r="G142" s="626">
        <v>316.69135080000001</v>
      </c>
      <c r="H142" s="626">
        <v>41.658166299999998</v>
      </c>
      <c r="I142" s="626">
        <f>+H142-C142</f>
        <v>41.658166299999998</v>
      </c>
      <c r="J142" s="219"/>
      <c r="K142" s="219"/>
      <c r="L142" s="219"/>
      <c r="M142" s="219"/>
      <c r="N142" s="219"/>
      <c r="O142" s="244">
        <f>COS(I142*3.14159265358979/180)</f>
        <v>0.74712369172584558</v>
      </c>
      <c r="P142" s="244">
        <f>+O142*G142</f>
        <v>236.60761114734083</v>
      </c>
      <c r="Q142" s="278">
        <v>236.60761120000001</v>
      </c>
      <c r="R142" s="244">
        <f>+P142</f>
        <v>236.60761114734083</v>
      </c>
      <c r="S142" s="219">
        <f t="shared" ref="S142:S153" si="5">+R142</f>
        <v>236.60761114734083</v>
      </c>
      <c r="T142" s="148"/>
      <c r="U142" s="177" t="str">
        <f t="shared" ref="U142:U153" si="6">IF(AM142&lt;0,"use the ground stack hole"," ")</f>
        <v xml:space="preserve"> </v>
      </c>
      <c r="V142" s="205">
        <f t="shared" ref="V142:V153" si="7">IF(B142&lt;($B$139+1),S142,0)</f>
        <v>236.60761114734083</v>
      </c>
      <c r="W142" s="279"/>
      <c r="X142" s="205">
        <f>SUM(V142:V153)/($B$139)</f>
        <v>236.60761114734083</v>
      </c>
      <c r="Y142" s="280">
        <f>+D142+C142</f>
        <v>0</v>
      </c>
      <c r="Z142" s="281">
        <f>48.3418337+Y142</f>
        <v>48.341833700000002</v>
      </c>
      <c r="AA142" s="282">
        <f>SIN(Z142*3.14159265358979/180)</f>
        <v>0.74712369172584447</v>
      </c>
      <c r="AB142" s="283">
        <f>+AA142*316.6913508</f>
        <v>236.60761114734046</v>
      </c>
      <c r="AC142" s="281">
        <f>55.9091199-Y142</f>
        <v>55.9091199</v>
      </c>
      <c r="AD142" s="284">
        <f>SIN(AC142*3.14159265358979/180)</f>
        <v>0.82814956232072179</v>
      </c>
      <c r="AE142" s="283">
        <f>+AD142*375.5484699</f>
        <v>311.01030097790175</v>
      </c>
      <c r="AF142" s="628">
        <f>33*B139</f>
        <v>33</v>
      </c>
      <c r="AG142" s="285">
        <f>+AE142+AB142</f>
        <v>547.61791212524224</v>
      </c>
      <c r="AH142" s="212">
        <f>+V142-AB142</f>
        <v>3.694822225952521E-13</v>
      </c>
      <c r="AI142" s="212">
        <f t="shared" ref="AI142:AI153" si="8">+X142-AH142</f>
        <v>236.60761114734046</v>
      </c>
      <c r="AJ142" s="213">
        <f>+((AG142-AI142)/AG142)*AF142</f>
        <v>18.741790041965423</v>
      </c>
      <c r="AK142" s="213">
        <f>+(AI142/AG142)*AF142</f>
        <v>14.258209958034582</v>
      </c>
      <c r="AL142" s="178">
        <f t="shared" ref="AL142:AL153" si="9">2*$C$10/AJ142</f>
        <v>320.1401779960816</v>
      </c>
      <c r="AM142" s="178">
        <f t="shared" ref="AM142:AM153" si="10">2*$D$10/AK142</f>
        <v>420.81018708936642</v>
      </c>
      <c r="AN142" s="286">
        <f>ABS(AL142)</f>
        <v>320.1401779960816</v>
      </c>
      <c r="AO142" s="286">
        <f>ABS(AM142)</f>
        <v>420.81018708936642</v>
      </c>
      <c r="AP142" s="85"/>
      <c r="AQ142" s="85"/>
      <c r="AR142" s="85"/>
      <c r="AS142" s="85"/>
      <c r="AT142" s="85"/>
      <c r="DI142" s="85"/>
      <c r="DJ142" s="85"/>
      <c r="DK142" s="81"/>
      <c r="DO142" s="135"/>
    </row>
    <row r="143" spans="2:119" ht="21" thickBot="1" x14ac:dyDescent="0.35">
      <c r="B143" s="287">
        <v>2</v>
      </c>
      <c r="C143" s="287"/>
      <c r="D143" s="811">
        <v>0</v>
      </c>
      <c r="E143" s="276" t="s">
        <v>123</v>
      </c>
      <c r="F143" s="288"/>
      <c r="G143" s="257">
        <v>375.54846989999999</v>
      </c>
      <c r="H143" s="257">
        <v>68.183381800000006</v>
      </c>
      <c r="I143" s="258">
        <f>+H143+D143</f>
        <v>68.183381800000006</v>
      </c>
      <c r="J143" s="219">
        <f t="shared" ref="J143:J153" si="11">+I143/2</f>
        <v>34.091690900000003</v>
      </c>
      <c r="K143" s="219">
        <f t="shared" ref="K143:K153" si="12">SIN(J143*3.14159265358979/180)</f>
        <v>0.56051890240384605</v>
      </c>
      <c r="L143" s="219">
        <f t="shared" ref="L143:L153" si="13">+K143*G143</f>
        <v>210.50201614779181</v>
      </c>
      <c r="M143" s="219">
        <f t="shared" ref="M143:M153" si="14">+L143*2</f>
        <v>421.00403229558361</v>
      </c>
      <c r="N143" s="219">
        <f>+C142+(D143/2)</f>
        <v>0</v>
      </c>
      <c r="O143" s="219">
        <f t="shared" ref="O143:O153" si="15">SIN(N143*3.14159265358979/180)</f>
        <v>0</v>
      </c>
      <c r="P143" s="219">
        <f t="shared" ref="P143:P153" si="16">+O143*M143</f>
        <v>0</v>
      </c>
      <c r="Q143" s="219">
        <f t="shared" ref="Q143:Q153" si="17">+S142</f>
        <v>236.60761114734083</v>
      </c>
      <c r="R143" s="219">
        <f>+Q143+P143</f>
        <v>236.60761114734083</v>
      </c>
      <c r="S143" s="219">
        <f t="shared" si="5"/>
        <v>236.60761114734083</v>
      </c>
      <c r="T143" s="148"/>
      <c r="U143" s="177" t="e">
        <f t="shared" si="6"/>
        <v>#DIV/0!</v>
      </c>
      <c r="V143" s="205">
        <f t="shared" si="7"/>
        <v>0</v>
      </c>
      <c r="W143" s="279"/>
      <c r="X143" s="205" t="e">
        <f>SUM(V143:V153)/($B$139-B142)</f>
        <v>#DIV/0!</v>
      </c>
      <c r="Y143" s="206">
        <f>SUM(D143)+$C$142</f>
        <v>0</v>
      </c>
      <c r="Z143" s="281">
        <f t="shared" ref="Z143:Z153" si="18">48.3418337+Y143</f>
        <v>48.341833700000002</v>
      </c>
      <c r="AA143" s="282">
        <f>SIN(Z143*3.14159265358979/180)</f>
        <v>0.74712369172584447</v>
      </c>
      <c r="AB143" s="283">
        <f t="shared" ref="AB143:AB153" si="19">+AA143*316.6913508</f>
        <v>236.60761114734046</v>
      </c>
      <c r="AC143" s="281">
        <f t="shared" ref="AC143:AC153" si="20">55.9091199-Y143</f>
        <v>55.9091199</v>
      </c>
      <c r="AD143" s="284">
        <f t="shared" ref="AD143:AD153" si="21">SIN(AC143*3.14159265358979/180)</f>
        <v>0.82814956232072179</v>
      </c>
      <c r="AE143" s="283">
        <f t="shared" ref="AE143:AE153" si="22">+AD143*375.5484699</f>
        <v>311.01030097790175</v>
      </c>
      <c r="AF143" s="628">
        <f>33*($B$139-B142)</f>
        <v>0</v>
      </c>
      <c r="AG143" s="285">
        <f t="shared" ref="AG143:AG153" si="23">+AE143+AB143</f>
        <v>547.61791212524224</v>
      </c>
      <c r="AH143" s="212">
        <f t="shared" ref="AH143:AH153" si="24">+V143-AB143</f>
        <v>-236.60761114734046</v>
      </c>
      <c r="AI143" s="212" t="e">
        <f t="shared" si="8"/>
        <v>#DIV/0!</v>
      </c>
      <c r="AJ143" s="213" t="e">
        <f t="shared" ref="AJ143:AJ153" si="25">+((AG143-AI143)/AG143)*AF143</f>
        <v>#DIV/0!</v>
      </c>
      <c r="AK143" s="213" t="e">
        <f t="shared" ref="AK143:AK153" si="26">+(AI143/AG143)*AF143</f>
        <v>#DIV/0!</v>
      </c>
      <c r="AL143" s="178" t="e">
        <f t="shared" si="9"/>
        <v>#DIV/0!</v>
      </c>
      <c r="AM143" s="178" t="e">
        <f t="shared" si="10"/>
        <v>#DIV/0!</v>
      </c>
      <c r="AN143" s="286" t="e">
        <f t="shared" ref="AN143:AO153" si="27">ABS(AL143)</f>
        <v>#DIV/0!</v>
      </c>
      <c r="AO143" s="286" t="e">
        <f t="shared" si="27"/>
        <v>#DIV/0!</v>
      </c>
      <c r="AP143" s="85"/>
      <c r="AQ143" s="85"/>
      <c r="AR143" s="85"/>
      <c r="AS143" s="85"/>
      <c r="AT143" s="85"/>
      <c r="DI143" s="85"/>
      <c r="DJ143" s="85"/>
      <c r="DK143" s="81"/>
      <c r="DO143" s="135"/>
    </row>
    <row r="144" spans="2:119" ht="21" thickBot="1" x14ac:dyDescent="0.35">
      <c r="B144" s="287">
        <v>3</v>
      </c>
      <c r="C144" s="287"/>
      <c r="D144" s="811">
        <v>0</v>
      </c>
      <c r="E144" s="276" t="s">
        <v>123</v>
      </c>
      <c r="F144" s="288"/>
      <c r="G144" s="257">
        <v>375.54846989999999</v>
      </c>
      <c r="H144" s="257">
        <v>68.183381800000006</v>
      </c>
      <c r="I144" s="258">
        <f t="shared" ref="I144:I153" si="28">+H144+D144</f>
        <v>68.183381800000006</v>
      </c>
      <c r="J144" s="219">
        <f t="shared" si="11"/>
        <v>34.091690900000003</v>
      </c>
      <c r="K144" s="219">
        <f t="shared" si="12"/>
        <v>0.56051890240384605</v>
      </c>
      <c r="L144" s="219">
        <f t="shared" si="13"/>
        <v>210.50201614779181</v>
      </c>
      <c r="M144" s="219">
        <f t="shared" si="14"/>
        <v>421.00403229558361</v>
      </c>
      <c r="N144" s="219">
        <f>+C142+D143+(D144/2)</f>
        <v>0</v>
      </c>
      <c r="O144" s="219">
        <f t="shared" si="15"/>
        <v>0</v>
      </c>
      <c r="P144" s="219">
        <f t="shared" si="16"/>
        <v>0</v>
      </c>
      <c r="Q144" s="219">
        <f t="shared" si="17"/>
        <v>236.60761114734083</v>
      </c>
      <c r="R144" s="219">
        <f t="shared" ref="R144:R153" si="29">+R143+P144</f>
        <v>236.60761114734083</v>
      </c>
      <c r="S144" s="219">
        <f t="shared" si="5"/>
        <v>236.60761114734083</v>
      </c>
      <c r="T144" s="148"/>
      <c r="U144" s="177" t="str">
        <f t="shared" si="6"/>
        <v>use the ground stack hole</v>
      </c>
      <c r="V144" s="205">
        <f t="shared" si="7"/>
        <v>0</v>
      </c>
      <c r="W144" s="279"/>
      <c r="X144" s="205">
        <f>SUM(V144:V153)/($B$139-B143)</f>
        <v>0</v>
      </c>
      <c r="Y144" s="206">
        <f>SUM(D143:D144)+$C$142</f>
        <v>0</v>
      </c>
      <c r="Z144" s="281">
        <f t="shared" si="18"/>
        <v>48.341833700000002</v>
      </c>
      <c r="AA144" s="282">
        <f t="shared" ref="AA144:AA153" si="30">SIN(Z144*3.14159265358979/180)</f>
        <v>0.74712369172584447</v>
      </c>
      <c r="AB144" s="283">
        <f t="shared" si="19"/>
        <v>236.60761114734046</v>
      </c>
      <c r="AC144" s="281">
        <f t="shared" si="20"/>
        <v>55.9091199</v>
      </c>
      <c r="AD144" s="284">
        <f t="shared" si="21"/>
        <v>0.82814956232072179</v>
      </c>
      <c r="AE144" s="283">
        <f t="shared" si="22"/>
        <v>311.01030097790175</v>
      </c>
      <c r="AF144" s="628">
        <f t="shared" ref="AF144:AF153" si="31">33*($B$139-B143)</f>
        <v>-33</v>
      </c>
      <c r="AG144" s="285">
        <f t="shared" si="23"/>
        <v>547.61791212524224</v>
      </c>
      <c r="AH144" s="212">
        <f t="shared" si="24"/>
        <v>-236.60761114734046</v>
      </c>
      <c r="AI144" s="212">
        <f t="shared" si="8"/>
        <v>236.60761114734046</v>
      </c>
      <c r="AJ144" s="213">
        <f t="shared" si="25"/>
        <v>-18.741790041965423</v>
      </c>
      <c r="AK144" s="213">
        <f t="shared" si="26"/>
        <v>-14.258209958034582</v>
      </c>
      <c r="AL144" s="178">
        <f t="shared" si="9"/>
        <v>-320.1401779960816</v>
      </c>
      <c r="AM144" s="178">
        <f t="shared" si="10"/>
        <v>-420.81018708936642</v>
      </c>
      <c r="AN144" s="286">
        <f t="shared" si="27"/>
        <v>320.1401779960816</v>
      </c>
      <c r="AO144" s="286">
        <f t="shared" si="27"/>
        <v>420.81018708936642</v>
      </c>
      <c r="AP144" s="85"/>
      <c r="AQ144" s="85"/>
      <c r="AR144" s="85"/>
      <c r="AS144" s="85"/>
      <c r="AT144" s="85"/>
      <c r="DI144" s="85"/>
      <c r="DJ144" s="85"/>
      <c r="DK144" s="81"/>
      <c r="DO144" s="135"/>
    </row>
    <row r="145" spans="2:119" ht="21" thickBot="1" x14ac:dyDescent="0.35">
      <c r="B145" s="287">
        <v>4</v>
      </c>
      <c r="C145" s="287"/>
      <c r="D145" s="811">
        <v>0</v>
      </c>
      <c r="E145" s="276" t="s">
        <v>123</v>
      </c>
      <c r="F145" s="288"/>
      <c r="G145" s="257">
        <v>375.54846989999999</v>
      </c>
      <c r="H145" s="257">
        <v>68.183381800000006</v>
      </c>
      <c r="I145" s="258">
        <f t="shared" si="28"/>
        <v>68.183381800000006</v>
      </c>
      <c r="J145" s="219">
        <f t="shared" si="11"/>
        <v>34.091690900000003</v>
      </c>
      <c r="K145" s="219">
        <f t="shared" si="12"/>
        <v>0.56051890240384605</v>
      </c>
      <c r="L145" s="219">
        <f t="shared" si="13"/>
        <v>210.50201614779181</v>
      </c>
      <c r="M145" s="219">
        <f t="shared" si="14"/>
        <v>421.00403229558361</v>
      </c>
      <c r="N145" s="219">
        <f>+C142+D143+D144+(D145/2)</f>
        <v>0</v>
      </c>
      <c r="O145" s="219">
        <f t="shared" si="15"/>
        <v>0</v>
      </c>
      <c r="P145" s="219">
        <f t="shared" si="16"/>
        <v>0</v>
      </c>
      <c r="Q145" s="219">
        <f t="shared" si="17"/>
        <v>236.60761114734083</v>
      </c>
      <c r="R145" s="219">
        <f t="shared" si="29"/>
        <v>236.60761114734083</v>
      </c>
      <c r="S145" s="219">
        <f t="shared" si="5"/>
        <v>236.60761114734083</v>
      </c>
      <c r="T145" s="148"/>
      <c r="U145" s="177" t="str">
        <f t="shared" si="6"/>
        <v>use the ground stack hole</v>
      </c>
      <c r="V145" s="205">
        <f t="shared" si="7"/>
        <v>0</v>
      </c>
      <c r="W145" s="279"/>
      <c r="X145" s="205">
        <f>SUM(V145:V153)/($B$139-B144)</f>
        <v>0</v>
      </c>
      <c r="Y145" s="206">
        <f>SUM(D143:D145)+$C$142</f>
        <v>0</v>
      </c>
      <c r="Z145" s="281">
        <f t="shared" si="18"/>
        <v>48.341833700000002</v>
      </c>
      <c r="AA145" s="282">
        <f t="shared" si="30"/>
        <v>0.74712369172584447</v>
      </c>
      <c r="AB145" s="283">
        <f t="shared" si="19"/>
        <v>236.60761114734046</v>
      </c>
      <c r="AC145" s="281">
        <f t="shared" si="20"/>
        <v>55.9091199</v>
      </c>
      <c r="AD145" s="284">
        <f t="shared" si="21"/>
        <v>0.82814956232072179</v>
      </c>
      <c r="AE145" s="283">
        <f t="shared" si="22"/>
        <v>311.01030097790175</v>
      </c>
      <c r="AF145" s="628">
        <f t="shared" si="31"/>
        <v>-66</v>
      </c>
      <c r="AG145" s="285">
        <f t="shared" si="23"/>
        <v>547.61791212524224</v>
      </c>
      <c r="AH145" s="212">
        <f t="shared" si="24"/>
        <v>-236.60761114734046</v>
      </c>
      <c r="AI145" s="212">
        <f t="shared" si="8"/>
        <v>236.60761114734046</v>
      </c>
      <c r="AJ145" s="213">
        <f t="shared" si="25"/>
        <v>-37.483580083930846</v>
      </c>
      <c r="AK145" s="213">
        <f t="shared" si="26"/>
        <v>-28.516419916069164</v>
      </c>
      <c r="AL145" s="178">
        <f t="shared" si="9"/>
        <v>-160.0700889980408</v>
      </c>
      <c r="AM145" s="178">
        <f t="shared" si="10"/>
        <v>-210.40509354468321</v>
      </c>
      <c r="AN145" s="286">
        <f t="shared" si="27"/>
        <v>160.0700889980408</v>
      </c>
      <c r="AO145" s="286">
        <f t="shared" si="27"/>
        <v>210.40509354468321</v>
      </c>
      <c r="AP145" s="85"/>
      <c r="AQ145" s="85"/>
      <c r="AR145" s="85"/>
      <c r="AS145" s="85"/>
      <c r="AT145" s="85"/>
      <c r="DI145" s="85"/>
      <c r="DJ145" s="85"/>
      <c r="DK145" s="81"/>
      <c r="DO145" s="135"/>
    </row>
    <row r="146" spans="2:119" ht="21" thickBot="1" x14ac:dyDescent="0.35">
      <c r="B146" s="287">
        <v>5</v>
      </c>
      <c r="C146" s="287"/>
      <c r="D146" s="811">
        <v>0</v>
      </c>
      <c r="E146" s="276" t="s">
        <v>123</v>
      </c>
      <c r="F146" s="288"/>
      <c r="G146" s="257">
        <v>375.54846989999999</v>
      </c>
      <c r="H146" s="257">
        <v>68.183381800000006</v>
      </c>
      <c r="I146" s="258">
        <f t="shared" si="28"/>
        <v>68.183381800000006</v>
      </c>
      <c r="J146" s="219">
        <f t="shared" si="11"/>
        <v>34.091690900000003</v>
      </c>
      <c r="K146" s="219">
        <f t="shared" si="12"/>
        <v>0.56051890240384605</v>
      </c>
      <c r="L146" s="219">
        <f t="shared" si="13"/>
        <v>210.50201614779181</v>
      </c>
      <c r="M146" s="219">
        <f t="shared" si="14"/>
        <v>421.00403229558361</v>
      </c>
      <c r="N146" s="219">
        <f>+C142+D143+D144+D145+(D146/2)</f>
        <v>0</v>
      </c>
      <c r="O146" s="219">
        <f t="shared" si="15"/>
        <v>0</v>
      </c>
      <c r="P146" s="219">
        <f t="shared" si="16"/>
        <v>0</v>
      </c>
      <c r="Q146" s="219">
        <f t="shared" si="17"/>
        <v>236.60761114734083</v>
      </c>
      <c r="R146" s="219">
        <f t="shared" si="29"/>
        <v>236.60761114734083</v>
      </c>
      <c r="S146" s="219">
        <f t="shared" si="5"/>
        <v>236.60761114734083</v>
      </c>
      <c r="T146" s="148"/>
      <c r="U146" s="177" t="str">
        <f t="shared" si="6"/>
        <v>use the ground stack hole</v>
      </c>
      <c r="V146" s="205">
        <f t="shared" si="7"/>
        <v>0</v>
      </c>
      <c r="W146" s="279"/>
      <c r="X146" s="205">
        <f>SUM(V146:V153)/($B$139-B145)</f>
        <v>0</v>
      </c>
      <c r="Y146" s="206">
        <f>SUM(D143:D146)+$C$142</f>
        <v>0</v>
      </c>
      <c r="Z146" s="281">
        <f t="shared" si="18"/>
        <v>48.341833700000002</v>
      </c>
      <c r="AA146" s="282">
        <f t="shared" si="30"/>
        <v>0.74712369172584447</v>
      </c>
      <c r="AB146" s="283">
        <f t="shared" si="19"/>
        <v>236.60761114734046</v>
      </c>
      <c r="AC146" s="281">
        <f t="shared" si="20"/>
        <v>55.9091199</v>
      </c>
      <c r="AD146" s="284">
        <f t="shared" si="21"/>
        <v>0.82814956232072179</v>
      </c>
      <c r="AE146" s="283">
        <f t="shared" si="22"/>
        <v>311.01030097790175</v>
      </c>
      <c r="AF146" s="628">
        <f t="shared" si="31"/>
        <v>-99</v>
      </c>
      <c r="AG146" s="285">
        <f t="shared" si="23"/>
        <v>547.61791212524224</v>
      </c>
      <c r="AH146" s="212">
        <f t="shared" si="24"/>
        <v>-236.60761114734046</v>
      </c>
      <c r="AI146" s="212">
        <f t="shared" si="8"/>
        <v>236.60761114734046</v>
      </c>
      <c r="AJ146" s="213">
        <f t="shared" si="25"/>
        <v>-56.225370125896269</v>
      </c>
      <c r="AK146" s="213">
        <f t="shared" si="26"/>
        <v>-42.774629874103745</v>
      </c>
      <c r="AL146" s="178">
        <f t="shared" si="9"/>
        <v>-106.71339266536053</v>
      </c>
      <c r="AM146" s="178">
        <f t="shared" si="10"/>
        <v>-140.27006236312215</v>
      </c>
      <c r="AN146" s="286">
        <f t="shared" si="27"/>
        <v>106.71339266536053</v>
      </c>
      <c r="AO146" s="286">
        <f t="shared" si="27"/>
        <v>140.27006236312215</v>
      </c>
      <c r="AP146" s="85"/>
      <c r="AQ146" s="85"/>
      <c r="AR146" s="85"/>
      <c r="AS146" s="85"/>
      <c r="AT146" s="85"/>
      <c r="DI146" s="85"/>
      <c r="DJ146" s="85"/>
      <c r="DK146" s="81"/>
      <c r="DO146" s="135"/>
    </row>
    <row r="147" spans="2:119" ht="21" thickBot="1" x14ac:dyDescent="0.35">
      <c r="B147" s="287">
        <v>6</v>
      </c>
      <c r="C147" s="287"/>
      <c r="D147" s="811">
        <v>0</v>
      </c>
      <c r="E147" s="276" t="s">
        <v>123</v>
      </c>
      <c r="F147" s="288"/>
      <c r="G147" s="257">
        <v>375.54846989999999</v>
      </c>
      <c r="H147" s="257">
        <v>68.183381800000006</v>
      </c>
      <c r="I147" s="258">
        <f t="shared" si="28"/>
        <v>68.183381800000006</v>
      </c>
      <c r="J147" s="219">
        <f t="shared" si="11"/>
        <v>34.091690900000003</v>
      </c>
      <c r="K147" s="219">
        <f t="shared" si="12"/>
        <v>0.56051890240384605</v>
      </c>
      <c r="L147" s="219">
        <f t="shared" si="13"/>
        <v>210.50201614779181</v>
      </c>
      <c r="M147" s="219">
        <f t="shared" si="14"/>
        <v>421.00403229558361</v>
      </c>
      <c r="N147" s="219">
        <f>+C142+D143+D144+D145+D146+(D147/2)</f>
        <v>0</v>
      </c>
      <c r="O147" s="219">
        <f t="shared" si="15"/>
        <v>0</v>
      </c>
      <c r="P147" s="219">
        <f t="shared" si="16"/>
        <v>0</v>
      </c>
      <c r="Q147" s="219">
        <f t="shared" si="17"/>
        <v>236.60761114734083</v>
      </c>
      <c r="R147" s="219">
        <f t="shared" si="29"/>
        <v>236.60761114734083</v>
      </c>
      <c r="S147" s="219">
        <f t="shared" si="5"/>
        <v>236.60761114734083</v>
      </c>
      <c r="T147" s="148"/>
      <c r="U147" s="177" t="str">
        <f t="shared" si="6"/>
        <v>use the ground stack hole</v>
      </c>
      <c r="V147" s="205">
        <f t="shared" si="7"/>
        <v>0</v>
      </c>
      <c r="W147" s="279"/>
      <c r="X147" s="205">
        <f>SUM(V147:V153)/($B$139-B146)</f>
        <v>0</v>
      </c>
      <c r="Y147" s="206">
        <f>SUM(D143:D147)+$C$142</f>
        <v>0</v>
      </c>
      <c r="Z147" s="281">
        <f t="shared" si="18"/>
        <v>48.341833700000002</v>
      </c>
      <c r="AA147" s="282">
        <f t="shared" si="30"/>
        <v>0.74712369172584447</v>
      </c>
      <c r="AB147" s="283">
        <f t="shared" si="19"/>
        <v>236.60761114734046</v>
      </c>
      <c r="AC147" s="281">
        <f t="shared" si="20"/>
        <v>55.9091199</v>
      </c>
      <c r="AD147" s="284">
        <f t="shared" si="21"/>
        <v>0.82814956232072179</v>
      </c>
      <c r="AE147" s="283">
        <f t="shared" si="22"/>
        <v>311.01030097790175</v>
      </c>
      <c r="AF147" s="628">
        <f t="shared" si="31"/>
        <v>-132</v>
      </c>
      <c r="AG147" s="285">
        <f t="shared" si="23"/>
        <v>547.61791212524224</v>
      </c>
      <c r="AH147" s="212">
        <f t="shared" si="24"/>
        <v>-236.60761114734046</v>
      </c>
      <c r="AI147" s="212">
        <f t="shared" si="8"/>
        <v>236.60761114734046</v>
      </c>
      <c r="AJ147" s="213">
        <f t="shared" si="25"/>
        <v>-74.967160167861692</v>
      </c>
      <c r="AK147" s="213">
        <f t="shared" si="26"/>
        <v>-57.032839832138329</v>
      </c>
      <c r="AL147" s="178">
        <f t="shared" si="9"/>
        <v>-80.035044499020401</v>
      </c>
      <c r="AM147" s="178">
        <f t="shared" si="10"/>
        <v>-105.20254677234161</v>
      </c>
      <c r="AN147" s="286">
        <f t="shared" si="27"/>
        <v>80.035044499020401</v>
      </c>
      <c r="AO147" s="286">
        <f t="shared" si="27"/>
        <v>105.20254677234161</v>
      </c>
      <c r="AP147" s="85"/>
      <c r="AQ147" s="85"/>
      <c r="AR147" s="85"/>
      <c r="AS147" s="85"/>
      <c r="AT147" s="85"/>
      <c r="DI147" s="85"/>
      <c r="DJ147" s="85"/>
      <c r="DK147" s="81"/>
      <c r="DL147" s="81"/>
      <c r="DN147" s="81"/>
      <c r="DO147" s="135"/>
    </row>
    <row r="148" spans="2:119" ht="21" thickBot="1" x14ac:dyDescent="0.35">
      <c r="B148" s="287">
        <v>7</v>
      </c>
      <c r="C148" s="287"/>
      <c r="D148" s="811">
        <v>0</v>
      </c>
      <c r="E148" s="276" t="s">
        <v>123</v>
      </c>
      <c r="F148" s="288"/>
      <c r="G148" s="257">
        <v>375.54846989999999</v>
      </c>
      <c r="H148" s="257">
        <v>68.183381800000006</v>
      </c>
      <c r="I148" s="258">
        <f t="shared" si="28"/>
        <v>68.183381800000006</v>
      </c>
      <c r="J148" s="219">
        <f t="shared" si="11"/>
        <v>34.091690900000003</v>
      </c>
      <c r="K148" s="219">
        <f t="shared" si="12"/>
        <v>0.56051890240384605</v>
      </c>
      <c r="L148" s="219">
        <f t="shared" si="13"/>
        <v>210.50201614779181</v>
      </c>
      <c r="M148" s="219">
        <f t="shared" si="14"/>
        <v>421.00403229558361</v>
      </c>
      <c r="N148" s="219">
        <f>+C142+D143+D144+D145+D146+D147+(D148/2)</f>
        <v>0</v>
      </c>
      <c r="O148" s="219">
        <f t="shared" si="15"/>
        <v>0</v>
      </c>
      <c r="P148" s="219">
        <f t="shared" si="16"/>
        <v>0</v>
      </c>
      <c r="Q148" s="219">
        <f t="shared" si="17"/>
        <v>236.60761114734083</v>
      </c>
      <c r="R148" s="219">
        <f t="shared" si="29"/>
        <v>236.60761114734083</v>
      </c>
      <c r="S148" s="219">
        <f t="shared" si="5"/>
        <v>236.60761114734083</v>
      </c>
      <c r="T148" s="148"/>
      <c r="U148" s="177" t="str">
        <f t="shared" si="6"/>
        <v>use the ground stack hole</v>
      </c>
      <c r="V148" s="205">
        <f t="shared" si="7"/>
        <v>0</v>
      </c>
      <c r="W148" s="279"/>
      <c r="X148" s="205">
        <f>SUM(V148:V153)/($B$139-B147)</f>
        <v>0</v>
      </c>
      <c r="Y148" s="959">
        <f>SUM(D143:D148)+$C$142</f>
        <v>0</v>
      </c>
      <c r="Z148" s="281">
        <f t="shared" si="18"/>
        <v>48.341833700000002</v>
      </c>
      <c r="AA148" s="282">
        <f t="shared" si="30"/>
        <v>0.74712369172584447</v>
      </c>
      <c r="AB148" s="283">
        <f t="shared" si="19"/>
        <v>236.60761114734046</v>
      </c>
      <c r="AC148" s="281">
        <f t="shared" si="20"/>
        <v>55.9091199</v>
      </c>
      <c r="AD148" s="284">
        <f t="shared" si="21"/>
        <v>0.82814956232072179</v>
      </c>
      <c r="AE148" s="283">
        <f t="shared" si="22"/>
        <v>311.01030097790175</v>
      </c>
      <c r="AF148" s="628">
        <f t="shared" si="31"/>
        <v>-165</v>
      </c>
      <c r="AG148" s="285">
        <f t="shared" si="23"/>
        <v>547.61791212524224</v>
      </c>
      <c r="AH148" s="212">
        <f t="shared" si="24"/>
        <v>-236.60761114734046</v>
      </c>
      <c r="AI148" s="212">
        <f t="shared" si="8"/>
        <v>236.60761114734046</v>
      </c>
      <c r="AJ148" s="213">
        <f t="shared" si="25"/>
        <v>-93.708950209827108</v>
      </c>
      <c r="AK148" s="213">
        <f t="shared" si="26"/>
        <v>-71.291049790172906</v>
      </c>
      <c r="AL148" s="178">
        <f t="shared" si="9"/>
        <v>-64.028035599216324</v>
      </c>
      <c r="AM148" s="178">
        <f t="shared" si="10"/>
        <v>-84.162037417873293</v>
      </c>
      <c r="AN148" s="286">
        <f t="shared" si="27"/>
        <v>64.028035599216324</v>
      </c>
      <c r="AO148" s="286">
        <f t="shared" si="27"/>
        <v>84.162037417873293</v>
      </c>
      <c r="AP148" s="85"/>
      <c r="AQ148" s="85"/>
      <c r="AR148" s="85"/>
      <c r="AS148" s="85"/>
      <c r="AT148" s="85"/>
      <c r="DI148" s="85"/>
      <c r="DJ148" s="85"/>
      <c r="DK148" s="81"/>
      <c r="DL148" s="81"/>
      <c r="DM148" s="81"/>
      <c r="DN148" s="81"/>
      <c r="DO148" s="135"/>
    </row>
    <row r="149" spans="2:119" ht="21" thickBot="1" x14ac:dyDescent="0.35">
      <c r="B149" s="287">
        <v>8</v>
      </c>
      <c r="C149" s="287"/>
      <c r="D149" s="811">
        <v>0</v>
      </c>
      <c r="E149" s="276" t="s">
        <v>123</v>
      </c>
      <c r="F149" s="288"/>
      <c r="G149" s="257">
        <v>375.54846989999999</v>
      </c>
      <c r="H149" s="257">
        <v>68.183381800000006</v>
      </c>
      <c r="I149" s="258">
        <f t="shared" si="28"/>
        <v>68.183381800000006</v>
      </c>
      <c r="J149" s="219">
        <f t="shared" si="11"/>
        <v>34.091690900000003</v>
      </c>
      <c r="K149" s="219">
        <f t="shared" si="12"/>
        <v>0.56051890240384605</v>
      </c>
      <c r="L149" s="219">
        <f t="shared" si="13"/>
        <v>210.50201614779181</v>
      </c>
      <c r="M149" s="219">
        <f t="shared" si="14"/>
        <v>421.00403229558361</v>
      </c>
      <c r="N149" s="219">
        <f>+C142+D143+D144+D145+D146+D147+D148+(D149/2)</f>
        <v>0</v>
      </c>
      <c r="O149" s="219">
        <f t="shared" si="15"/>
        <v>0</v>
      </c>
      <c r="P149" s="219">
        <f t="shared" si="16"/>
        <v>0</v>
      </c>
      <c r="Q149" s="219">
        <f t="shared" si="17"/>
        <v>236.60761114734083</v>
      </c>
      <c r="R149" s="219">
        <f t="shared" si="29"/>
        <v>236.60761114734083</v>
      </c>
      <c r="S149" s="219">
        <f t="shared" si="5"/>
        <v>236.60761114734083</v>
      </c>
      <c r="T149" s="148"/>
      <c r="U149" s="177" t="str">
        <f t="shared" si="6"/>
        <v>use the ground stack hole</v>
      </c>
      <c r="V149" s="205">
        <f t="shared" si="7"/>
        <v>0</v>
      </c>
      <c r="W149" s="279"/>
      <c r="X149" s="205">
        <f>SUM(V149:V153)/($B$139-B148)</f>
        <v>0</v>
      </c>
      <c r="Y149" s="206">
        <f>SUM(D143:D149)+$C$142</f>
        <v>0</v>
      </c>
      <c r="Z149" s="281">
        <f t="shared" si="18"/>
        <v>48.341833700000002</v>
      </c>
      <c r="AA149" s="282">
        <f t="shared" si="30"/>
        <v>0.74712369172584447</v>
      </c>
      <c r="AB149" s="283">
        <f t="shared" si="19"/>
        <v>236.60761114734046</v>
      </c>
      <c r="AC149" s="281">
        <f t="shared" si="20"/>
        <v>55.9091199</v>
      </c>
      <c r="AD149" s="284">
        <f t="shared" si="21"/>
        <v>0.82814956232072179</v>
      </c>
      <c r="AE149" s="283">
        <f t="shared" si="22"/>
        <v>311.01030097790175</v>
      </c>
      <c r="AF149" s="628">
        <f t="shared" si="31"/>
        <v>-198</v>
      </c>
      <c r="AG149" s="285">
        <f t="shared" si="23"/>
        <v>547.61791212524224</v>
      </c>
      <c r="AH149" s="212">
        <f t="shared" si="24"/>
        <v>-236.60761114734046</v>
      </c>
      <c r="AI149" s="212">
        <f t="shared" si="8"/>
        <v>236.60761114734046</v>
      </c>
      <c r="AJ149" s="213">
        <f t="shared" si="25"/>
        <v>-112.45074025179254</v>
      </c>
      <c r="AK149" s="213">
        <f t="shared" si="26"/>
        <v>-85.54925974820749</v>
      </c>
      <c r="AL149" s="178">
        <f t="shared" si="9"/>
        <v>-53.356696332680265</v>
      </c>
      <c r="AM149" s="178">
        <f t="shared" si="10"/>
        <v>-70.135031181561075</v>
      </c>
      <c r="AN149" s="286">
        <f t="shared" si="27"/>
        <v>53.356696332680265</v>
      </c>
      <c r="AO149" s="286">
        <f t="shared" si="27"/>
        <v>70.135031181561075</v>
      </c>
      <c r="AP149" s="85"/>
      <c r="AQ149" s="85"/>
      <c r="AR149" s="85"/>
      <c r="AS149" s="85"/>
      <c r="AT149" s="85"/>
      <c r="DI149" s="85"/>
      <c r="DJ149" s="85"/>
      <c r="DK149" s="81"/>
      <c r="DL149" s="81"/>
      <c r="DM149" s="81"/>
      <c r="DN149" s="81"/>
      <c r="DO149" s="135"/>
    </row>
    <row r="150" spans="2:119" ht="21" thickBot="1" x14ac:dyDescent="0.35">
      <c r="B150" s="287">
        <v>9</v>
      </c>
      <c r="C150" s="287"/>
      <c r="D150" s="811">
        <v>0</v>
      </c>
      <c r="E150" s="276" t="s">
        <v>123</v>
      </c>
      <c r="F150" s="288"/>
      <c r="G150" s="257">
        <v>375.54846989999999</v>
      </c>
      <c r="H150" s="257">
        <v>68.183381800000006</v>
      </c>
      <c r="I150" s="258">
        <f t="shared" si="28"/>
        <v>68.183381800000006</v>
      </c>
      <c r="J150" s="219">
        <f t="shared" si="11"/>
        <v>34.091690900000003</v>
      </c>
      <c r="K150" s="219">
        <f t="shared" si="12"/>
        <v>0.56051890240384605</v>
      </c>
      <c r="L150" s="219">
        <f t="shared" si="13"/>
        <v>210.50201614779181</v>
      </c>
      <c r="M150" s="219">
        <f t="shared" si="14"/>
        <v>421.00403229558361</v>
      </c>
      <c r="N150" s="219">
        <f>+C142+D143+D144+D145+D146+D147+D148+D149+(D150/2)</f>
        <v>0</v>
      </c>
      <c r="O150" s="219">
        <f t="shared" si="15"/>
        <v>0</v>
      </c>
      <c r="P150" s="219">
        <f t="shared" si="16"/>
        <v>0</v>
      </c>
      <c r="Q150" s="219">
        <f t="shared" si="17"/>
        <v>236.60761114734083</v>
      </c>
      <c r="R150" s="219">
        <f t="shared" si="29"/>
        <v>236.60761114734083</v>
      </c>
      <c r="S150" s="219">
        <f t="shared" si="5"/>
        <v>236.60761114734083</v>
      </c>
      <c r="T150" s="148"/>
      <c r="U150" s="177" t="str">
        <f t="shared" si="6"/>
        <v>use the ground stack hole</v>
      </c>
      <c r="V150" s="205">
        <f t="shared" si="7"/>
        <v>0</v>
      </c>
      <c r="W150" s="279"/>
      <c r="X150" s="205">
        <f>SUM(V150:V153)/($B$139-B149)</f>
        <v>0</v>
      </c>
      <c r="Y150" s="206">
        <f>SUM(D143:D150)+$C$142</f>
        <v>0</v>
      </c>
      <c r="Z150" s="281">
        <f t="shared" si="18"/>
        <v>48.341833700000002</v>
      </c>
      <c r="AA150" s="282">
        <f t="shared" si="30"/>
        <v>0.74712369172584447</v>
      </c>
      <c r="AB150" s="283">
        <f t="shared" si="19"/>
        <v>236.60761114734046</v>
      </c>
      <c r="AC150" s="281">
        <f t="shared" si="20"/>
        <v>55.9091199</v>
      </c>
      <c r="AD150" s="284">
        <f t="shared" si="21"/>
        <v>0.82814956232072179</v>
      </c>
      <c r="AE150" s="283">
        <f t="shared" si="22"/>
        <v>311.01030097790175</v>
      </c>
      <c r="AF150" s="628">
        <f t="shared" si="31"/>
        <v>-231</v>
      </c>
      <c r="AG150" s="285">
        <f t="shared" si="23"/>
        <v>547.61791212524224</v>
      </c>
      <c r="AH150" s="212">
        <f t="shared" si="24"/>
        <v>-236.60761114734046</v>
      </c>
      <c r="AI150" s="212">
        <f t="shared" si="8"/>
        <v>236.60761114734046</v>
      </c>
      <c r="AJ150" s="213">
        <f t="shared" si="25"/>
        <v>-131.19253029375795</v>
      </c>
      <c r="AK150" s="213">
        <f t="shared" si="26"/>
        <v>-99.807469706242074</v>
      </c>
      <c r="AL150" s="178">
        <f t="shared" si="9"/>
        <v>-45.734311142297372</v>
      </c>
      <c r="AM150" s="178">
        <f t="shared" si="10"/>
        <v>-60.115741012766634</v>
      </c>
      <c r="AN150" s="286">
        <f t="shared" si="27"/>
        <v>45.734311142297372</v>
      </c>
      <c r="AO150" s="286">
        <f t="shared" si="27"/>
        <v>60.115741012766634</v>
      </c>
      <c r="AP150" s="85"/>
      <c r="AQ150" s="85"/>
      <c r="AR150" s="85"/>
      <c r="AS150" s="85"/>
      <c r="AT150" s="85"/>
      <c r="DI150" s="85"/>
      <c r="DJ150" s="85"/>
      <c r="DK150" s="81"/>
      <c r="DL150" s="81"/>
      <c r="DM150" s="81"/>
      <c r="DN150" s="81"/>
      <c r="DO150" s="135"/>
    </row>
    <row r="151" spans="2:119" ht="21" thickBot="1" x14ac:dyDescent="0.35">
      <c r="B151" s="287">
        <v>10</v>
      </c>
      <c r="C151" s="287"/>
      <c r="D151" s="811">
        <v>0</v>
      </c>
      <c r="E151" s="276" t="s">
        <v>123</v>
      </c>
      <c r="F151" s="288"/>
      <c r="G151" s="257">
        <v>375.54846989999999</v>
      </c>
      <c r="H151" s="257">
        <v>68.183381800000006</v>
      </c>
      <c r="I151" s="258">
        <f t="shared" si="28"/>
        <v>68.183381800000006</v>
      </c>
      <c r="J151" s="219">
        <f t="shared" si="11"/>
        <v>34.091690900000003</v>
      </c>
      <c r="K151" s="219">
        <f t="shared" si="12"/>
        <v>0.56051890240384605</v>
      </c>
      <c r="L151" s="219">
        <f t="shared" si="13"/>
        <v>210.50201614779181</v>
      </c>
      <c r="M151" s="219">
        <f t="shared" si="14"/>
        <v>421.00403229558361</v>
      </c>
      <c r="N151" s="219">
        <f>+C142+D143+D144+D145+D146+D147+D148+D149+D150+(D151/2)</f>
        <v>0</v>
      </c>
      <c r="O151" s="219">
        <f t="shared" si="15"/>
        <v>0</v>
      </c>
      <c r="P151" s="219">
        <f t="shared" si="16"/>
        <v>0</v>
      </c>
      <c r="Q151" s="219">
        <f t="shared" si="17"/>
        <v>236.60761114734083</v>
      </c>
      <c r="R151" s="219">
        <f t="shared" si="29"/>
        <v>236.60761114734083</v>
      </c>
      <c r="S151" s="219">
        <f t="shared" si="5"/>
        <v>236.60761114734083</v>
      </c>
      <c r="T151" s="148"/>
      <c r="U151" s="177" t="str">
        <f t="shared" si="6"/>
        <v>use the ground stack hole</v>
      </c>
      <c r="V151" s="205">
        <f t="shared" si="7"/>
        <v>0</v>
      </c>
      <c r="W151" s="279"/>
      <c r="X151" s="205">
        <f>SUM(V151:V153)/($B$139-B150)</f>
        <v>0</v>
      </c>
      <c r="Y151" s="206">
        <f>SUM(D143:D151)+$C$142</f>
        <v>0</v>
      </c>
      <c r="Z151" s="281">
        <f t="shared" si="18"/>
        <v>48.341833700000002</v>
      </c>
      <c r="AA151" s="282">
        <f t="shared" si="30"/>
        <v>0.74712369172584447</v>
      </c>
      <c r="AB151" s="283">
        <f t="shared" si="19"/>
        <v>236.60761114734046</v>
      </c>
      <c r="AC151" s="281">
        <f t="shared" si="20"/>
        <v>55.9091199</v>
      </c>
      <c r="AD151" s="284">
        <f t="shared" si="21"/>
        <v>0.82814956232072179</v>
      </c>
      <c r="AE151" s="283">
        <f t="shared" si="22"/>
        <v>311.01030097790175</v>
      </c>
      <c r="AF151" s="628">
        <f t="shared" si="31"/>
        <v>-264</v>
      </c>
      <c r="AG151" s="285">
        <f t="shared" si="23"/>
        <v>547.61791212524224</v>
      </c>
      <c r="AH151" s="212">
        <f t="shared" si="24"/>
        <v>-236.60761114734046</v>
      </c>
      <c r="AI151" s="212">
        <f t="shared" si="8"/>
        <v>236.60761114734046</v>
      </c>
      <c r="AJ151" s="213">
        <f t="shared" si="25"/>
        <v>-149.93432033572338</v>
      </c>
      <c r="AK151" s="213">
        <f t="shared" si="26"/>
        <v>-114.06567966427666</v>
      </c>
      <c r="AL151" s="178">
        <f t="shared" si="9"/>
        <v>-40.017522249510201</v>
      </c>
      <c r="AM151" s="178">
        <f t="shared" si="10"/>
        <v>-52.601273386170803</v>
      </c>
      <c r="AN151" s="286">
        <f t="shared" si="27"/>
        <v>40.017522249510201</v>
      </c>
      <c r="AO151" s="286">
        <f t="shared" si="27"/>
        <v>52.601273386170803</v>
      </c>
      <c r="AP151" s="85"/>
      <c r="AQ151" s="85"/>
      <c r="AR151" s="85"/>
      <c r="AS151" s="85"/>
      <c r="AT151" s="85"/>
      <c r="DI151" s="85"/>
      <c r="DJ151" s="85"/>
      <c r="DK151" s="81"/>
      <c r="DL151" s="81"/>
      <c r="DM151" s="81"/>
      <c r="DN151" s="81"/>
      <c r="DO151" s="135"/>
    </row>
    <row r="152" spans="2:119" ht="21" thickBot="1" x14ac:dyDescent="0.35">
      <c r="B152" s="287">
        <v>11</v>
      </c>
      <c r="C152" s="287"/>
      <c r="D152" s="811">
        <v>0</v>
      </c>
      <c r="E152" s="276" t="s">
        <v>123</v>
      </c>
      <c r="F152" s="288"/>
      <c r="G152" s="257">
        <v>375.54846989999999</v>
      </c>
      <c r="H152" s="257">
        <v>68.183381800000006</v>
      </c>
      <c r="I152" s="258">
        <f t="shared" si="28"/>
        <v>68.183381800000006</v>
      </c>
      <c r="J152" s="219">
        <f t="shared" si="11"/>
        <v>34.091690900000003</v>
      </c>
      <c r="K152" s="219">
        <f t="shared" si="12"/>
        <v>0.56051890240384605</v>
      </c>
      <c r="L152" s="219">
        <f t="shared" si="13"/>
        <v>210.50201614779181</v>
      </c>
      <c r="M152" s="219">
        <f t="shared" si="14"/>
        <v>421.00403229558361</v>
      </c>
      <c r="N152" s="219">
        <f>+C142+D143+D144+D145+D146+D147+D148+D149+D150+D151+(D152/2)</f>
        <v>0</v>
      </c>
      <c r="O152" s="219">
        <f t="shared" si="15"/>
        <v>0</v>
      </c>
      <c r="P152" s="219">
        <f t="shared" si="16"/>
        <v>0</v>
      </c>
      <c r="Q152" s="219">
        <f t="shared" si="17"/>
        <v>236.60761114734083</v>
      </c>
      <c r="R152" s="219">
        <f t="shared" si="29"/>
        <v>236.60761114734083</v>
      </c>
      <c r="S152" s="219">
        <f t="shared" si="5"/>
        <v>236.60761114734083</v>
      </c>
      <c r="T152" s="148"/>
      <c r="U152" s="177" t="str">
        <f t="shared" si="6"/>
        <v>use the ground stack hole</v>
      </c>
      <c r="V152" s="205">
        <f t="shared" si="7"/>
        <v>0</v>
      </c>
      <c r="W152" s="279"/>
      <c r="X152" s="205">
        <f>SUM(V152:V153)/($B$139-B151)</f>
        <v>0</v>
      </c>
      <c r="Y152" s="206">
        <f>SUM(D143:D152)+$C$142</f>
        <v>0</v>
      </c>
      <c r="Z152" s="281">
        <f t="shared" si="18"/>
        <v>48.341833700000002</v>
      </c>
      <c r="AA152" s="282">
        <f t="shared" si="30"/>
        <v>0.74712369172584447</v>
      </c>
      <c r="AB152" s="283">
        <f t="shared" si="19"/>
        <v>236.60761114734046</v>
      </c>
      <c r="AC152" s="281">
        <f t="shared" si="20"/>
        <v>55.9091199</v>
      </c>
      <c r="AD152" s="284">
        <f t="shared" si="21"/>
        <v>0.82814956232072179</v>
      </c>
      <c r="AE152" s="283">
        <f t="shared" si="22"/>
        <v>311.01030097790175</v>
      </c>
      <c r="AF152" s="628">
        <f t="shared" si="31"/>
        <v>-297</v>
      </c>
      <c r="AG152" s="285">
        <f t="shared" si="23"/>
        <v>547.61791212524224</v>
      </c>
      <c r="AH152" s="212">
        <f t="shared" si="24"/>
        <v>-236.60761114734046</v>
      </c>
      <c r="AI152" s="212">
        <f t="shared" si="8"/>
        <v>236.60761114734046</v>
      </c>
      <c r="AJ152" s="213">
        <f t="shared" si="25"/>
        <v>-168.67611037768879</v>
      </c>
      <c r="AK152" s="213">
        <f t="shared" si="26"/>
        <v>-128.32388962231124</v>
      </c>
      <c r="AL152" s="178">
        <f t="shared" si="9"/>
        <v>-35.571130888453517</v>
      </c>
      <c r="AM152" s="178">
        <f t="shared" si="10"/>
        <v>-46.756687454374045</v>
      </c>
      <c r="AN152" s="286">
        <f t="shared" si="27"/>
        <v>35.571130888453517</v>
      </c>
      <c r="AO152" s="286">
        <f t="shared" si="27"/>
        <v>46.756687454374045</v>
      </c>
      <c r="AP152" s="85"/>
      <c r="AQ152" s="85"/>
      <c r="AR152" s="85"/>
      <c r="AS152" s="85"/>
      <c r="AT152" s="85"/>
      <c r="DI152" s="85"/>
      <c r="DJ152" s="85"/>
      <c r="DK152" s="81"/>
      <c r="DL152" s="81"/>
      <c r="DM152" s="81"/>
      <c r="DN152" s="81"/>
      <c r="DO152" s="135"/>
    </row>
    <row r="153" spans="2:119" ht="21" thickBot="1" x14ac:dyDescent="0.35">
      <c r="B153" s="287">
        <v>12</v>
      </c>
      <c r="C153" s="287"/>
      <c r="D153" s="811">
        <v>0</v>
      </c>
      <c r="E153" s="276" t="s">
        <v>123</v>
      </c>
      <c r="F153" s="288"/>
      <c r="G153" s="257">
        <v>375.54846989999999</v>
      </c>
      <c r="H153" s="257">
        <v>68.183381800000006</v>
      </c>
      <c r="I153" s="258">
        <f t="shared" si="28"/>
        <v>68.183381800000006</v>
      </c>
      <c r="J153" s="219">
        <f t="shared" si="11"/>
        <v>34.091690900000003</v>
      </c>
      <c r="K153" s="219">
        <f t="shared" si="12"/>
        <v>0.56051890240384605</v>
      </c>
      <c r="L153" s="219">
        <f t="shared" si="13"/>
        <v>210.50201614779181</v>
      </c>
      <c r="M153" s="219">
        <f t="shared" si="14"/>
        <v>421.00403229558361</v>
      </c>
      <c r="N153" s="219">
        <f>+C142+D143+D144+D145+D146+D147+D148+D149+D150+D151+D152+(D153/2)</f>
        <v>0</v>
      </c>
      <c r="O153" s="219">
        <f t="shared" si="15"/>
        <v>0</v>
      </c>
      <c r="P153" s="219">
        <f t="shared" si="16"/>
        <v>0</v>
      </c>
      <c r="Q153" s="219">
        <f t="shared" si="17"/>
        <v>236.60761114734083</v>
      </c>
      <c r="R153" s="219">
        <f t="shared" si="29"/>
        <v>236.60761114734083</v>
      </c>
      <c r="S153" s="219">
        <f t="shared" si="5"/>
        <v>236.60761114734083</v>
      </c>
      <c r="T153" s="148"/>
      <c r="U153" s="177" t="str">
        <f t="shared" si="6"/>
        <v>use the ground stack hole</v>
      </c>
      <c r="V153" s="205">
        <f t="shared" si="7"/>
        <v>0</v>
      </c>
      <c r="W153" s="279"/>
      <c r="X153" s="205">
        <f>SUM(V153)/($B$139-B152)</f>
        <v>0</v>
      </c>
      <c r="Y153" s="206">
        <f>SUM(D143:D153)+$C$142</f>
        <v>0</v>
      </c>
      <c r="Z153" s="281">
        <f t="shared" si="18"/>
        <v>48.341833700000002</v>
      </c>
      <c r="AA153" s="282">
        <f t="shared" si="30"/>
        <v>0.74712369172584447</v>
      </c>
      <c r="AB153" s="283">
        <f t="shared" si="19"/>
        <v>236.60761114734046</v>
      </c>
      <c r="AC153" s="281">
        <f t="shared" si="20"/>
        <v>55.9091199</v>
      </c>
      <c r="AD153" s="284">
        <f t="shared" si="21"/>
        <v>0.82814956232072179</v>
      </c>
      <c r="AE153" s="283">
        <f t="shared" si="22"/>
        <v>311.01030097790175</v>
      </c>
      <c r="AF153" s="628">
        <f t="shared" si="31"/>
        <v>-330</v>
      </c>
      <c r="AG153" s="285">
        <f t="shared" si="23"/>
        <v>547.61791212524224</v>
      </c>
      <c r="AH153" s="212">
        <f t="shared" si="24"/>
        <v>-236.60761114734046</v>
      </c>
      <c r="AI153" s="212">
        <f t="shared" si="8"/>
        <v>236.60761114734046</v>
      </c>
      <c r="AJ153" s="213">
        <f t="shared" si="25"/>
        <v>-187.41790041965422</v>
      </c>
      <c r="AK153" s="213">
        <f t="shared" si="26"/>
        <v>-142.58209958034581</v>
      </c>
      <c r="AL153" s="178">
        <f t="shared" si="9"/>
        <v>-32.014017799608162</v>
      </c>
      <c r="AM153" s="178">
        <f t="shared" si="10"/>
        <v>-42.081018708936647</v>
      </c>
      <c r="AN153" s="286">
        <f t="shared" si="27"/>
        <v>32.014017799608162</v>
      </c>
      <c r="AO153" s="286">
        <f t="shared" si="27"/>
        <v>42.081018708936647</v>
      </c>
      <c r="AP153" s="85"/>
      <c r="AQ153" s="85"/>
      <c r="AR153" s="85"/>
      <c r="AS153" s="85"/>
      <c r="AT153" s="85"/>
      <c r="DI153" s="85"/>
      <c r="DJ153" s="85"/>
      <c r="DK153" s="81"/>
      <c r="DL153" s="81"/>
      <c r="DM153" s="81"/>
      <c r="DN153" s="81"/>
      <c r="DO153" s="135"/>
    </row>
    <row r="154" spans="2:119" ht="19" x14ac:dyDescent="0.3">
      <c r="AP154" s="85"/>
      <c r="AQ154" s="85"/>
      <c r="AR154" s="85"/>
      <c r="AS154" s="85"/>
      <c r="AT154" s="85"/>
      <c r="DI154" s="85"/>
      <c r="DJ154" s="85"/>
      <c r="DK154" s="81"/>
      <c r="DL154" s="81"/>
      <c r="DM154" s="81"/>
      <c r="DN154" s="81"/>
      <c r="DO154" s="135"/>
    </row>
    <row r="155" spans="2:119" ht="19" hidden="1" x14ac:dyDescent="0.3">
      <c r="AP155" s="85"/>
      <c r="AQ155" s="85"/>
      <c r="AR155" s="85"/>
      <c r="AS155" s="85"/>
      <c r="AT155" s="85"/>
      <c r="DI155" s="85"/>
      <c r="DJ155" s="85"/>
      <c r="DK155" s="81"/>
      <c r="DL155" s="81"/>
      <c r="DM155" s="81"/>
      <c r="DN155" s="81"/>
      <c r="DO155" s="135"/>
    </row>
    <row r="156" spans="2:119" ht="19" hidden="1" x14ac:dyDescent="0.3">
      <c r="AP156" s="85"/>
      <c r="AQ156" s="85"/>
      <c r="AR156" s="85"/>
      <c r="AS156" s="85"/>
      <c r="AT156" s="85"/>
      <c r="DI156" s="85"/>
      <c r="DJ156" s="85"/>
      <c r="DK156" s="81"/>
      <c r="DL156" s="81"/>
      <c r="DM156" s="81"/>
      <c r="DN156" s="81"/>
      <c r="DO156" s="135"/>
    </row>
    <row r="157" spans="2:119" ht="19" hidden="1" x14ac:dyDescent="0.3">
      <c r="B157" s="251"/>
      <c r="AP157" s="85"/>
      <c r="AQ157" s="85"/>
      <c r="AR157" s="85"/>
      <c r="AS157" s="85"/>
      <c r="AT157" s="85"/>
      <c r="DI157" s="85"/>
      <c r="DJ157" s="85"/>
      <c r="DK157" s="81"/>
      <c r="DL157" s="81"/>
      <c r="DM157" s="81"/>
      <c r="DN157" s="81"/>
      <c r="DO157" s="135"/>
    </row>
    <row r="158" spans="2:119" ht="19" hidden="1" x14ac:dyDescent="0.3">
      <c r="AP158" s="85"/>
      <c r="AQ158" s="85"/>
      <c r="AR158" s="85"/>
      <c r="AS158" s="85"/>
      <c r="AT158" s="85"/>
      <c r="DI158" s="85"/>
      <c r="DJ158" s="85"/>
      <c r="DK158" s="81"/>
      <c r="DL158" s="81"/>
      <c r="DM158" s="81"/>
      <c r="DO158" s="135"/>
    </row>
    <row r="159" spans="2:119" ht="20" hidden="1" x14ac:dyDescent="0.3">
      <c r="AP159" s="85"/>
      <c r="AQ159" s="85"/>
      <c r="AR159" s="85"/>
      <c r="AS159" s="85"/>
      <c r="AT159" s="85"/>
      <c r="AV159" s="135"/>
      <c r="AW159" s="135"/>
      <c r="AX159" s="135"/>
      <c r="DI159" s="85"/>
      <c r="DJ159" s="85"/>
      <c r="DK159" s="81"/>
      <c r="DL159" s="81"/>
      <c r="DM159" s="81"/>
      <c r="DN159" s="133"/>
      <c r="DO159" s="135"/>
    </row>
    <row r="160" spans="2:119" ht="20.25" hidden="1" customHeight="1" x14ac:dyDescent="0.3">
      <c r="AP160" s="85"/>
      <c r="AQ160" s="85"/>
      <c r="AR160" s="85"/>
      <c r="AS160" s="85"/>
      <c r="AT160" s="85"/>
      <c r="AV160" s="135"/>
      <c r="AW160" s="135"/>
      <c r="AX160" s="135"/>
      <c r="DI160" s="85"/>
      <c r="DJ160" s="85"/>
      <c r="DK160" s="81"/>
      <c r="DL160" s="81"/>
      <c r="DM160" s="81"/>
      <c r="DN160" s="81"/>
      <c r="DO160" s="135"/>
    </row>
    <row r="161" spans="42:119" ht="19" hidden="1" x14ac:dyDescent="0.3">
      <c r="AP161" s="85"/>
      <c r="AQ161" s="85"/>
      <c r="AR161" s="85"/>
      <c r="AS161" s="85"/>
      <c r="AT161" s="85"/>
      <c r="AV161" s="135"/>
      <c r="AW161" s="135"/>
      <c r="AX161" s="135"/>
      <c r="DI161" s="85"/>
      <c r="DJ161" s="85"/>
      <c r="DO161" s="135"/>
    </row>
    <row r="162" spans="42:119" ht="19" hidden="1" x14ac:dyDescent="0.3">
      <c r="AP162" s="85"/>
      <c r="AQ162" s="85"/>
      <c r="AR162" s="85"/>
      <c r="AS162" s="85"/>
      <c r="AT162" s="85"/>
      <c r="AV162" s="135"/>
      <c r="AW162" s="135"/>
      <c r="AX162" s="135"/>
      <c r="DI162" s="85"/>
      <c r="DJ162" s="85"/>
      <c r="DO162" s="135"/>
    </row>
    <row r="163" spans="42:119" ht="20" hidden="1" thickBot="1" x14ac:dyDescent="0.35">
      <c r="AP163" s="85"/>
      <c r="AQ163" s="85"/>
      <c r="AR163" s="85"/>
      <c r="AS163" s="85"/>
      <c r="AT163" s="85"/>
      <c r="AV163" s="135"/>
      <c r="AW163" s="135"/>
      <c r="AX163" s="135"/>
      <c r="DI163" s="85"/>
      <c r="DJ163" s="85"/>
      <c r="DO163" s="135"/>
    </row>
    <row r="164" spans="42:119" ht="21" hidden="1" thickBot="1" x14ac:dyDescent="0.35">
      <c r="AP164" s="85"/>
      <c r="AQ164" s="85"/>
      <c r="AR164" s="85"/>
      <c r="AS164" s="85"/>
      <c r="AT164" s="85"/>
      <c r="AV164" s="135"/>
      <c r="AW164" s="135"/>
      <c r="AX164" s="135"/>
      <c r="BT164" s="560"/>
      <c r="BU164" s="561"/>
      <c r="BV164" s="562" t="s">
        <v>79</v>
      </c>
      <c r="BW164" s="561"/>
      <c r="BX164" s="561"/>
      <c r="BY164" s="561"/>
      <c r="BZ164" s="561"/>
      <c r="CA164" s="563"/>
      <c r="DI164" s="85"/>
      <c r="DJ164" s="85"/>
      <c r="DO164" s="135"/>
    </row>
    <row r="165" spans="42:119" ht="21" hidden="1" thickBot="1" x14ac:dyDescent="0.35">
      <c r="AP165" s="85"/>
      <c r="AQ165" s="85"/>
      <c r="AR165" s="85"/>
      <c r="AS165" s="85"/>
      <c r="AT165" s="85"/>
      <c r="AV165" s="135"/>
      <c r="AW165" s="135"/>
      <c r="AX165" s="135"/>
      <c r="BT165" s="564">
        <v>1</v>
      </c>
      <c r="BU165" s="528">
        <v>-308</v>
      </c>
      <c r="BV165" s="630">
        <f>+COS(($B$136*-1)*3.14159265358979/180)*BU165</f>
        <v>-308</v>
      </c>
      <c r="BW165" s="636">
        <f t="shared" ref="BW165:BW205" si="32">+BV165-D$3</f>
        <v>-544.644384037176</v>
      </c>
      <c r="BX165" s="632">
        <f t="shared" ref="BX165:BX205" si="33">ABS(BW165)</f>
        <v>544.644384037176</v>
      </c>
      <c r="BY165" s="220">
        <f>MIN(BX165:BX205)</f>
        <v>12.644384037175968</v>
      </c>
      <c r="BZ165" s="219" t="b">
        <f t="shared" ref="BZ165:BZ205" si="34">IF(BY165=BX165,BT165)</f>
        <v>0</v>
      </c>
      <c r="CA165" s="565">
        <v>1</v>
      </c>
      <c r="DI165" s="85"/>
      <c r="DJ165" s="85"/>
      <c r="DO165" s="135"/>
    </row>
    <row r="166" spans="42:119" ht="20" hidden="1" x14ac:dyDescent="0.3">
      <c r="AP166" s="85"/>
      <c r="AQ166" s="85"/>
      <c r="AR166" s="85"/>
      <c r="AS166" s="85"/>
      <c r="AT166" s="85"/>
      <c r="AV166" s="135"/>
      <c r="AW166" s="135"/>
      <c r="AX166" s="135"/>
      <c r="BT166" s="564">
        <v>2</v>
      </c>
      <c r="BU166" s="528">
        <f t="shared" ref="BU166:BU205" si="35">+BU165+28</f>
        <v>-280</v>
      </c>
      <c r="BV166" s="18">
        <f t="shared" ref="BV166:BV205" si="36">+BV165+$E$2</f>
        <v>-280</v>
      </c>
      <c r="BW166" s="635">
        <f t="shared" si="32"/>
        <v>-516.644384037176</v>
      </c>
      <c r="BX166" s="219">
        <f t="shared" si="33"/>
        <v>516.644384037176</v>
      </c>
      <c r="BY166" s="219">
        <f t="shared" ref="BY166:BY205" si="37">+BY165</f>
        <v>12.644384037175968</v>
      </c>
      <c r="BZ166" s="219" t="b">
        <f t="shared" si="34"/>
        <v>0</v>
      </c>
      <c r="CA166" s="565">
        <v>2</v>
      </c>
      <c r="DI166" s="85"/>
      <c r="DJ166" s="85"/>
      <c r="DO166" s="135"/>
    </row>
    <row r="167" spans="42:119" ht="20" hidden="1" x14ac:dyDescent="0.3">
      <c r="AV167" s="135"/>
      <c r="AW167" s="135"/>
      <c r="AX167" s="135"/>
      <c r="BT167" s="564">
        <v>3</v>
      </c>
      <c r="BU167" s="528">
        <f t="shared" si="35"/>
        <v>-252</v>
      </c>
      <c r="BV167" s="18">
        <f t="shared" si="36"/>
        <v>-252</v>
      </c>
      <c r="BW167" s="629">
        <f t="shared" si="32"/>
        <v>-488.644384037176</v>
      </c>
      <c r="BX167" s="219">
        <f t="shared" si="33"/>
        <v>488.644384037176</v>
      </c>
      <c r="BY167" s="219">
        <f t="shared" si="37"/>
        <v>12.644384037175968</v>
      </c>
      <c r="BZ167" s="219" t="b">
        <f t="shared" si="34"/>
        <v>0</v>
      </c>
      <c r="CA167" s="565">
        <v>3</v>
      </c>
      <c r="DO167" s="135"/>
    </row>
    <row r="168" spans="42:119" ht="20" hidden="1" x14ac:dyDescent="0.3">
      <c r="AV168" s="135"/>
      <c r="AW168" s="135"/>
      <c r="AX168" s="135"/>
      <c r="BT168" s="564">
        <v>4</v>
      </c>
      <c r="BU168" s="528">
        <f t="shared" si="35"/>
        <v>-224</v>
      </c>
      <c r="BV168" s="18">
        <f t="shared" si="36"/>
        <v>-224</v>
      </c>
      <c r="BW168" s="629">
        <f t="shared" si="32"/>
        <v>-460.644384037176</v>
      </c>
      <c r="BX168" s="219">
        <f t="shared" si="33"/>
        <v>460.644384037176</v>
      </c>
      <c r="BY168" s="219">
        <f t="shared" si="37"/>
        <v>12.644384037175968</v>
      </c>
      <c r="BZ168" s="219" t="b">
        <f t="shared" si="34"/>
        <v>0</v>
      </c>
      <c r="CA168" s="565">
        <v>4</v>
      </c>
      <c r="DO168" s="135"/>
    </row>
    <row r="169" spans="42:119" ht="20" hidden="1" x14ac:dyDescent="0.3">
      <c r="AV169" s="135"/>
      <c r="AW169" s="135"/>
      <c r="AX169" s="135"/>
      <c r="BT169" s="564">
        <v>5</v>
      </c>
      <c r="BU169" s="528">
        <f t="shared" si="35"/>
        <v>-196</v>
      </c>
      <c r="BV169" s="18">
        <f t="shared" si="36"/>
        <v>-196</v>
      </c>
      <c r="BW169" s="629">
        <f t="shared" si="32"/>
        <v>-432.644384037176</v>
      </c>
      <c r="BX169" s="219">
        <f t="shared" si="33"/>
        <v>432.644384037176</v>
      </c>
      <c r="BY169" s="219">
        <f t="shared" si="37"/>
        <v>12.644384037175968</v>
      </c>
      <c r="BZ169" s="219" t="b">
        <f t="shared" si="34"/>
        <v>0</v>
      </c>
      <c r="CA169" s="565">
        <v>5</v>
      </c>
      <c r="DO169" s="135"/>
    </row>
    <row r="170" spans="42:119" ht="20" hidden="1" x14ac:dyDescent="0.3">
      <c r="AV170" s="135"/>
      <c r="AW170" s="135"/>
      <c r="AX170" s="135"/>
      <c r="BT170" s="564">
        <v>6</v>
      </c>
      <c r="BU170" s="528">
        <f t="shared" si="35"/>
        <v>-168</v>
      </c>
      <c r="BV170" s="18">
        <f t="shared" si="36"/>
        <v>-168</v>
      </c>
      <c r="BW170" s="629">
        <f t="shared" si="32"/>
        <v>-404.644384037176</v>
      </c>
      <c r="BX170" s="219">
        <f t="shared" si="33"/>
        <v>404.644384037176</v>
      </c>
      <c r="BY170" s="219">
        <f t="shared" si="37"/>
        <v>12.644384037175968</v>
      </c>
      <c r="BZ170" s="219" t="b">
        <f t="shared" si="34"/>
        <v>0</v>
      </c>
      <c r="CA170" s="565">
        <v>6</v>
      </c>
      <c r="DO170" s="135"/>
    </row>
    <row r="171" spans="42:119" ht="20" hidden="1" x14ac:dyDescent="0.3">
      <c r="AV171" s="135"/>
      <c r="AW171" s="135"/>
      <c r="AX171" s="135"/>
      <c r="BT171" s="564">
        <v>7</v>
      </c>
      <c r="BU171" s="528">
        <f t="shared" si="35"/>
        <v>-140</v>
      </c>
      <c r="BV171" s="18">
        <f t="shared" si="36"/>
        <v>-140</v>
      </c>
      <c r="BW171" s="629">
        <f t="shared" si="32"/>
        <v>-376.644384037176</v>
      </c>
      <c r="BX171" s="219">
        <f t="shared" si="33"/>
        <v>376.644384037176</v>
      </c>
      <c r="BY171" s="219">
        <f t="shared" si="37"/>
        <v>12.644384037175968</v>
      </c>
      <c r="BZ171" s="219" t="b">
        <f t="shared" si="34"/>
        <v>0</v>
      </c>
      <c r="CA171" s="565">
        <v>7</v>
      </c>
    </row>
    <row r="172" spans="42:119" ht="20" hidden="1" x14ac:dyDescent="0.3">
      <c r="AV172" s="135"/>
      <c r="AW172" s="135"/>
      <c r="AX172" s="135"/>
      <c r="BT172" s="564">
        <v>8</v>
      </c>
      <c r="BU172" s="528">
        <f t="shared" si="35"/>
        <v>-112</v>
      </c>
      <c r="BV172" s="18">
        <f t="shared" si="36"/>
        <v>-112</v>
      </c>
      <c r="BW172" s="629">
        <f t="shared" si="32"/>
        <v>-348.644384037176</v>
      </c>
      <c r="BX172" s="219">
        <f t="shared" si="33"/>
        <v>348.644384037176</v>
      </c>
      <c r="BY172" s="219">
        <f t="shared" si="37"/>
        <v>12.644384037175968</v>
      </c>
      <c r="BZ172" s="219" t="b">
        <f t="shared" si="34"/>
        <v>0</v>
      </c>
      <c r="CA172" s="565">
        <v>8</v>
      </c>
    </row>
    <row r="173" spans="42:119" ht="20" hidden="1" x14ac:dyDescent="0.3">
      <c r="BT173" s="564">
        <v>9</v>
      </c>
      <c r="BU173" s="528">
        <f t="shared" si="35"/>
        <v>-84</v>
      </c>
      <c r="BV173" s="18">
        <f t="shared" si="36"/>
        <v>-84</v>
      </c>
      <c r="BW173" s="629">
        <f t="shared" si="32"/>
        <v>-320.644384037176</v>
      </c>
      <c r="BX173" s="219">
        <f t="shared" si="33"/>
        <v>320.644384037176</v>
      </c>
      <c r="BY173" s="219">
        <f t="shared" si="37"/>
        <v>12.644384037175968</v>
      </c>
      <c r="BZ173" s="219" t="b">
        <f t="shared" si="34"/>
        <v>0</v>
      </c>
      <c r="CA173" s="565">
        <v>9</v>
      </c>
    </row>
    <row r="174" spans="42:119" ht="20" hidden="1" x14ac:dyDescent="0.3">
      <c r="BT174" s="564">
        <v>10</v>
      </c>
      <c r="BU174" s="528">
        <f t="shared" si="35"/>
        <v>-56</v>
      </c>
      <c r="BV174" s="18">
        <f t="shared" si="36"/>
        <v>-56</v>
      </c>
      <c r="BW174" s="629">
        <f t="shared" si="32"/>
        <v>-292.644384037176</v>
      </c>
      <c r="BX174" s="219">
        <f t="shared" si="33"/>
        <v>292.644384037176</v>
      </c>
      <c r="BY174" s="219">
        <f t="shared" si="37"/>
        <v>12.644384037175968</v>
      </c>
      <c r="BZ174" s="219" t="b">
        <f t="shared" si="34"/>
        <v>0</v>
      </c>
      <c r="CA174" s="565">
        <v>10</v>
      </c>
    </row>
    <row r="175" spans="42:119" ht="20" hidden="1" x14ac:dyDescent="0.3">
      <c r="BT175" s="564">
        <v>11</v>
      </c>
      <c r="BU175" s="528">
        <f t="shared" si="35"/>
        <v>-28</v>
      </c>
      <c r="BV175" s="18">
        <f t="shared" si="36"/>
        <v>-28</v>
      </c>
      <c r="BW175" s="629">
        <f t="shared" si="32"/>
        <v>-264.644384037176</v>
      </c>
      <c r="BX175" s="219">
        <f t="shared" si="33"/>
        <v>264.644384037176</v>
      </c>
      <c r="BY175" s="219">
        <f t="shared" si="37"/>
        <v>12.644384037175968</v>
      </c>
      <c r="BZ175" s="219" t="b">
        <f t="shared" si="34"/>
        <v>0</v>
      </c>
      <c r="CA175" s="565">
        <v>11</v>
      </c>
    </row>
    <row r="176" spans="42:119" ht="20" hidden="1" x14ac:dyDescent="0.3">
      <c r="BT176" s="564">
        <v>12</v>
      </c>
      <c r="BU176" s="528">
        <f t="shared" si="35"/>
        <v>0</v>
      </c>
      <c r="BV176" s="18">
        <f t="shared" si="36"/>
        <v>0</v>
      </c>
      <c r="BW176" s="629">
        <f t="shared" si="32"/>
        <v>-236.64438403717597</v>
      </c>
      <c r="BX176" s="219">
        <f t="shared" si="33"/>
        <v>236.64438403717597</v>
      </c>
      <c r="BY176" s="219">
        <f t="shared" si="37"/>
        <v>12.644384037175968</v>
      </c>
      <c r="BZ176" s="219" t="b">
        <f t="shared" si="34"/>
        <v>0</v>
      </c>
      <c r="CA176" s="565">
        <v>12</v>
      </c>
    </row>
    <row r="177" spans="51:79" ht="20" hidden="1" x14ac:dyDescent="0.3">
      <c r="BT177" s="564">
        <v>13</v>
      </c>
      <c r="BU177" s="528">
        <f t="shared" si="35"/>
        <v>28</v>
      </c>
      <c r="BV177" s="18">
        <f t="shared" si="36"/>
        <v>28</v>
      </c>
      <c r="BW177" s="629">
        <f t="shared" si="32"/>
        <v>-208.64438403717597</v>
      </c>
      <c r="BX177" s="219">
        <f t="shared" si="33"/>
        <v>208.64438403717597</v>
      </c>
      <c r="BY177" s="219">
        <f t="shared" si="37"/>
        <v>12.644384037175968</v>
      </c>
      <c r="BZ177" s="219" t="b">
        <f t="shared" si="34"/>
        <v>0</v>
      </c>
      <c r="CA177" s="565">
        <v>13</v>
      </c>
    </row>
    <row r="178" spans="51:79" ht="20" hidden="1" x14ac:dyDescent="0.3">
      <c r="BT178" s="564">
        <v>14</v>
      </c>
      <c r="BU178" s="528">
        <f t="shared" si="35"/>
        <v>56</v>
      </c>
      <c r="BV178" s="18">
        <f t="shared" si="36"/>
        <v>56</v>
      </c>
      <c r="BW178" s="629">
        <f t="shared" si="32"/>
        <v>-180.64438403717597</v>
      </c>
      <c r="BX178" s="219">
        <f t="shared" si="33"/>
        <v>180.64438403717597</v>
      </c>
      <c r="BY178" s="219">
        <f t="shared" si="37"/>
        <v>12.644384037175968</v>
      </c>
      <c r="BZ178" s="219" t="b">
        <f t="shared" si="34"/>
        <v>0</v>
      </c>
      <c r="CA178" s="565">
        <v>14</v>
      </c>
    </row>
    <row r="179" spans="51:79" ht="20" hidden="1" x14ac:dyDescent="0.3">
      <c r="BT179" s="564">
        <v>15</v>
      </c>
      <c r="BU179" s="528">
        <f t="shared" si="35"/>
        <v>84</v>
      </c>
      <c r="BV179" s="18">
        <f t="shared" si="36"/>
        <v>84</v>
      </c>
      <c r="BW179" s="629">
        <f t="shared" si="32"/>
        <v>-152.64438403717597</v>
      </c>
      <c r="BX179" s="219">
        <f t="shared" si="33"/>
        <v>152.64438403717597</v>
      </c>
      <c r="BY179" s="219">
        <f t="shared" si="37"/>
        <v>12.644384037175968</v>
      </c>
      <c r="BZ179" s="219" t="b">
        <f t="shared" si="34"/>
        <v>0</v>
      </c>
      <c r="CA179" s="565">
        <v>15</v>
      </c>
    </row>
    <row r="180" spans="51:79" ht="20" hidden="1" x14ac:dyDescent="0.3">
      <c r="BT180" s="564">
        <v>16</v>
      </c>
      <c r="BU180" s="528">
        <f t="shared" si="35"/>
        <v>112</v>
      </c>
      <c r="BV180" s="18">
        <f t="shared" si="36"/>
        <v>112</v>
      </c>
      <c r="BW180" s="629">
        <f t="shared" si="32"/>
        <v>-124.64438403717597</v>
      </c>
      <c r="BX180" s="219">
        <f t="shared" si="33"/>
        <v>124.64438403717597</v>
      </c>
      <c r="BY180" s="219">
        <f t="shared" si="37"/>
        <v>12.644384037175968</v>
      </c>
      <c r="BZ180" s="219" t="b">
        <f t="shared" si="34"/>
        <v>0</v>
      </c>
      <c r="CA180" s="565">
        <v>16</v>
      </c>
    </row>
    <row r="181" spans="51:79" ht="20" hidden="1" x14ac:dyDescent="0.3">
      <c r="BT181" s="564">
        <v>17</v>
      </c>
      <c r="BU181" s="528">
        <f t="shared" si="35"/>
        <v>140</v>
      </c>
      <c r="BV181" s="18">
        <f t="shared" si="36"/>
        <v>140</v>
      </c>
      <c r="BW181" s="629">
        <f t="shared" si="32"/>
        <v>-96.644384037175968</v>
      </c>
      <c r="BX181" s="219">
        <f t="shared" si="33"/>
        <v>96.644384037175968</v>
      </c>
      <c r="BY181" s="219">
        <f t="shared" si="37"/>
        <v>12.644384037175968</v>
      </c>
      <c r="BZ181" s="219" t="b">
        <f t="shared" si="34"/>
        <v>0</v>
      </c>
      <c r="CA181" s="565">
        <v>17</v>
      </c>
    </row>
    <row r="182" spans="51:79" ht="20" hidden="1" x14ac:dyDescent="0.3">
      <c r="BT182" s="564">
        <v>18</v>
      </c>
      <c r="BU182" s="528">
        <f t="shared" si="35"/>
        <v>168</v>
      </c>
      <c r="BV182" s="18">
        <f t="shared" si="36"/>
        <v>168</v>
      </c>
      <c r="BW182" s="629">
        <f t="shared" si="32"/>
        <v>-68.644384037175968</v>
      </c>
      <c r="BX182" s="219">
        <f t="shared" si="33"/>
        <v>68.644384037175968</v>
      </c>
      <c r="BY182" s="219">
        <f t="shared" si="37"/>
        <v>12.644384037175968</v>
      </c>
      <c r="BZ182" s="219" t="b">
        <f t="shared" si="34"/>
        <v>0</v>
      </c>
      <c r="CA182" s="565">
        <v>18</v>
      </c>
    </row>
    <row r="183" spans="51:79" ht="20" hidden="1" x14ac:dyDescent="0.3">
      <c r="BT183" s="564">
        <v>19</v>
      </c>
      <c r="BU183" s="528">
        <f t="shared" si="35"/>
        <v>196</v>
      </c>
      <c r="BV183" s="18">
        <f t="shared" si="36"/>
        <v>196</v>
      </c>
      <c r="BW183" s="629">
        <f t="shared" si="32"/>
        <v>-40.644384037175968</v>
      </c>
      <c r="BX183" s="219">
        <f t="shared" si="33"/>
        <v>40.644384037175968</v>
      </c>
      <c r="BY183" s="219">
        <f t="shared" si="37"/>
        <v>12.644384037175968</v>
      </c>
      <c r="BZ183" s="219" t="b">
        <f t="shared" si="34"/>
        <v>0</v>
      </c>
      <c r="CA183" s="565">
        <v>19</v>
      </c>
    </row>
    <row r="184" spans="51:79" ht="20" hidden="1" x14ac:dyDescent="0.3">
      <c r="BT184" s="564">
        <v>20</v>
      </c>
      <c r="BU184" s="528">
        <f t="shared" si="35"/>
        <v>224</v>
      </c>
      <c r="BV184" s="18">
        <f t="shared" si="36"/>
        <v>224</v>
      </c>
      <c r="BW184" s="629">
        <f t="shared" si="32"/>
        <v>-12.644384037175968</v>
      </c>
      <c r="BX184" s="219">
        <f t="shared" si="33"/>
        <v>12.644384037175968</v>
      </c>
      <c r="BY184" s="219">
        <f t="shared" si="37"/>
        <v>12.644384037175968</v>
      </c>
      <c r="BZ184" s="219">
        <f t="shared" si="34"/>
        <v>20</v>
      </c>
      <c r="CA184" s="565">
        <v>20</v>
      </c>
    </row>
    <row r="185" spans="51:79" ht="20" hidden="1" x14ac:dyDescent="0.3">
      <c r="BT185" s="564">
        <v>21</v>
      </c>
      <c r="BU185" s="528">
        <f t="shared" si="35"/>
        <v>252</v>
      </c>
      <c r="BV185" s="18">
        <f t="shared" si="36"/>
        <v>252</v>
      </c>
      <c r="BW185" s="629">
        <f t="shared" si="32"/>
        <v>15.355615962824032</v>
      </c>
      <c r="BX185" s="219">
        <f t="shared" si="33"/>
        <v>15.355615962824032</v>
      </c>
      <c r="BY185" s="219">
        <f t="shared" si="37"/>
        <v>12.644384037175968</v>
      </c>
      <c r="BZ185" s="219" t="b">
        <f t="shared" si="34"/>
        <v>0</v>
      </c>
      <c r="CA185" s="565">
        <v>21</v>
      </c>
    </row>
    <row r="186" spans="51:79" ht="20" hidden="1" x14ac:dyDescent="0.3">
      <c r="BT186" s="564">
        <v>22</v>
      </c>
      <c r="BU186" s="528">
        <f t="shared" si="35"/>
        <v>280</v>
      </c>
      <c r="BV186" s="18">
        <f t="shared" si="36"/>
        <v>280</v>
      </c>
      <c r="BW186" s="629">
        <f t="shared" si="32"/>
        <v>43.355615962824032</v>
      </c>
      <c r="BX186" s="219">
        <f t="shared" si="33"/>
        <v>43.355615962824032</v>
      </c>
      <c r="BY186" s="219">
        <f t="shared" si="37"/>
        <v>12.644384037175968</v>
      </c>
      <c r="BZ186" s="219" t="b">
        <f t="shared" si="34"/>
        <v>0</v>
      </c>
      <c r="CA186" s="565">
        <v>22</v>
      </c>
    </row>
    <row r="187" spans="51:79" ht="20" hidden="1" x14ac:dyDescent="0.3">
      <c r="BT187" s="564">
        <v>23</v>
      </c>
      <c r="BU187" s="528">
        <f t="shared" si="35"/>
        <v>308</v>
      </c>
      <c r="BV187" s="18">
        <f t="shared" si="36"/>
        <v>308</v>
      </c>
      <c r="BW187" s="629">
        <f t="shared" si="32"/>
        <v>71.355615962824032</v>
      </c>
      <c r="BX187" s="219">
        <f t="shared" si="33"/>
        <v>71.355615962824032</v>
      </c>
      <c r="BY187" s="219">
        <f t="shared" si="37"/>
        <v>12.644384037175968</v>
      </c>
      <c r="BZ187" s="219" t="b">
        <f t="shared" si="34"/>
        <v>0</v>
      </c>
      <c r="CA187" s="565">
        <v>23</v>
      </c>
    </row>
    <row r="188" spans="51:79" ht="20" hidden="1" x14ac:dyDescent="0.3">
      <c r="BT188" s="564">
        <v>24</v>
      </c>
      <c r="BU188" s="528">
        <f t="shared" si="35"/>
        <v>336</v>
      </c>
      <c r="BV188" s="18">
        <f t="shared" si="36"/>
        <v>336</v>
      </c>
      <c r="BW188" s="629">
        <f t="shared" si="32"/>
        <v>99.355615962824032</v>
      </c>
      <c r="BX188" s="219">
        <f t="shared" si="33"/>
        <v>99.355615962824032</v>
      </c>
      <c r="BY188" s="219">
        <f t="shared" si="37"/>
        <v>12.644384037175968</v>
      </c>
      <c r="BZ188" s="219" t="b">
        <f t="shared" si="34"/>
        <v>0</v>
      </c>
      <c r="CA188" s="565">
        <v>24</v>
      </c>
    </row>
    <row r="189" spans="51:79" ht="20" hidden="1" x14ac:dyDescent="0.3">
      <c r="BT189" s="564">
        <v>25</v>
      </c>
      <c r="BU189" s="528">
        <f t="shared" si="35"/>
        <v>364</v>
      </c>
      <c r="BV189" s="18">
        <f t="shared" si="36"/>
        <v>364</v>
      </c>
      <c r="BW189" s="629">
        <f t="shared" si="32"/>
        <v>127.35561596282403</v>
      </c>
      <c r="BX189" s="219">
        <f t="shared" si="33"/>
        <v>127.35561596282403</v>
      </c>
      <c r="BY189" s="219">
        <f t="shared" si="37"/>
        <v>12.644384037175968</v>
      </c>
      <c r="BZ189" s="219" t="b">
        <f t="shared" si="34"/>
        <v>0</v>
      </c>
      <c r="CA189" s="565">
        <v>25</v>
      </c>
    </row>
    <row r="190" spans="51:79" ht="20" hidden="1" x14ac:dyDescent="0.3">
      <c r="BT190" s="564">
        <v>26</v>
      </c>
      <c r="BU190" s="528">
        <f t="shared" si="35"/>
        <v>392</v>
      </c>
      <c r="BV190" s="18">
        <f t="shared" si="36"/>
        <v>392</v>
      </c>
      <c r="BW190" s="629">
        <f t="shared" si="32"/>
        <v>155.35561596282403</v>
      </c>
      <c r="BX190" s="219">
        <f t="shared" si="33"/>
        <v>155.35561596282403</v>
      </c>
      <c r="BY190" s="219">
        <f t="shared" si="37"/>
        <v>12.644384037175968</v>
      </c>
      <c r="BZ190" s="219" t="b">
        <f t="shared" si="34"/>
        <v>0</v>
      </c>
      <c r="CA190" s="565">
        <v>26</v>
      </c>
    </row>
    <row r="191" spans="51:79" ht="20" hidden="1" x14ac:dyDescent="0.3">
      <c r="AY191" s="221"/>
      <c r="AZ191" s="221"/>
      <c r="BA191" s="221"/>
      <c r="BB191" s="221"/>
      <c r="BC191" s="221"/>
      <c r="BD191" s="221"/>
      <c r="BE191" s="999"/>
      <c r="BF191" s="999"/>
      <c r="BG191" s="999"/>
      <c r="BH191" s="77"/>
      <c r="BT191" s="564">
        <v>27</v>
      </c>
      <c r="BU191" s="528">
        <f t="shared" si="35"/>
        <v>420</v>
      </c>
      <c r="BV191" s="18">
        <f t="shared" si="36"/>
        <v>420</v>
      </c>
      <c r="BW191" s="629">
        <f t="shared" si="32"/>
        <v>183.35561596282403</v>
      </c>
      <c r="BX191" s="219">
        <f t="shared" si="33"/>
        <v>183.35561596282403</v>
      </c>
      <c r="BY191" s="219">
        <f t="shared" si="37"/>
        <v>12.644384037175968</v>
      </c>
      <c r="BZ191" s="219" t="b">
        <f t="shared" si="34"/>
        <v>0</v>
      </c>
      <c r="CA191" s="565">
        <v>27</v>
      </c>
    </row>
    <row r="192" spans="51:79" ht="20" hidden="1" x14ac:dyDescent="0.3">
      <c r="BE192" s="222"/>
      <c r="BR192" s="222"/>
      <c r="BT192" s="564">
        <v>28</v>
      </c>
      <c r="BU192" s="528">
        <f t="shared" si="35"/>
        <v>448</v>
      </c>
      <c r="BV192" s="18">
        <f t="shared" si="36"/>
        <v>448</v>
      </c>
      <c r="BW192" s="629">
        <f t="shared" si="32"/>
        <v>211.35561596282403</v>
      </c>
      <c r="BX192" s="219">
        <f t="shared" si="33"/>
        <v>211.35561596282403</v>
      </c>
      <c r="BY192" s="219">
        <f t="shared" si="37"/>
        <v>12.644384037175968</v>
      </c>
      <c r="BZ192" s="219" t="b">
        <f t="shared" si="34"/>
        <v>0</v>
      </c>
      <c r="CA192" s="565">
        <v>28</v>
      </c>
    </row>
    <row r="193" spans="51:79" ht="20" hidden="1" x14ac:dyDescent="0.3">
      <c r="AY193" s="223"/>
      <c r="AZ193" s="223"/>
      <c r="BA193" s="223"/>
      <c r="BB193" s="223"/>
      <c r="BC193" s="223"/>
      <c r="BD193" s="223"/>
      <c r="BE193" s="1000"/>
      <c r="BF193" s="1000"/>
      <c r="BQ193" s="994"/>
      <c r="BR193" s="994"/>
      <c r="BT193" s="564">
        <v>29</v>
      </c>
      <c r="BU193" s="528">
        <f t="shared" si="35"/>
        <v>476</v>
      </c>
      <c r="BV193" s="18">
        <f t="shared" si="36"/>
        <v>476</v>
      </c>
      <c r="BW193" s="629">
        <f t="shared" si="32"/>
        <v>239.35561596282403</v>
      </c>
      <c r="BX193" s="219">
        <f t="shared" si="33"/>
        <v>239.35561596282403</v>
      </c>
      <c r="BY193" s="219">
        <f t="shared" si="37"/>
        <v>12.644384037175968</v>
      </c>
      <c r="BZ193" s="219" t="b">
        <f t="shared" si="34"/>
        <v>0</v>
      </c>
      <c r="CA193" s="565">
        <v>29</v>
      </c>
    </row>
    <row r="194" spans="51:79" ht="20" hidden="1" x14ac:dyDescent="0.3">
      <c r="BT194" s="564">
        <v>30</v>
      </c>
      <c r="BU194" s="528">
        <f t="shared" si="35"/>
        <v>504</v>
      </c>
      <c r="BV194" s="18">
        <f t="shared" si="36"/>
        <v>504</v>
      </c>
      <c r="BW194" s="629">
        <f t="shared" si="32"/>
        <v>267.355615962824</v>
      </c>
      <c r="BX194" s="219">
        <f t="shared" si="33"/>
        <v>267.355615962824</v>
      </c>
      <c r="BY194" s="219">
        <f t="shared" si="37"/>
        <v>12.644384037175968</v>
      </c>
      <c r="BZ194" s="219" t="b">
        <f t="shared" si="34"/>
        <v>0</v>
      </c>
      <c r="CA194" s="565">
        <v>30</v>
      </c>
    </row>
    <row r="195" spans="51:79" ht="20" hidden="1" x14ac:dyDescent="0.3">
      <c r="BT195" s="564">
        <v>31</v>
      </c>
      <c r="BU195" s="528">
        <f t="shared" si="35"/>
        <v>532</v>
      </c>
      <c r="BV195" s="18">
        <f t="shared" si="36"/>
        <v>532</v>
      </c>
      <c r="BW195" s="629">
        <f t="shared" si="32"/>
        <v>295.355615962824</v>
      </c>
      <c r="BX195" s="219">
        <f t="shared" si="33"/>
        <v>295.355615962824</v>
      </c>
      <c r="BY195" s="219">
        <f t="shared" si="37"/>
        <v>12.644384037175968</v>
      </c>
      <c r="BZ195" s="219" t="b">
        <f t="shared" si="34"/>
        <v>0</v>
      </c>
      <c r="CA195" s="565">
        <v>31</v>
      </c>
    </row>
    <row r="196" spans="51:79" ht="20" hidden="1" x14ac:dyDescent="0.3">
      <c r="BT196" s="564">
        <v>32</v>
      </c>
      <c r="BU196" s="528">
        <f t="shared" si="35"/>
        <v>560</v>
      </c>
      <c r="BV196" s="18">
        <f t="shared" si="36"/>
        <v>560</v>
      </c>
      <c r="BW196" s="629">
        <f t="shared" si="32"/>
        <v>323.355615962824</v>
      </c>
      <c r="BX196" s="219">
        <f t="shared" si="33"/>
        <v>323.355615962824</v>
      </c>
      <c r="BY196" s="219">
        <f t="shared" si="37"/>
        <v>12.644384037175968</v>
      </c>
      <c r="BZ196" s="219" t="b">
        <f t="shared" si="34"/>
        <v>0</v>
      </c>
      <c r="CA196" s="565">
        <v>32</v>
      </c>
    </row>
    <row r="197" spans="51:79" ht="20" hidden="1" x14ac:dyDescent="0.3">
      <c r="BT197" s="564">
        <v>33</v>
      </c>
      <c r="BU197" s="528">
        <f t="shared" si="35"/>
        <v>588</v>
      </c>
      <c r="BV197" s="18">
        <f t="shared" si="36"/>
        <v>588</v>
      </c>
      <c r="BW197" s="629">
        <f t="shared" si="32"/>
        <v>351.355615962824</v>
      </c>
      <c r="BX197" s="219">
        <f t="shared" si="33"/>
        <v>351.355615962824</v>
      </c>
      <c r="BY197" s="219">
        <f t="shared" si="37"/>
        <v>12.644384037175968</v>
      </c>
      <c r="BZ197" s="219" t="b">
        <f t="shared" si="34"/>
        <v>0</v>
      </c>
      <c r="CA197" s="565">
        <v>33</v>
      </c>
    </row>
    <row r="198" spans="51:79" ht="20" hidden="1" x14ac:dyDescent="0.3">
      <c r="BT198" s="564">
        <v>34</v>
      </c>
      <c r="BU198" s="528">
        <f t="shared" si="35"/>
        <v>616</v>
      </c>
      <c r="BV198" s="18">
        <f t="shared" si="36"/>
        <v>616</v>
      </c>
      <c r="BW198" s="629">
        <f t="shared" si="32"/>
        <v>379.355615962824</v>
      </c>
      <c r="BX198" s="219">
        <f t="shared" si="33"/>
        <v>379.355615962824</v>
      </c>
      <c r="BY198" s="219">
        <f t="shared" si="37"/>
        <v>12.644384037175968</v>
      </c>
      <c r="BZ198" s="219" t="b">
        <f t="shared" si="34"/>
        <v>0</v>
      </c>
      <c r="CA198" s="565">
        <v>34</v>
      </c>
    </row>
    <row r="199" spans="51:79" ht="20" hidden="1" x14ac:dyDescent="0.3">
      <c r="BT199" s="564">
        <v>35</v>
      </c>
      <c r="BU199" s="528">
        <f t="shared" si="35"/>
        <v>644</v>
      </c>
      <c r="BV199" s="18">
        <f t="shared" si="36"/>
        <v>644</v>
      </c>
      <c r="BW199" s="629">
        <f t="shared" si="32"/>
        <v>407.355615962824</v>
      </c>
      <c r="BX199" s="219">
        <f t="shared" si="33"/>
        <v>407.355615962824</v>
      </c>
      <c r="BY199" s="219">
        <f t="shared" si="37"/>
        <v>12.644384037175968</v>
      </c>
      <c r="BZ199" s="219" t="b">
        <f t="shared" si="34"/>
        <v>0</v>
      </c>
      <c r="CA199" s="565">
        <v>35</v>
      </c>
    </row>
    <row r="200" spans="51:79" ht="20" hidden="1" x14ac:dyDescent="0.3">
      <c r="BT200" s="564">
        <v>36</v>
      </c>
      <c r="BU200" s="528">
        <f t="shared" si="35"/>
        <v>672</v>
      </c>
      <c r="BV200" s="18">
        <f t="shared" si="36"/>
        <v>672</v>
      </c>
      <c r="BW200" s="629">
        <f t="shared" si="32"/>
        <v>435.355615962824</v>
      </c>
      <c r="BX200" s="219">
        <f t="shared" si="33"/>
        <v>435.355615962824</v>
      </c>
      <c r="BY200" s="219">
        <f t="shared" si="37"/>
        <v>12.644384037175968</v>
      </c>
      <c r="BZ200" s="219" t="b">
        <f t="shared" si="34"/>
        <v>0</v>
      </c>
      <c r="CA200" s="565">
        <v>36</v>
      </c>
    </row>
    <row r="201" spans="51:79" ht="20" hidden="1" x14ac:dyDescent="0.3">
      <c r="BT201" s="566">
        <v>37</v>
      </c>
      <c r="BU201" s="528">
        <f t="shared" si="35"/>
        <v>700</v>
      </c>
      <c r="BV201" s="18">
        <f t="shared" si="36"/>
        <v>700</v>
      </c>
      <c r="BW201" s="629">
        <f t="shared" si="32"/>
        <v>463.355615962824</v>
      </c>
      <c r="BX201" s="219">
        <f t="shared" si="33"/>
        <v>463.355615962824</v>
      </c>
      <c r="BY201" s="219">
        <f t="shared" si="37"/>
        <v>12.644384037175968</v>
      </c>
      <c r="BZ201" s="219" t="b">
        <f t="shared" si="34"/>
        <v>0</v>
      </c>
      <c r="CA201" s="567">
        <v>37</v>
      </c>
    </row>
    <row r="202" spans="51:79" ht="20" hidden="1" x14ac:dyDescent="0.3">
      <c r="BT202" s="566">
        <v>38</v>
      </c>
      <c r="BU202" s="528">
        <f t="shared" si="35"/>
        <v>728</v>
      </c>
      <c r="BV202" s="18">
        <f t="shared" si="36"/>
        <v>728</v>
      </c>
      <c r="BW202" s="629">
        <f t="shared" si="32"/>
        <v>491.355615962824</v>
      </c>
      <c r="BX202" s="219">
        <f t="shared" si="33"/>
        <v>491.355615962824</v>
      </c>
      <c r="BY202" s="219">
        <f t="shared" si="37"/>
        <v>12.644384037175968</v>
      </c>
      <c r="BZ202" s="219" t="b">
        <f t="shared" si="34"/>
        <v>0</v>
      </c>
      <c r="CA202" s="567">
        <v>38</v>
      </c>
    </row>
    <row r="203" spans="51:79" ht="20" hidden="1" x14ac:dyDescent="0.3">
      <c r="BT203" s="566">
        <v>39</v>
      </c>
      <c r="BU203" s="528">
        <f t="shared" si="35"/>
        <v>756</v>
      </c>
      <c r="BV203" s="18">
        <f t="shared" si="36"/>
        <v>756</v>
      </c>
      <c r="BW203" s="629">
        <f t="shared" si="32"/>
        <v>519.355615962824</v>
      </c>
      <c r="BX203" s="219">
        <f t="shared" si="33"/>
        <v>519.355615962824</v>
      </c>
      <c r="BY203" s="219">
        <f t="shared" si="37"/>
        <v>12.644384037175968</v>
      </c>
      <c r="BZ203" s="219" t="b">
        <f t="shared" si="34"/>
        <v>0</v>
      </c>
      <c r="CA203" s="567">
        <v>39</v>
      </c>
    </row>
    <row r="204" spans="51:79" ht="21" hidden="1" thickBot="1" x14ac:dyDescent="0.35">
      <c r="BT204" s="566">
        <v>40</v>
      </c>
      <c r="BU204" s="528">
        <f t="shared" si="35"/>
        <v>784</v>
      </c>
      <c r="BV204" s="18">
        <f t="shared" si="36"/>
        <v>784</v>
      </c>
      <c r="BW204" s="634">
        <f t="shared" si="32"/>
        <v>547.355615962824</v>
      </c>
      <c r="BX204" s="219">
        <f t="shared" si="33"/>
        <v>547.355615962824</v>
      </c>
      <c r="BY204" s="219">
        <f t="shared" si="37"/>
        <v>12.644384037175968</v>
      </c>
      <c r="BZ204" s="219" t="b">
        <f t="shared" si="34"/>
        <v>0</v>
      </c>
      <c r="CA204" s="567">
        <v>40</v>
      </c>
    </row>
    <row r="205" spans="51:79" ht="21" hidden="1" thickBot="1" x14ac:dyDescent="0.35">
      <c r="BT205" s="568">
        <v>41</v>
      </c>
      <c r="BU205" s="569">
        <f t="shared" si="35"/>
        <v>812</v>
      </c>
      <c r="BV205" s="631">
        <f t="shared" si="36"/>
        <v>812</v>
      </c>
      <c r="BW205" s="636">
        <f t="shared" si="32"/>
        <v>575.355615962824</v>
      </c>
      <c r="BX205" s="633">
        <f t="shared" si="33"/>
        <v>575.355615962824</v>
      </c>
      <c r="BY205" s="572">
        <f t="shared" si="37"/>
        <v>12.644384037175968</v>
      </c>
      <c r="BZ205" s="572" t="b">
        <f t="shared" si="34"/>
        <v>0</v>
      </c>
      <c r="CA205" s="573">
        <v>41</v>
      </c>
    </row>
    <row r="206" spans="51:79" hidden="1" x14ac:dyDescent="0.2"/>
    <row r="207" spans="51:79" hidden="1" x14ac:dyDescent="0.2"/>
    <row r="208" spans="51:79" hidden="1" x14ac:dyDescent="0.2"/>
    <row r="209" spans="51:75" hidden="1" x14ac:dyDescent="0.2"/>
    <row r="210" spans="51:75" hidden="1" x14ac:dyDescent="0.2">
      <c r="AY210" s="77"/>
      <c r="BA210" s="77"/>
      <c r="BC210" s="77"/>
    </row>
    <row r="211" spans="51:75" hidden="1" x14ac:dyDescent="0.2">
      <c r="AY211" s="77"/>
      <c r="BC211" s="77"/>
    </row>
    <row r="212" spans="51:75" hidden="1" x14ac:dyDescent="0.2">
      <c r="AY212" s="77"/>
      <c r="AZ212" s="224"/>
      <c r="BA212" s="224"/>
      <c r="BB212" s="224"/>
      <c r="BC212" s="224"/>
      <c r="BD212" s="224"/>
      <c r="BE212" s="224"/>
      <c r="BF212" s="224"/>
      <c r="BG212" s="224"/>
      <c r="BH212" s="224"/>
      <c r="BI212" s="224"/>
      <c r="BJ212" s="224"/>
      <c r="BK212" s="224"/>
      <c r="BL212" s="224"/>
      <c r="BM212" s="224"/>
      <c r="BN212" s="224"/>
      <c r="BO212" s="224"/>
      <c r="BP212" s="224"/>
      <c r="BQ212" s="224"/>
      <c r="BR212" s="224"/>
      <c r="BS212" s="224"/>
      <c r="BT212" s="224"/>
      <c r="BU212" s="224"/>
      <c r="BV212" s="224"/>
      <c r="BW212" s="224"/>
    </row>
    <row r="213" spans="51:75" hidden="1" x14ac:dyDescent="0.2">
      <c r="AY213" s="77"/>
    </row>
    <row r="214" spans="51:75" hidden="1" x14ac:dyDescent="0.2">
      <c r="AY214" s="155"/>
      <c r="AZ214" s="225"/>
      <c r="BA214" s="225"/>
      <c r="BB214" s="225"/>
      <c r="BC214" s="225"/>
      <c r="BD214" s="225"/>
      <c r="BE214" s="225"/>
      <c r="BF214" s="225"/>
      <c r="BG214" s="225"/>
      <c r="BH214" s="225"/>
      <c r="BI214" s="225"/>
      <c r="BJ214" s="225"/>
      <c r="BK214" s="225"/>
      <c r="BL214" s="225"/>
      <c r="BM214" s="225"/>
      <c r="BN214" s="225"/>
      <c r="BO214" s="225"/>
      <c r="BP214" s="225"/>
      <c r="BQ214" s="225"/>
      <c r="BR214" s="225"/>
      <c r="BS214" s="225"/>
      <c r="BT214" s="225"/>
      <c r="BU214" s="225"/>
      <c r="BV214" s="225"/>
      <c r="BW214" s="225"/>
    </row>
    <row r="215" spans="51:75" hidden="1" x14ac:dyDescent="0.2">
      <c r="AY215" s="77"/>
      <c r="AZ215" s="124"/>
      <c r="BA215" s="124"/>
      <c r="BB215" s="124"/>
      <c r="BC215" s="124"/>
      <c r="BD215" s="124"/>
      <c r="BE215" s="124"/>
      <c r="BF215" s="124"/>
      <c r="BG215" s="124"/>
      <c r="BH215" s="124"/>
      <c r="BI215" s="124"/>
      <c r="BJ215" s="124"/>
      <c r="BK215" s="124"/>
      <c r="BL215" s="124"/>
      <c r="BM215" s="124"/>
      <c r="BN215" s="124"/>
      <c r="BO215" s="124"/>
      <c r="BP215" s="124"/>
      <c r="BQ215" s="124"/>
      <c r="BR215" s="124"/>
      <c r="BS215" s="124"/>
      <c r="BT215" s="124"/>
      <c r="BU215" s="124"/>
      <c r="BV215" s="124"/>
      <c r="BW215" s="124"/>
    </row>
    <row r="216" spans="51:75" hidden="1" x14ac:dyDescent="0.2"/>
    <row r="217" spans="51:75" x14ac:dyDescent="0.2">
      <c r="AZ217" s="156"/>
      <c r="BA217" s="156"/>
      <c r="BB217" s="156"/>
      <c r="BC217" s="156"/>
      <c r="BD217" s="156"/>
      <c r="BE217" s="156"/>
      <c r="BF217" s="77"/>
      <c r="BG217" s="77"/>
      <c r="BH217" s="77"/>
      <c r="BI217" s="77"/>
      <c r="BJ217" s="77"/>
      <c r="BK217" s="156"/>
      <c r="BL217" s="156"/>
      <c r="BM217" s="156"/>
      <c r="BN217" s="77"/>
      <c r="BO217" s="77"/>
      <c r="BP217" s="77"/>
      <c r="BQ217" s="77"/>
      <c r="BR217" s="77"/>
      <c r="BS217" s="77"/>
      <c r="BT217" s="77"/>
      <c r="BU217" s="77"/>
      <c r="BV217" s="77"/>
      <c r="BW217" s="77"/>
    </row>
    <row r="218" spans="51:75" x14ac:dyDescent="0.2">
      <c r="AZ218" s="156"/>
      <c r="BA218" s="156"/>
      <c r="BB218" s="156"/>
      <c r="BC218" s="156"/>
      <c r="BD218" s="156"/>
      <c r="BE218" s="156"/>
      <c r="BJ218" s="156"/>
      <c r="BK218" s="156"/>
      <c r="BL218" s="156"/>
      <c r="BM218" s="156"/>
      <c r="BR218" s="156"/>
      <c r="BS218" s="156"/>
      <c r="BT218" s="156"/>
      <c r="BU218" s="156"/>
      <c r="BV218" s="156"/>
      <c r="BW218" s="156"/>
    </row>
  </sheetData>
  <sheetProtection algorithmName="SHA-512" hashValue="uJYcHGl9YYXYdl6Ymn416QKZkv78iQFzUf4euvQN3MYn3Y1K4uuURs/c81rSIk9YHMv6sHbaDCBemtKDnsj8lw==" saltValue="V87JkYgaH4E+HI3DQpLRvQ==" spinCount="100000" sheet="1" objects="1" scenarios="1" selectLockedCells="1"/>
  <protectedRanges>
    <protectedRange sqref="B136 B139 D142:D153" name="Range1"/>
  </protectedRanges>
  <mergeCells count="9">
    <mergeCell ref="AZ14:BA14"/>
    <mergeCell ref="BQ193:BR193"/>
    <mergeCell ref="BE191:BG191"/>
    <mergeCell ref="B134:B135"/>
    <mergeCell ref="Z56:AA56"/>
    <mergeCell ref="AN138:AO138"/>
    <mergeCell ref="D138:E138"/>
    <mergeCell ref="B112:E112"/>
    <mergeCell ref="BE193:BF193"/>
  </mergeCells>
  <phoneticPr fontId="2" type="noConversion"/>
  <conditionalFormatting sqref="B142:B153">
    <cfRule type="cellIs" dxfId="374" priority="137" stopIfTrue="1" operator="greaterThan">
      <formula>$B$139</formula>
    </cfRule>
  </conditionalFormatting>
  <conditionalFormatting sqref="D133:D134">
    <cfRule type="cellIs" dxfId="373" priority="201" stopIfTrue="1" operator="equal">
      <formula>"change the angle of frame"</formula>
    </cfRule>
  </conditionalFormatting>
  <conditionalFormatting sqref="D135">
    <cfRule type="cellIs" dxfId="372" priority="59" stopIfTrue="1" operator="equal">
      <formula>"USE EXBAR-N AT THE FRONT"</formula>
    </cfRule>
  </conditionalFormatting>
  <conditionalFormatting sqref="D136">
    <cfRule type="cellIs" dxfId="371" priority="58" stopIfTrue="1" operator="equal">
      <formula>"USE EXBAR-N AT THE BACK"</formula>
    </cfRule>
  </conditionalFormatting>
  <conditionalFormatting sqref="D142:D153">
    <cfRule type="cellIs" dxfId="370" priority="138" stopIfTrue="1" operator="notEqual">
      <formula>0</formula>
    </cfRule>
  </conditionalFormatting>
  <conditionalFormatting sqref="D142:E142 U142 AL142:AO142">
    <cfRule type="expression" dxfId="369" priority="136" stopIfTrue="1">
      <formula>$B$139&lt;1</formula>
    </cfRule>
  </conditionalFormatting>
  <conditionalFormatting sqref="D143:E143 U143 AL143:AO143">
    <cfRule type="expression" dxfId="368" priority="135" stopIfTrue="1">
      <formula>$B$139&lt;2</formula>
    </cfRule>
  </conditionalFormatting>
  <conditionalFormatting sqref="D144:E144 U144 AL144:AO144">
    <cfRule type="expression" dxfId="367" priority="134" stopIfTrue="1">
      <formula>$B$139&lt;3</formula>
    </cfRule>
  </conditionalFormatting>
  <conditionalFormatting sqref="D145:E145 U145 AL145:AO145">
    <cfRule type="expression" dxfId="366" priority="133" stopIfTrue="1">
      <formula>$B$139&lt;4</formula>
    </cfRule>
  </conditionalFormatting>
  <conditionalFormatting sqref="D146:E146 U146 AL146:AO146">
    <cfRule type="expression" dxfId="365" priority="132" stopIfTrue="1">
      <formula>$B$139&lt;5</formula>
    </cfRule>
  </conditionalFormatting>
  <conditionalFormatting sqref="D148:E148 U148 AL148:AO148">
    <cfRule type="expression" dxfId="364" priority="130" stopIfTrue="1">
      <formula>$B$139&lt;7</formula>
    </cfRule>
  </conditionalFormatting>
  <conditionalFormatting sqref="D149:E149 U149 AL149:AO149">
    <cfRule type="expression" dxfId="363" priority="129" stopIfTrue="1">
      <formula>$B$139&lt;8</formula>
    </cfRule>
  </conditionalFormatting>
  <conditionalFormatting sqref="D150:E150 U150 AL150:AO150">
    <cfRule type="expression" dxfId="362" priority="128" stopIfTrue="1">
      <formula>$B$139&lt;9</formula>
    </cfRule>
  </conditionalFormatting>
  <conditionalFormatting sqref="D151:E151 U151 AL151:AO151">
    <cfRule type="expression" dxfId="361" priority="103" stopIfTrue="1">
      <formula>$B$139&lt;10</formula>
    </cfRule>
  </conditionalFormatting>
  <conditionalFormatting sqref="D152:E152 U152 AL152:AO152">
    <cfRule type="expression" dxfId="360" priority="66" stopIfTrue="1">
      <formula>$B$139&lt;11</formula>
    </cfRule>
  </conditionalFormatting>
  <conditionalFormatting sqref="D153:E153 U153 AL153:AO153">
    <cfRule type="expression" dxfId="359" priority="63" stopIfTrue="1">
      <formula>$B$139&lt;12</formula>
    </cfRule>
  </conditionalFormatting>
  <conditionalFormatting sqref="E147:E148 D147 U147 AL147:AO147">
    <cfRule type="expression" dxfId="358" priority="131" stopIfTrue="1">
      <formula>$B$139&lt;6</formula>
    </cfRule>
  </conditionalFormatting>
  <conditionalFormatting sqref="E133:F134">
    <cfRule type="cellIs" dxfId="357" priority="174" stopIfTrue="1" operator="equal">
      <formula>"change the angle of frame or of cabinets"</formula>
    </cfRule>
  </conditionalFormatting>
  <conditionalFormatting sqref="F135">
    <cfRule type="cellIs" dxfId="356" priority="176" stopIfTrue="1" operator="equal">
      <formula>"USE EXBAR VR AT THE FRONT"</formula>
    </cfRule>
  </conditionalFormatting>
  <conditionalFormatting sqref="F136">
    <cfRule type="cellIs" dxfId="355" priority="175" stopIfTrue="1" operator="equal">
      <formula>"USE EXBAR VR AT THE BACK"</formula>
    </cfRule>
  </conditionalFormatting>
  <conditionalFormatting sqref="AN142:AO153">
    <cfRule type="cellIs" dxfId="354" priority="140" stopIfTrue="1" operator="lessThan">
      <formula>10</formula>
    </cfRule>
  </conditionalFormatting>
  <conditionalFormatting sqref="AW15">
    <cfRule type="cellIs" dxfId="353" priority="40" stopIfTrue="1" operator="equal">
      <formula>"negative force at the motor"</formula>
    </cfRule>
  </conditionalFormatting>
  <conditionalFormatting sqref="AW15:AW16">
    <cfRule type="cellIs" dxfId="352" priority="39" operator="equal">
      <formula>"""OK"""</formula>
    </cfRule>
  </conditionalFormatting>
  <conditionalFormatting sqref="AW16">
    <cfRule type="cellIs" dxfId="351" priority="44" stopIfTrue="1" operator="equal">
      <formula>"overload"</formula>
    </cfRule>
  </conditionalFormatting>
  <conditionalFormatting sqref="AW18">
    <cfRule type="cellIs" dxfId="350" priority="38" stopIfTrue="1" operator="equal">
      <formula>"negative force at the motor"</formula>
    </cfRule>
  </conditionalFormatting>
  <conditionalFormatting sqref="AW19 AW22 AW45 AW50 AW103">
    <cfRule type="cellIs" dxfId="349" priority="41" stopIfTrue="1" operator="equal">
      <formula>"overload"</formula>
    </cfRule>
  </conditionalFormatting>
  <conditionalFormatting sqref="AW21">
    <cfRule type="cellIs" dxfId="348" priority="36" stopIfTrue="1" operator="equal">
      <formula>"negative force at the motor"</formula>
    </cfRule>
  </conditionalFormatting>
  <conditionalFormatting sqref="AW45 AW103 AW18:AW19 AW21:AW22 AW50">
    <cfRule type="cellIs" dxfId="347" priority="31" operator="equal">
      <formula>"""OK"""</formula>
    </cfRule>
  </conditionalFormatting>
  <conditionalFormatting sqref="AW45">
    <cfRule type="expression" dxfId="346" priority="42">
      <formula>SUM($BK$44:$CD$44)=0</formula>
    </cfRule>
  </conditionalFormatting>
  <conditionalFormatting sqref="AW45:AX45 AW103:AX103">
    <cfRule type="expression" dxfId="345" priority="3">
      <formula>$B$136&lt;&gt;0</formula>
    </cfRule>
  </conditionalFormatting>
  <conditionalFormatting sqref="AX44">
    <cfRule type="expression" dxfId="344" priority="1">
      <formula>$B$136&lt;&gt;0</formula>
    </cfRule>
    <cfRule type="expression" dxfId="343" priority="2">
      <formula>SUM($BK$44:$CD$44)=0</formula>
    </cfRule>
  </conditionalFormatting>
  <conditionalFormatting sqref="AX45">
    <cfRule type="expression" dxfId="342" priority="4">
      <formula>SUM($BK$44:$CD$44)=0</formula>
    </cfRule>
  </conditionalFormatting>
  <conditionalFormatting sqref="AX102">
    <cfRule type="expression" dxfId="341" priority="6">
      <formula>$B$136&lt;&gt;0</formula>
    </cfRule>
  </conditionalFormatting>
  <conditionalFormatting sqref="AZ102:BR102">
    <cfRule type="expression" dxfId="340" priority="8">
      <formula>$B$136=0</formula>
    </cfRule>
  </conditionalFormatting>
  <conditionalFormatting sqref="BK44:CD44">
    <cfRule type="expression" dxfId="339" priority="15">
      <formula>$B$136=0</formula>
    </cfRule>
    <cfRule type="cellIs" dxfId="338" priority="14" operator="equal">
      <formula>0</formula>
    </cfRule>
  </conditionalFormatting>
  <conditionalFormatting sqref="BS102:CA102">
    <cfRule type="expression" dxfId="337" priority="9">
      <formula>$B$136=0</formula>
    </cfRule>
  </conditionalFormatting>
  <conditionalFormatting sqref="CB102">
    <cfRule type="expression" dxfId="336" priority="7">
      <formula>$B$136=0</formula>
    </cfRule>
  </conditionalFormatting>
  <conditionalFormatting sqref="CC102:CN102">
    <cfRule type="expression" dxfId="335" priority="13">
      <formula>$B$136=0</formula>
    </cfRule>
  </conditionalFormatting>
  <dataValidations count="5">
    <dataValidation type="whole" allowBlank="1" showInputMessage="1" showErrorMessage="1" errorTitle="Coda Audio" error="YOU HAVE ENTERED A WRONG NUMBER OF CABINETS" promptTitle="Coda Audio" prompt="ENTER THE NUMBER OF CABINETS FROM 1 UP TO 12" sqref="B139" xr:uid="{00000000-0002-0000-0100-000000000000}">
      <formula1>1</formula1>
      <formula2>12</formula2>
    </dataValidation>
    <dataValidation type="decimal" allowBlank="1" showInputMessage="1" showErrorMessage="1" sqref="F143:F153" xr:uid="{00000000-0002-0000-0100-000001000000}">
      <formula1>0</formula1>
      <formula2>8</formula2>
    </dataValidation>
    <dataValidation type="decimal" allowBlank="1" showInputMessage="1" showErrorMessage="1" sqref="F142" xr:uid="{00000000-0002-0000-0100-000002000000}">
      <formula1>0</formula1>
      <formula2>4</formula2>
    </dataValidation>
    <dataValidation type="decimal" allowBlank="1" showInputMessage="1" showErrorMessage="1" sqref="B136" xr:uid="{00000000-0002-0000-0100-000003000000}">
      <formula1>-89.9</formula1>
      <formula2>89.9</formula2>
    </dataValidation>
    <dataValidation type="list" allowBlank="1" showDropDown="1" showInputMessage="1" showErrorMessage="1" sqref="D142:D153" xr:uid="{00000000-0002-0000-0100-000004000000}">
      <formula1>"0,2,5"</formula1>
    </dataValidation>
  </dataValidations>
  <pageMargins left="0.75" right="0.75" top="1" bottom="1" header="0.5" footer="0.5"/>
  <pageSetup orientation="portrait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92D050"/>
  </sheetPr>
  <dimension ref="A1:DJ330"/>
  <sheetViews>
    <sheetView topLeftCell="A28" zoomScale="50" zoomScaleNormal="50" workbookViewId="0">
      <selection activeCell="B147" sqref="B147"/>
    </sheetView>
  </sheetViews>
  <sheetFormatPr baseColWidth="10" defaultColWidth="9.1640625" defaultRowHeight="25" x14ac:dyDescent="0.25"/>
  <cols>
    <col min="1" max="1" width="4.6640625" customWidth="1"/>
    <col min="2" max="2" width="38.1640625" style="15" customWidth="1"/>
    <col min="3" max="3" width="34.83203125" style="15" hidden="1" customWidth="1"/>
    <col min="4" max="4" width="34.5" customWidth="1"/>
    <col min="5" max="5" width="40.5" customWidth="1"/>
    <col min="6" max="6" width="22.6640625" hidden="1" customWidth="1"/>
    <col min="7" max="7" width="41.5" hidden="1" customWidth="1"/>
    <col min="8" max="8" width="18" style="27" hidden="1" customWidth="1"/>
    <col min="9" max="9" width="16.33203125" style="27" hidden="1" customWidth="1"/>
    <col min="10" max="10" width="17.1640625" style="27" hidden="1" customWidth="1"/>
    <col min="11" max="11" width="18.83203125" style="27" hidden="1" customWidth="1"/>
    <col min="12" max="12" width="21.6640625" style="27" hidden="1" customWidth="1"/>
    <col min="13" max="14" width="18.83203125" style="27" hidden="1" customWidth="1"/>
    <col min="15" max="15" width="8.1640625" style="27" hidden="1" customWidth="1"/>
    <col min="16" max="16" width="9.33203125" style="27" hidden="1" customWidth="1"/>
    <col min="17" max="17" width="18.83203125" style="27" hidden="1" customWidth="1"/>
    <col min="18" max="18" width="27.6640625" style="27" hidden="1" customWidth="1"/>
    <col min="19" max="19" width="18.83203125" style="27" hidden="1" customWidth="1"/>
    <col min="20" max="20" width="22.33203125" style="27" hidden="1" customWidth="1"/>
    <col min="21" max="21" width="11.6640625" style="27" hidden="1" customWidth="1"/>
    <col min="22" max="22" width="18.83203125" style="27" hidden="1" customWidth="1"/>
    <col min="23" max="24" width="14.33203125" style="27" hidden="1" customWidth="1"/>
    <col min="25" max="27" width="15.5" style="27" hidden="1" customWidth="1"/>
    <col min="28" max="28" width="38.5" style="27" customWidth="1"/>
    <col min="29" max="32" width="15.1640625" style="27" hidden="1" customWidth="1"/>
    <col min="33" max="33" width="16.83203125" style="27" hidden="1" customWidth="1"/>
    <col min="34" max="34" width="22.5" style="27" hidden="1" customWidth="1"/>
    <col min="35" max="35" width="17.1640625" style="27" hidden="1" customWidth="1"/>
    <col min="36" max="36" width="18.83203125" style="27" hidden="1" customWidth="1"/>
    <col min="37" max="37" width="25.5" style="27" hidden="1" customWidth="1"/>
    <col min="38" max="38" width="20.5" style="27" hidden="1" customWidth="1"/>
    <col min="39" max="39" width="31.33203125" style="27" hidden="1" customWidth="1"/>
    <col min="40" max="40" width="67.33203125" style="27" hidden="1" customWidth="1"/>
    <col min="41" max="41" width="118.6640625" style="27" hidden="1" customWidth="1"/>
    <col min="42" max="42" width="50.1640625" style="27" hidden="1" customWidth="1"/>
    <col min="43" max="43" width="60.5" style="27" hidden="1" customWidth="1"/>
    <col min="44" max="44" width="18.83203125" style="27" hidden="1" customWidth="1"/>
    <col min="45" max="45" width="20" style="27" hidden="1" customWidth="1"/>
    <col min="46" max="46" width="21" style="27" hidden="1" customWidth="1"/>
    <col min="47" max="47" width="18.83203125" style="27" hidden="1" customWidth="1"/>
    <col min="48" max="48" width="19.83203125" style="27" hidden="1" customWidth="1"/>
    <col min="49" max="49" width="19.6640625" style="27" hidden="1" customWidth="1"/>
    <col min="50" max="50" width="10.6640625" style="27" hidden="1" customWidth="1"/>
    <col min="51" max="51" width="12.33203125" style="27" hidden="1" customWidth="1"/>
    <col min="52" max="53" width="12.5" style="27" customWidth="1"/>
    <col min="54" max="54" width="17" hidden="1" customWidth="1"/>
    <col min="55" max="55" width="14.5" hidden="1" customWidth="1"/>
    <col min="56" max="56" width="9.33203125" hidden="1" customWidth="1"/>
    <col min="57" max="57" width="4.83203125" hidden="1" customWidth="1"/>
    <col min="58" max="58" width="6.83203125" hidden="1" customWidth="1"/>
    <col min="59" max="59" width="136" hidden="1" customWidth="1"/>
    <col min="60" max="60" width="17" hidden="1" customWidth="1"/>
    <col min="61" max="61" width="16.33203125" hidden="1" customWidth="1"/>
    <col min="62" max="62" width="39.5" hidden="1" customWidth="1"/>
    <col min="63" max="63" width="39.83203125" style="667" hidden="1" customWidth="1"/>
    <col min="64" max="64" width="30.5" customWidth="1"/>
    <col min="65" max="65" width="39.5" style="22" customWidth="1"/>
    <col min="66" max="66" width="51" customWidth="1"/>
    <col min="67" max="107" width="7.1640625" customWidth="1"/>
    <col min="108" max="108" width="12.33203125" hidden="1" customWidth="1"/>
    <col min="109" max="109" width="40.83203125" hidden="1" customWidth="1"/>
    <col min="110" max="112" width="3.5" hidden="1" customWidth="1"/>
    <col min="113" max="113" width="0" hidden="1" customWidth="1"/>
    <col min="114" max="114" width="9.1640625" hidden="1" customWidth="1"/>
    <col min="115" max="149" width="0" hidden="1" customWidth="1"/>
  </cols>
  <sheetData>
    <row r="1" spans="2:15" hidden="1" x14ac:dyDescent="0.25">
      <c r="B1" s="38"/>
      <c r="C1" s="38"/>
      <c r="D1" s="637" t="s">
        <v>76</v>
      </c>
      <c r="E1" s="637" t="s">
        <v>77</v>
      </c>
      <c r="F1" s="637" t="s">
        <v>78</v>
      </c>
      <c r="G1" s="878" t="s">
        <v>202</v>
      </c>
      <c r="H1" s="879">
        <v>5800</v>
      </c>
      <c r="I1" s="880"/>
      <c r="J1" s="880"/>
      <c r="K1" s="880"/>
      <c r="L1" s="880"/>
      <c r="M1" s="880"/>
      <c r="N1" s="880"/>
      <c r="O1" s="881"/>
    </row>
    <row r="2" spans="2:15" hidden="1" x14ac:dyDescent="0.25">
      <c r="B2" s="98" t="s">
        <v>26</v>
      </c>
      <c r="C2" s="641">
        <v>532</v>
      </c>
      <c r="D2" s="642">
        <f>+COS(($B$144*-1)*3.14159265358979/180)*C2</f>
        <v>532</v>
      </c>
      <c r="E2" s="641">
        <f>+COS(($B$144*-1)*3.14159265358979/180)*28</f>
        <v>28</v>
      </c>
      <c r="F2" s="641">
        <f>+COS((($B$144*-1)+85.383547)*3.14159265358979/180)*99.3974873</f>
        <v>8.0000221785144277</v>
      </c>
      <c r="G2" s="813" t="s">
        <v>203</v>
      </c>
      <c r="H2" s="882">
        <v>60</v>
      </c>
      <c r="I2" s="22"/>
      <c r="J2" s="22"/>
      <c r="K2" s="22"/>
      <c r="L2" s="22"/>
      <c r="M2" s="22"/>
      <c r="N2" s="22"/>
      <c r="O2" s="883"/>
    </row>
    <row r="3" spans="2:15" ht="26" hidden="1" thickBot="1" x14ac:dyDescent="0.3">
      <c r="B3" s="643" t="s">
        <v>96</v>
      </c>
      <c r="C3" s="644">
        <f>+C9-8.0000223</f>
        <v>204.66353372221116</v>
      </c>
      <c r="D3" s="642">
        <f>+C9-F2</f>
        <v>204.66353384369674</v>
      </c>
      <c r="E3" s="40"/>
      <c r="F3" s="40"/>
      <c r="G3" s="813" t="s">
        <v>204</v>
      </c>
      <c r="H3" s="884">
        <v>168</v>
      </c>
      <c r="I3" s="105"/>
      <c r="J3" s="22"/>
      <c r="K3" s="22"/>
      <c r="L3" s="22"/>
      <c r="M3" s="22"/>
      <c r="N3" s="22"/>
      <c r="O3" s="883"/>
    </row>
    <row r="4" spans="2:15" ht="65" hidden="1" thickBot="1" x14ac:dyDescent="0.3">
      <c r="B4" s="645" t="s">
        <v>97</v>
      </c>
      <c r="C4" s="641">
        <v>784</v>
      </c>
      <c r="D4" s="642">
        <f>+COS(($B$144*-1)*3.14159265358979/180)*C4</f>
        <v>784</v>
      </c>
      <c r="E4" s="40"/>
      <c r="F4" s="40"/>
      <c r="G4" s="885" t="s">
        <v>205</v>
      </c>
      <c r="H4" s="886">
        <v>616</v>
      </c>
      <c r="I4" s="814">
        <v>1</v>
      </c>
      <c r="J4" s="937" t="s">
        <v>168</v>
      </c>
      <c r="K4" s="938"/>
      <c r="L4" s="938"/>
      <c r="M4" s="938"/>
      <c r="N4" s="22"/>
      <c r="O4" s="883"/>
    </row>
    <row r="5" spans="2:15" ht="43" hidden="1" x14ac:dyDescent="0.25">
      <c r="B5" s="645" t="s">
        <v>98</v>
      </c>
      <c r="C5" s="641">
        <f>+C9+300</f>
        <v>512.6635560222112</v>
      </c>
      <c r="D5" s="642">
        <f>+(COS(($B$144*-1)*3.14159265358979/180)*308)+$D$3</f>
        <v>512.66353384369677</v>
      </c>
      <c r="E5" s="40"/>
      <c r="F5" s="40"/>
      <c r="G5" s="885" t="s">
        <v>206</v>
      </c>
      <c r="H5" s="886">
        <v>504</v>
      </c>
      <c r="I5" s="888" t="s">
        <v>210</v>
      </c>
      <c r="J5" s="816" t="s">
        <v>169</v>
      </c>
      <c r="K5" s="816" t="s">
        <v>170</v>
      </c>
      <c r="L5" s="817" t="s">
        <v>171</v>
      </c>
      <c r="M5" s="887"/>
      <c r="N5" s="22"/>
      <c r="O5" s="883"/>
    </row>
    <row r="6" spans="2:15" hidden="1" x14ac:dyDescent="0.25">
      <c r="B6" s="38"/>
      <c r="C6" s="38"/>
      <c r="D6" s="40"/>
      <c r="E6" s="40"/>
      <c r="F6" s="40"/>
      <c r="G6" s="885" t="s">
        <v>207</v>
      </c>
      <c r="H6" s="886">
        <v>448</v>
      </c>
      <c r="I6" s="22"/>
      <c r="J6" s="818">
        <f>+H9/H8*BO30</f>
        <v>77.766969318011903</v>
      </c>
      <c r="K6" s="818">
        <f>((H8-H9)/H8)*BO30</f>
        <v>-51.844646212007937</v>
      </c>
      <c r="L6" s="818">
        <f>+CR30</f>
        <v>48.977676893996033</v>
      </c>
      <c r="M6" s="816" t="s">
        <v>172</v>
      </c>
      <c r="N6" s="22"/>
      <c r="O6" s="883"/>
    </row>
    <row r="7" spans="2:15" hidden="1" x14ac:dyDescent="0.25">
      <c r="B7" s="657" t="s">
        <v>18</v>
      </c>
      <c r="C7" s="643">
        <f>+C11+C14+9.4+7.5+10</f>
        <v>74.900000000000006</v>
      </c>
      <c r="D7" s="654" t="s">
        <v>102</v>
      </c>
      <c r="E7" s="40" t="s">
        <v>129</v>
      </c>
      <c r="F7" s="40"/>
      <c r="G7" s="889" t="s">
        <v>208</v>
      </c>
      <c r="H7" s="819">
        <f>(+SIN(($B$144*-1)*3.14159265358979/180)*H2)</f>
        <v>0</v>
      </c>
      <c r="I7" s="854"/>
      <c r="J7" s="820">
        <f>ABS($H$1/J6)</f>
        <v>74.581792898243236</v>
      </c>
      <c r="K7" s="820">
        <f>ABS($H$1/K6)</f>
        <v>111.87268934736485</v>
      </c>
      <c r="L7" s="820">
        <f>ABS($H$1/L6)</f>
        <v>118.42129655420626</v>
      </c>
      <c r="M7" s="821" t="s">
        <v>173</v>
      </c>
      <c r="N7" s="22"/>
      <c r="O7" s="883"/>
    </row>
    <row r="8" spans="2:15" hidden="1" x14ac:dyDescent="0.25">
      <c r="B8" s="657" t="s">
        <v>19</v>
      </c>
      <c r="C8" s="657">
        <f>+AR150</f>
        <v>547.61791212524224</v>
      </c>
      <c r="D8" s="40"/>
      <c r="E8" s="40"/>
      <c r="F8" s="40"/>
      <c r="G8" s="889" t="s">
        <v>209</v>
      </c>
      <c r="H8" s="819">
        <f>(+COS(($B$144*-1)*3.14159265358979/180)*H3)</f>
        <v>168</v>
      </c>
      <c r="I8" s="22"/>
      <c r="J8" s="944">
        <f>ABS($E$20/BO30)</f>
        <v>165.88019454954099</v>
      </c>
      <c r="K8" s="944"/>
      <c r="L8" s="944">
        <f>ABS($E$20/CR30)</f>
        <v>87.795099169497746</v>
      </c>
      <c r="M8" s="942" t="s">
        <v>226</v>
      </c>
      <c r="N8" s="22"/>
      <c r="O8" s="883"/>
    </row>
    <row r="9" spans="2:15" ht="26" hidden="1" thickBot="1" x14ac:dyDescent="0.3">
      <c r="B9" s="657" t="s">
        <v>14</v>
      </c>
      <c r="C9" s="657">
        <f>+AO146</f>
        <v>212.66355602221117</v>
      </c>
      <c r="D9" s="40"/>
      <c r="E9" s="40"/>
      <c r="F9" s="40"/>
      <c r="G9" s="813" t="s">
        <v>211</v>
      </c>
      <c r="H9" s="819">
        <f>+D2-E2+H7</f>
        <v>504</v>
      </c>
      <c r="I9" s="22"/>
      <c r="J9" s="22"/>
      <c r="K9" s="22"/>
      <c r="L9" s="22"/>
      <c r="M9" s="22"/>
      <c r="N9" s="22"/>
      <c r="O9" s="883"/>
    </row>
    <row r="10" spans="2:15" ht="26" hidden="1" thickBot="1" x14ac:dyDescent="0.3">
      <c r="B10" s="38"/>
      <c r="C10" s="38"/>
      <c r="D10" s="40"/>
      <c r="E10" s="40"/>
      <c r="F10" s="40"/>
      <c r="G10" s="890"/>
      <c r="H10" s="22"/>
      <c r="I10" s="814">
        <v>2</v>
      </c>
      <c r="J10" s="937" t="s">
        <v>175</v>
      </c>
      <c r="K10" s="937"/>
      <c r="L10" s="940"/>
      <c r="M10" s="940"/>
      <c r="N10" s="22"/>
      <c r="O10" s="883"/>
    </row>
    <row r="11" spans="2:15" ht="39" hidden="1" x14ac:dyDescent="0.25">
      <c r="B11" s="657" t="s">
        <v>127</v>
      </c>
      <c r="C11" s="643">
        <f>+B147*33</f>
        <v>33</v>
      </c>
      <c r="D11" s="40"/>
      <c r="E11" s="40"/>
      <c r="F11" s="40"/>
      <c r="G11" s="813" t="s">
        <v>212</v>
      </c>
      <c r="H11" s="819">
        <f>+D2-H7-E2</f>
        <v>504</v>
      </c>
      <c r="I11" s="888" t="s">
        <v>210</v>
      </c>
      <c r="J11" s="817" t="s">
        <v>176</v>
      </c>
      <c r="K11" s="816" t="s">
        <v>177</v>
      </c>
      <c r="L11" s="816" t="s">
        <v>178</v>
      </c>
      <c r="M11" s="887"/>
      <c r="N11" s="22"/>
      <c r="O11" s="883"/>
    </row>
    <row r="12" spans="2:15" hidden="1" x14ac:dyDescent="0.25">
      <c r="B12" s="657" t="s">
        <v>128</v>
      </c>
      <c r="C12" s="643">
        <v>547.61</v>
      </c>
      <c r="D12" s="638"/>
      <c r="E12" s="40"/>
      <c r="F12" s="40"/>
      <c r="G12" s="890"/>
      <c r="H12" s="25"/>
      <c r="I12" s="22"/>
      <c r="J12" s="818">
        <f>(BZ33)</f>
        <v>55.347323106003977</v>
      </c>
      <c r="K12" s="818">
        <f>((+H8-H11)/H8*DB33)</f>
        <v>-39.105353787992058</v>
      </c>
      <c r="L12" s="818">
        <f>(H11/H8*DB33)</f>
        <v>58.658030681988087</v>
      </c>
      <c r="M12" s="816" t="s">
        <v>172</v>
      </c>
      <c r="N12" s="22"/>
      <c r="O12" s="883"/>
    </row>
    <row r="13" spans="2:15" hidden="1" x14ac:dyDescent="0.25">
      <c r="B13" s="38"/>
      <c r="C13" s="38"/>
      <c r="D13" s="638"/>
      <c r="E13" s="40"/>
      <c r="F13" s="40"/>
      <c r="G13" s="890"/>
      <c r="H13" s="22"/>
      <c r="I13" s="22"/>
      <c r="J13" s="820">
        <f>ABS($H$1/J12)</f>
        <v>104.79278264084333</v>
      </c>
      <c r="K13" s="820">
        <f>ABS($H$1/K12)</f>
        <v>148.3172874856073</v>
      </c>
      <c r="L13" s="820">
        <f>ABS($H$1/L12)</f>
        <v>98.878191657071525</v>
      </c>
      <c r="M13" s="821" t="s">
        <v>173</v>
      </c>
      <c r="N13" s="22"/>
      <c r="O13" s="883"/>
    </row>
    <row r="14" spans="2:15" hidden="1" x14ac:dyDescent="0.25">
      <c r="B14" s="657" t="s">
        <v>130</v>
      </c>
      <c r="C14" s="643">
        <f>+B172*15</f>
        <v>15</v>
      </c>
      <c r="D14" s="40"/>
      <c r="E14" s="40"/>
      <c r="F14" s="40"/>
      <c r="G14" s="890"/>
      <c r="H14" s="22"/>
      <c r="I14" s="22"/>
      <c r="J14" s="944">
        <f>ABS($E$20/BZ33)</f>
        <v>77.691200923383846</v>
      </c>
      <c r="K14" s="944"/>
      <c r="L14" s="944">
        <f>ABS($E$20/DB33)</f>
        <v>219.91873661659011</v>
      </c>
      <c r="M14" s="942" t="s">
        <v>226</v>
      </c>
      <c r="N14" s="22"/>
      <c r="O14" s="883"/>
    </row>
    <row r="15" spans="2:15" ht="26" hidden="1" thickBot="1" x14ac:dyDescent="0.3">
      <c r="B15" s="657" t="s">
        <v>131</v>
      </c>
      <c r="C15" s="641">
        <v>334.46</v>
      </c>
      <c r="D15" s="638"/>
      <c r="E15" s="40"/>
      <c r="F15" s="40"/>
      <c r="G15" s="890"/>
      <c r="H15" s="22"/>
      <c r="I15" s="22"/>
      <c r="J15" s="22"/>
      <c r="K15" s="22"/>
      <c r="L15" s="22"/>
      <c r="M15" s="22"/>
      <c r="N15" s="22"/>
      <c r="O15" s="883"/>
    </row>
    <row r="16" spans="2:15" ht="26" hidden="1" thickBot="1" x14ac:dyDescent="0.3">
      <c r="B16" s="639"/>
      <c r="C16" s="639"/>
      <c r="D16" s="638"/>
      <c r="E16" s="40"/>
      <c r="F16" s="40"/>
      <c r="G16" s="813" t="s">
        <v>213</v>
      </c>
      <c r="H16" s="819">
        <f>+D2-(H7+E2)-BK122</f>
        <v>-8.6635338436967686</v>
      </c>
      <c r="I16" s="814" t="s">
        <v>179</v>
      </c>
      <c r="J16" s="937" t="s">
        <v>224</v>
      </c>
      <c r="K16" s="938"/>
      <c r="L16" s="938"/>
      <c r="M16" s="938"/>
      <c r="N16" s="22"/>
      <c r="O16" s="883"/>
    </row>
    <row r="17" spans="2:109" ht="39" hidden="1" x14ac:dyDescent="0.25">
      <c r="B17" s="639"/>
      <c r="C17" s="639"/>
      <c r="D17" s="638"/>
      <c r="E17" s="40"/>
      <c r="F17" s="40"/>
      <c r="G17" s="890"/>
      <c r="H17" s="25"/>
      <c r="I17" s="888" t="s">
        <v>210</v>
      </c>
      <c r="J17" s="816" t="s">
        <v>169</v>
      </c>
      <c r="K17" s="816" t="s">
        <v>170</v>
      </c>
      <c r="L17" s="816"/>
      <c r="M17" s="887"/>
      <c r="N17" s="22"/>
      <c r="O17" s="883"/>
    </row>
    <row r="18" spans="2:109" hidden="1" x14ac:dyDescent="0.25">
      <c r="B18" s="648" t="s">
        <v>99</v>
      </c>
      <c r="C18" s="649">
        <v>4000</v>
      </c>
      <c r="D18" s="649">
        <v>4400</v>
      </c>
      <c r="E18" s="40"/>
      <c r="F18" s="40"/>
      <c r="G18" s="890"/>
      <c r="H18" s="22"/>
      <c r="I18" s="22"/>
      <c r="J18" s="818">
        <f>+H16/H8*BO28</f>
        <v>-3.8624921719814767</v>
      </c>
      <c r="K18" s="818">
        <f>((H8-H16)/H8)*BO28</f>
        <v>78.762492171981478</v>
      </c>
      <c r="L18" s="818"/>
      <c r="M18" s="816" t="s">
        <v>172</v>
      </c>
      <c r="N18" s="22"/>
      <c r="O18" s="883"/>
    </row>
    <row r="19" spans="2:109" hidden="1" x14ac:dyDescent="0.25">
      <c r="B19" s="648" t="s">
        <v>118</v>
      </c>
      <c r="C19" s="524">
        <v>3000</v>
      </c>
      <c r="D19" s="524">
        <v>3000</v>
      </c>
      <c r="E19" s="40"/>
      <c r="F19" s="40"/>
      <c r="G19" s="890"/>
      <c r="H19" s="22"/>
      <c r="I19" s="22"/>
      <c r="J19" s="820">
        <f>ABS($H$1/J18)</f>
        <v>1501.6211662701112</v>
      </c>
      <c r="K19" s="820">
        <f>ABS($H$1/K18)</f>
        <v>73.639112222800634</v>
      </c>
      <c r="L19" s="820"/>
      <c r="M19" s="821" t="s">
        <v>173</v>
      </c>
      <c r="N19" s="22"/>
      <c r="O19" s="883"/>
    </row>
    <row r="20" spans="2:109" ht="28" hidden="1" x14ac:dyDescent="0.3">
      <c r="B20" s="523" t="s">
        <v>117</v>
      </c>
      <c r="C20" s="525">
        <v>4300</v>
      </c>
      <c r="D20" s="525">
        <v>4000</v>
      </c>
      <c r="E20" s="945">
        <v>4300</v>
      </c>
      <c r="F20" s="40"/>
      <c r="G20" s="890"/>
      <c r="H20" s="22"/>
      <c r="I20" s="22"/>
      <c r="J20" s="944">
        <f>ABS($E$20/BO28)</f>
        <v>57.409879839786377</v>
      </c>
      <c r="K20" s="944"/>
      <c r="L20" s="944"/>
      <c r="M20" s="942" t="s">
        <v>226</v>
      </c>
      <c r="N20" s="22"/>
      <c r="O20" s="883"/>
    </row>
    <row r="21" spans="2:109" ht="26" hidden="1" thickBot="1" x14ac:dyDescent="0.3">
      <c r="B21" s="657"/>
      <c r="C21" s="657" t="s">
        <v>20</v>
      </c>
      <c r="D21" s="657" t="s">
        <v>21</v>
      </c>
      <c r="E21" s="40"/>
      <c r="F21" s="40"/>
      <c r="G21" s="890"/>
      <c r="H21" s="22"/>
      <c r="I21" s="22"/>
      <c r="J21" s="22"/>
      <c r="K21" s="22"/>
      <c r="L21" s="22"/>
      <c r="M21" s="22"/>
      <c r="N21" s="22"/>
      <c r="O21" s="883"/>
    </row>
    <row r="22" spans="2:109" ht="26" hidden="1" thickBot="1" x14ac:dyDescent="0.3">
      <c r="B22" s="658" t="s">
        <v>56</v>
      </c>
      <c r="C22" s="657">
        <f>+((C8-C9)/C8)*C7</f>
        <v>45.81311296913767</v>
      </c>
      <c r="D22" s="657">
        <f>+(C9/C8)*C7</f>
        <v>29.086887030862332</v>
      </c>
      <c r="E22" s="40"/>
      <c r="F22" s="40"/>
      <c r="G22" s="813" t="s">
        <v>180</v>
      </c>
      <c r="H22" s="819">
        <f>(+COS(($B$144*-1)*3.14159265358979/180)*(H4))</f>
        <v>616</v>
      </c>
      <c r="I22" s="814" t="s">
        <v>179</v>
      </c>
      <c r="J22" s="937" t="s">
        <v>225</v>
      </c>
      <c r="K22" s="938"/>
      <c r="L22" s="938"/>
      <c r="M22" s="938"/>
      <c r="N22" s="22"/>
      <c r="O22" s="883"/>
    </row>
    <row r="23" spans="2:109" hidden="1" x14ac:dyDescent="0.25">
      <c r="B23" s="38"/>
      <c r="C23" s="38"/>
      <c r="D23" s="40"/>
      <c r="E23" s="40"/>
      <c r="F23" s="40"/>
      <c r="G23" s="813" t="s">
        <v>214</v>
      </c>
      <c r="H23" s="892">
        <f>+BK122-H22+H7</f>
        <v>-103.33646615630323</v>
      </c>
      <c r="I23" s="824"/>
      <c r="J23" s="816"/>
      <c r="K23" s="816" t="s">
        <v>177</v>
      </c>
      <c r="L23" s="816" t="s">
        <v>178</v>
      </c>
      <c r="M23" s="887"/>
      <c r="N23" s="22"/>
      <c r="O23" s="883"/>
    </row>
    <row r="24" spans="2:109" hidden="1" x14ac:dyDescent="0.25">
      <c r="B24" s="38"/>
      <c r="C24" s="38"/>
      <c r="D24" s="40"/>
      <c r="E24" s="638"/>
      <c r="F24" s="638"/>
      <c r="G24" s="890"/>
      <c r="H24" s="22"/>
      <c r="I24" s="22"/>
      <c r="J24" s="818"/>
      <c r="K24" s="818">
        <f>((+H8-H23)/H8*BO28)</f>
        <v>120.97084116135186</v>
      </c>
      <c r="L24" s="818">
        <f>(H23/H8*BO28)</f>
        <v>-46.070841161351865</v>
      </c>
      <c r="M24" s="816" t="s">
        <v>172</v>
      </c>
      <c r="N24" s="22"/>
      <c r="O24" s="883"/>
    </row>
    <row r="25" spans="2:109" hidden="1" x14ac:dyDescent="0.25">
      <c r="B25" s="38"/>
      <c r="C25" s="38"/>
      <c r="D25" s="40"/>
      <c r="E25" s="638"/>
      <c r="F25" s="638"/>
      <c r="G25" s="890"/>
      <c r="H25" s="22"/>
      <c r="I25" s="22"/>
      <c r="J25" s="820"/>
      <c r="K25" s="820">
        <f>ABS($H$1/K24)</f>
        <v>47.945438291727797</v>
      </c>
      <c r="L25" s="820">
        <f>ABS($H$1/L24)</f>
        <v>125.89307800321937</v>
      </c>
      <c r="M25" s="821" t="s">
        <v>173</v>
      </c>
      <c r="N25" s="22"/>
      <c r="O25" s="883"/>
      <c r="BE25" s="37"/>
      <c r="BF25" s="37"/>
      <c r="BG25" s="37"/>
      <c r="BH25" s="37"/>
    </row>
    <row r="26" spans="2:109" hidden="1" x14ac:dyDescent="0.25">
      <c r="E26" s="291"/>
      <c r="F26" s="291"/>
      <c r="G26" s="890"/>
      <c r="H26" s="22"/>
      <c r="I26" s="22"/>
      <c r="J26" s="944"/>
      <c r="K26" s="944"/>
      <c r="L26" s="944">
        <f>ABS($E$20/BO28)</f>
        <v>57.409879839786377</v>
      </c>
      <c r="M26" s="942" t="s">
        <v>226</v>
      </c>
      <c r="N26" s="22"/>
      <c r="O26" s="883"/>
      <c r="U26" s="67"/>
      <c r="AB26" s="67"/>
      <c r="AC26" s="67"/>
      <c r="AD26" s="67"/>
      <c r="AE26" s="67"/>
      <c r="BE26" s="46"/>
      <c r="BF26" s="46"/>
      <c r="BG26" s="46"/>
      <c r="BH26" s="46"/>
    </row>
    <row r="27" spans="2:109" ht="26" hidden="1" thickBot="1" x14ac:dyDescent="0.3">
      <c r="E27" s="291"/>
      <c r="F27" s="291"/>
      <c r="G27" s="890"/>
      <c r="H27" s="22"/>
      <c r="I27" s="22"/>
      <c r="J27" s="22"/>
      <c r="K27" s="22"/>
      <c r="L27" s="22"/>
      <c r="M27" s="22"/>
      <c r="N27" s="22"/>
      <c r="O27" s="883"/>
      <c r="BE27" s="46"/>
      <c r="BF27" s="46"/>
      <c r="BG27" s="46"/>
      <c r="BH27" s="46"/>
    </row>
    <row r="28" spans="2:109" ht="34.5" customHeight="1" thickBot="1" x14ac:dyDescent="0.3">
      <c r="E28" s="291"/>
      <c r="F28" s="291"/>
      <c r="G28" s="890"/>
      <c r="H28" s="22"/>
      <c r="I28" s="814">
        <v>60</v>
      </c>
      <c r="J28" s="937" t="s">
        <v>181</v>
      </c>
      <c r="K28" s="938"/>
      <c r="L28" s="938"/>
      <c r="M28" s="938"/>
      <c r="N28" s="22"/>
      <c r="O28" s="883"/>
      <c r="T28" s="293"/>
      <c r="BE28" s="46"/>
      <c r="BF28" s="46"/>
      <c r="BG28" s="46"/>
      <c r="BH28" s="46"/>
      <c r="BM28" s="27"/>
      <c r="BN28" s="961" t="s">
        <v>25</v>
      </c>
      <c r="BO28" s="995">
        <f>+C7</f>
        <v>74.900000000000006</v>
      </c>
      <c r="BP28" s="995"/>
      <c r="BQ28" s="139" t="s">
        <v>17</v>
      </c>
      <c r="BR28" s="139"/>
      <c r="BS28" s="962" t="s">
        <v>143</v>
      </c>
      <c r="BT28" s="963"/>
      <c r="BU28" s="963"/>
      <c r="BV28" s="963"/>
      <c r="BW28" s="963"/>
      <c r="BX28" s="963"/>
      <c r="BY28" s="963"/>
      <c r="BZ28" s="963"/>
      <c r="CA28" s="963"/>
      <c r="CB28" s="963"/>
      <c r="CC28" s="963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37"/>
      <c r="DD28" s="37"/>
      <c r="DE28" s="37"/>
    </row>
    <row r="29" spans="2:109" ht="40.5" customHeight="1" thickBot="1" x14ac:dyDescent="0.3">
      <c r="E29" s="291"/>
      <c r="F29" s="291"/>
      <c r="G29" s="890"/>
      <c r="H29" s="22"/>
      <c r="I29" s="22"/>
      <c r="J29" s="816"/>
      <c r="K29" s="816" t="s">
        <v>177</v>
      </c>
      <c r="L29" s="816" t="s">
        <v>178</v>
      </c>
      <c r="M29" s="887"/>
      <c r="N29" s="22"/>
      <c r="O29" s="883"/>
      <c r="U29" s="67"/>
      <c r="AB29" s="67"/>
      <c r="AC29" s="67"/>
      <c r="AD29" s="67"/>
      <c r="AE29" s="67"/>
      <c r="BE29" s="46"/>
      <c r="BF29" s="46"/>
      <c r="BG29" s="46"/>
      <c r="BH29" s="46"/>
      <c r="BK29" s="105" t="b">
        <f>AND(BO30&gt;0,CR30&gt;0)</f>
        <v>1</v>
      </c>
      <c r="BL29" s="43" t="str">
        <f>IF(BK29=TRUE,"","negative force at the motor")</f>
        <v/>
      </c>
      <c r="BM29" s="876" t="s">
        <v>110</v>
      </c>
      <c r="BN29" s="439" t="s">
        <v>27</v>
      </c>
      <c r="BO29" s="533" t="s">
        <v>28</v>
      </c>
      <c r="BP29" s="534"/>
      <c r="BQ29" s="535"/>
      <c r="BR29" s="535"/>
      <c r="BS29" s="535"/>
      <c r="BT29" s="535"/>
      <c r="BU29" s="535"/>
      <c r="BV29" s="535"/>
      <c r="BW29" s="535"/>
      <c r="BX29" s="535"/>
      <c r="BY29" s="535"/>
      <c r="BZ29" s="535"/>
      <c r="CA29" s="535"/>
      <c r="CB29" s="535"/>
      <c r="CC29" s="535"/>
      <c r="CD29" s="535"/>
      <c r="CE29" s="535"/>
      <c r="CF29" s="535"/>
      <c r="CG29" s="536"/>
      <c r="CH29" s="537"/>
      <c r="CI29" s="538"/>
      <c r="CJ29" s="538"/>
      <c r="CK29" s="538"/>
      <c r="CL29" s="538"/>
      <c r="CM29" s="538"/>
      <c r="CN29" s="538"/>
      <c r="CO29" s="538"/>
      <c r="CP29" s="538"/>
      <c r="CQ29" s="538"/>
      <c r="CR29" s="534"/>
      <c r="CS29" s="539" t="s">
        <v>29</v>
      </c>
      <c r="CT29" s="529"/>
      <c r="CU29" s="529"/>
      <c r="CV29" s="529"/>
      <c r="CW29" s="529"/>
      <c r="CX29" s="529"/>
      <c r="CY29" s="529"/>
      <c r="CZ29" s="529"/>
      <c r="DA29" s="529"/>
      <c r="DB29" s="529"/>
      <c r="DC29" s="530"/>
    </row>
    <row r="30" spans="2:109" ht="40.5" customHeight="1" thickBot="1" x14ac:dyDescent="0.35">
      <c r="E30" s="291"/>
      <c r="F30" s="291"/>
      <c r="G30" s="950"/>
      <c r="H30" s="368"/>
      <c r="I30" s="22"/>
      <c r="J30" s="818"/>
      <c r="K30" s="818">
        <f>((+H8-H23)/H8*BO28)</f>
        <v>120.97084116135186</v>
      </c>
      <c r="L30" s="818">
        <f>(H23/H8*BO28)</f>
        <v>-46.070841161351865</v>
      </c>
      <c r="M30" s="816" t="s">
        <v>172</v>
      </c>
      <c r="N30" s="22"/>
      <c r="O30" s="883"/>
      <c r="P30" s="667">
        <v>1</v>
      </c>
      <c r="U30" s="67"/>
      <c r="AB30" s="67"/>
      <c r="AC30" s="67"/>
      <c r="AD30" s="67"/>
      <c r="AE30" s="67"/>
      <c r="BK30" s="958" t="b">
        <f>AND(BM30&gt;=10,$AZ$150&gt;=10,$BA$150&gt;=10,$AZ$175&gt;=10,$BA$175&gt;=10)</f>
        <v>1</v>
      </c>
      <c r="BL30" s="45" t="str">
        <f>IF(BK30=TRUE,"O K","OVERLOAD")</f>
        <v>O K</v>
      </c>
      <c r="BM30" s="934">
        <f>+MIN(J7:L8)</f>
        <v>74.581792898243236</v>
      </c>
      <c r="BN30" s="440" t="s">
        <v>112</v>
      </c>
      <c r="BO30" s="1024">
        <f>+((D4-D5)/D4)*C7</f>
        <v>25.922323106003969</v>
      </c>
      <c r="BP30" s="1025"/>
      <c r="BQ30" s="540"/>
      <c r="BR30" s="540"/>
      <c r="BS30" s="540"/>
      <c r="BT30" s="541"/>
      <c r="BU30" s="541"/>
      <c r="BV30" s="541"/>
      <c r="BW30" s="542"/>
      <c r="BX30" s="542"/>
      <c r="BY30" s="542"/>
      <c r="BZ30" s="542"/>
      <c r="CA30" s="542"/>
      <c r="CB30" s="542"/>
      <c r="CC30" s="542"/>
      <c r="CD30" s="542"/>
      <c r="CE30" s="542"/>
      <c r="CF30" s="542"/>
      <c r="CG30" s="543"/>
      <c r="CH30" s="540"/>
      <c r="CI30" s="540"/>
      <c r="CJ30" s="540"/>
      <c r="CK30" s="541"/>
      <c r="CL30" s="541"/>
      <c r="CM30" s="541"/>
      <c r="CN30" s="541"/>
      <c r="CO30" s="541"/>
      <c r="CP30" s="541"/>
      <c r="CQ30" s="541"/>
      <c r="CR30" s="1022">
        <f>+(D5/D4)*C7</f>
        <v>48.977676893996033</v>
      </c>
      <c r="CS30" s="1023"/>
      <c r="CT30" s="531"/>
      <c r="CU30" s="531"/>
      <c r="CV30" s="531"/>
      <c r="CW30" s="531"/>
      <c r="CX30" s="531"/>
      <c r="CY30" s="531"/>
      <c r="CZ30" s="531"/>
      <c r="DA30" s="531"/>
      <c r="DB30" s="531"/>
      <c r="DC30" s="532"/>
    </row>
    <row r="31" spans="2:109" ht="15" customHeight="1" thickBot="1" x14ac:dyDescent="0.3">
      <c r="E31" s="291"/>
      <c r="F31" s="291"/>
      <c r="G31" s="950"/>
      <c r="H31" s="368"/>
      <c r="I31" s="22"/>
      <c r="J31" s="820"/>
      <c r="K31" s="820">
        <f>ABS($H$1/K30)</f>
        <v>47.945438291727797</v>
      </c>
      <c r="L31" s="820">
        <f>ABS($H$1/L30)</f>
        <v>125.89307800321937</v>
      </c>
      <c r="M31" s="821" t="s">
        <v>173</v>
      </c>
      <c r="N31" s="22"/>
      <c r="O31" s="883"/>
      <c r="U31" s="67"/>
      <c r="AB31" s="67"/>
      <c r="AC31" s="67"/>
      <c r="AD31" s="67"/>
      <c r="AE31" s="67"/>
      <c r="BL31" s="47"/>
      <c r="BM31" s="929"/>
      <c r="BN31" s="48"/>
      <c r="BO31" s="49"/>
      <c r="BP31" s="49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H31" s="38"/>
      <c r="CI31" s="38"/>
      <c r="CJ31" s="49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40"/>
      <c r="DB31" s="40"/>
      <c r="DC31" s="40"/>
    </row>
    <row r="32" spans="2:109" ht="40.5" customHeight="1" thickBot="1" x14ac:dyDescent="0.25">
      <c r="E32" s="291"/>
      <c r="F32" s="291"/>
      <c r="G32" s="950"/>
      <c r="H32" s="368"/>
      <c r="I32" s="22"/>
      <c r="J32" s="944"/>
      <c r="K32" s="944"/>
      <c r="L32" s="944">
        <f>ABS($E$20/BO28)*2</f>
        <v>114.81975967957275</v>
      </c>
      <c r="M32" s="942" t="s">
        <v>226</v>
      </c>
      <c r="N32" s="946" t="s">
        <v>229</v>
      </c>
      <c r="O32" s="883"/>
      <c r="U32" s="67"/>
      <c r="AB32" s="67"/>
      <c r="AC32" s="67"/>
      <c r="AD32" s="67"/>
      <c r="AE32" s="67"/>
      <c r="BK32" s="105" t="b">
        <f>AND(BZ33&gt;0,DB33&gt;0)</f>
        <v>1</v>
      </c>
      <c r="BL32" s="43" t="str">
        <f>IF(BK32=TRUE,"","negative force at the motor")</f>
        <v/>
      </c>
      <c r="BM32" s="876" t="s">
        <v>110</v>
      </c>
      <c r="BN32" s="441" t="s">
        <v>27</v>
      </c>
      <c r="BO32" s="598"/>
      <c r="BP32" s="593"/>
      <c r="BQ32" s="593"/>
      <c r="BR32" s="593"/>
      <c r="BS32" s="593"/>
      <c r="BT32" s="593"/>
      <c r="BU32" s="593"/>
      <c r="BV32" s="593"/>
      <c r="BW32" s="593"/>
      <c r="BX32" s="593"/>
      <c r="BY32" s="593"/>
      <c r="BZ32" s="544" t="s">
        <v>28</v>
      </c>
      <c r="CA32" s="545"/>
      <c r="CB32" s="546"/>
      <c r="CC32" s="546"/>
      <c r="CD32" s="546"/>
      <c r="CE32" s="546"/>
      <c r="CF32" s="546"/>
      <c r="CG32" s="546"/>
      <c r="CH32" s="546"/>
      <c r="CI32" s="546"/>
      <c r="CJ32" s="546"/>
      <c r="CK32" s="546"/>
      <c r="CL32" s="547"/>
      <c r="CM32" s="548"/>
      <c r="CN32" s="548"/>
      <c r="CO32" s="548"/>
      <c r="CP32" s="548"/>
      <c r="CQ32" s="549"/>
      <c r="CR32" s="549"/>
      <c r="CS32" s="547"/>
      <c r="CT32" s="547"/>
      <c r="CU32" s="547"/>
      <c r="CV32" s="547"/>
      <c r="CW32" s="547"/>
      <c r="CX32" s="549"/>
      <c r="CY32" s="549"/>
      <c r="CZ32" s="547"/>
      <c r="DA32" s="548"/>
      <c r="DB32" s="550"/>
      <c r="DC32" s="551" t="s">
        <v>29</v>
      </c>
    </row>
    <row r="33" spans="5:107" ht="40.5" customHeight="1" thickBot="1" x14ac:dyDescent="0.35">
      <c r="E33" s="291"/>
      <c r="F33" s="291"/>
      <c r="G33" s="950"/>
      <c r="H33" s="368"/>
      <c r="I33" s="22"/>
      <c r="J33" s="22"/>
      <c r="K33" s="22"/>
      <c r="L33" s="22"/>
      <c r="M33" s="22"/>
      <c r="N33" s="22"/>
      <c r="O33" s="883"/>
      <c r="P33" s="667">
        <v>2</v>
      </c>
      <c r="U33" s="67"/>
      <c r="AB33" s="67"/>
      <c r="AC33" s="67"/>
      <c r="AD33" s="67"/>
      <c r="AE33" s="67"/>
      <c r="BK33" s="958" t="b">
        <f>AND(BM33&gt;=10,$AZ$150&gt;=10,$BA$150&gt;=10,$AZ$175&gt;=10,$BA$175&gt;=10)</f>
        <v>1</v>
      </c>
      <c r="BL33" s="45" t="str">
        <f>IF(BK33=TRUE,"O K","OVERLOAD")</f>
        <v>O K</v>
      </c>
      <c r="BM33" s="934">
        <f>+MIN(J13:L14)</f>
        <v>77.691200923383846</v>
      </c>
      <c r="BN33" s="442" t="s">
        <v>113</v>
      </c>
      <c r="BO33" s="599"/>
      <c r="BP33" s="596"/>
      <c r="BQ33" s="596"/>
      <c r="BR33" s="596"/>
      <c r="BS33" s="596"/>
      <c r="BT33" s="596"/>
      <c r="BU33" s="596"/>
      <c r="BV33" s="596"/>
      <c r="BW33" s="596"/>
      <c r="BX33" s="596"/>
      <c r="BY33" s="596"/>
      <c r="BZ33" s="1020">
        <f>+((D4-D3)/D4)*C7</f>
        <v>55.347323106003977</v>
      </c>
      <c r="CA33" s="1021"/>
      <c r="CB33" s="554"/>
      <c r="CC33" s="554"/>
      <c r="CD33" s="554"/>
      <c r="CE33" s="554"/>
      <c r="CF33" s="554"/>
      <c r="CG33" s="554"/>
      <c r="CH33" s="554"/>
      <c r="CI33" s="554"/>
      <c r="CJ33" s="554"/>
      <c r="CK33" s="554"/>
      <c r="CL33" s="555"/>
      <c r="CM33" s="556"/>
      <c r="CN33" s="556"/>
      <c r="CO33" s="556"/>
      <c r="CP33" s="556"/>
      <c r="CQ33" s="557"/>
      <c r="CR33" s="557"/>
      <c r="CS33" s="558"/>
      <c r="CT33" s="558"/>
      <c r="CU33" s="558"/>
      <c r="CV33" s="558"/>
      <c r="CW33" s="558"/>
      <c r="CX33" s="557"/>
      <c r="CY33" s="557"/>
      <c r="CZ33" s="558"/>
      <c r="DA33" s="559"/>
      <c r="DB33" s="1018">
        <f>+(D3/D4)*C7</f>
        <v>19.552676893996029</v>
      </c>
      <c r="DC33" s="1019"/>
    </row>
    <row r="34" spans="5:107" ht="18" customHeight="1" thickBot="1" x14ac:dyDescent="0.3">
      <c r="G34" s="950"/>
      <c r="H34" s="368"/>
      <c r="I34" s="814">
        <v>61</v>
      </c>
      <c r="J34" s="937" t="s">
        <v>182</v>
      </c>
      <c r="K34" s="938"/>
      <c r="L34" s="938"/>
      <c r="M34" s="938"/>
      <c r="N34" s="22"/>
      <c r="O34" s="883"/>
      <c r="BL34" s="47"/>
      <c r="BM34" s="930"/>
      <c r="BN34" s="53"/>
      <c r="BO34" s="53"/>
      <c r="BP34" s="53"/>
      <c r="BQ34" s="53"/>
      <c r="BR34" s="53"/>
      <c r="BS34" s="53"/>
      <c r="BT34" s="53"/>
      <c r="BU34" s="53"/>
      <c r="BV34" s="53"/>
      <c r="BW34" s="54"/>
      <c r="BX34" s="54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17"/>
      <c r="CM34" s="55"/>
      <c r="CN34" s="55"/>
      <c r="CO34" s="55"/>
      <c r="CP34" s="55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40"/>
      <c r="DB34" s="40"/>
      <c r="DC34" s="40"/>
    </row>
    <row r="35" spans="5:107" ht="40.5" customHeight="1" thickBot="1" x14ac:dyDescent="0.25">
      <c r="G35" s="950"/>
      <c r="H35" s="368"/>
      <c r="I35" s="22"/>
      <c r="J35" s="816" t="s">
        <v>169</v>
      </c>
      <c r="K35" s="816" t="s">
        <v>170</v>
      </c>
      <c r="L35" s="816"/>
      <c r="M35" s="887"/>
      <c r="N35" s="22"/>
      <c r="O35" s="883"/>
      <c r="BK35" s="105" t="b">
        <f>AND(BZ36&gt;0,CR36&gt;0)</f>
        <v>1</v>
      </c>
      <c r="BL35" s="43" t="str">
        <f>IF(BK35=TRUE,"","negative force at the motor")</f>
        <v/>
      </c>
      <c r="BM35" s="876" t="s">
        <v>110</v>
      </c>
      <c r="BN35" s="443" t="s">
        <v>27</v>
      </c>
      <c r="BO35" s="598"/>
      <c r="BP35" s="593"/>
      <c r="BQ35" s="593"/>
      <c r="BR35" s="593"/>
      <c r="BS35" s="593"/>
      <c r="BT35" s="593"/>
      <c r="BU35" s="593"/>
      <c r="BV35" s="593"/>
      <c r="BW35" s="593"/>
      <c r="BX35" s="593"/>
      <c r="BY35" s="593"/>
      <c r="BZ35" s="503" t="s">
        <v>28</v>
      </c>
      <c r="CA35" s="504"/>
      <c r="CB35" s="506"/>
      <c r="CC35" s="506"/>
      <c r="CD35" s="506"/>
      <c r="CE35" s="506"/>
      <c r="CF35" s="506"/>
      <c r="CG35" s="507"/>
      <c r="CH35" s="508"/>
      <c r="CI35" s="509"/>
      <c r="CJ35" s="509"/>
      <c r="CK35" s="508"/>
      <c r="CL35" s="508"/>
      <c r="CM35" s="508"/>
      <c r="CN35" s="509"/>
      <c r="CO35" s="509"/>
      <c r="CP35" s="509"/>
      <c r="CQ35" s="509"/>
      <c r="CR35" s="504"/>
      <c r="CS35" s="505" t="s">
        <v>29</v>
      </c>
      <c r="CT35" s="592"/>
      <c r="CU35" s="593"/>
      <c r="CV35" s="593"/>
      <c r="CW35" s="593"/>
      <c r="CX35" s="593"/>
      <c r="CY35" s="593"/>
      <c r="CZ35" s="593"/>
      <c r="DA35" s="593"/>
      <c r="DB35" s="593"/>
      <c r="DC35" s="594"/>
    </row>
    <row r="36" spans="5:107" ht="40.5" customHeight="1" thickBot="1" x14ac:dyDescent="0.35">
      <c r="G36" s="950"/>
      <c r="H36" s="368"/>
      <c r="I36" s="22"/>
      <c r="J36" s="818">
        <f>+H16/H8*BO28</f>
        <v>-3.8624921719814767</v>
      </c>
      <c r="K36" s="818">
        <f>((H8-H16)/H8)*BO28</f>
        <v>78.762492171981478</v>
      </c>
      <c r="L36" s="818"/>
      <c r="M36" s="816" t="s">
        <v>172</v>
      </c>
      <c r="N36" s="22"/>
      <c r="O36" s="883"/>
      <c r="P36" s="667">
        <v>3</v>
      </c>
      <c r="BK36" s="958" t="b">
        <f>AND(BM36&gt;=10,$AZ$150&gt;=10,$BA$150&gt;=10,$AZ$175&gt;=10,$BA$175&gt;=10)</f>
        <v>1</v>
      </c>
      <c r="BL36" s="45" t="str">
        <f>IF(BK36=TRUE,"O K","OVERLOAD")</f>
        <v>O K</v>
      </c>
      <c r="BM36" s="947">
        <f>+$E$20/(MAX(BZ36,CR36))</f>
        <v>93.304777293534158</v>
      </c>
      <c r="BN36" s="444" t="s">
        <v>114</v>
      </c>
      <c r="BO36" s="599"/>
      <c r="BP36" s="596"/>
      <c r="BQ36" s="596"/>
      <c r="BR36" s="596"/>
      <c r="BS36" s="596"/>
      <c r="BT36" s="596"/>
      <c r="BU36" s="596"/>
      <c r="BV36" s="596"/>
      <c r="BW36" s="596"/>
      <c r="BX36" s="596"/>
      <c r="BY36" s="596"/>
      <c r="BZ36" s="989">
        <f>+((D2-D3)/D2)*C7</f>
        <v>46.085528787795326</v>
      </c>
      <c r="CA36" s="990"/>
      <c r="CB36" s="510"/>
      <c r="CC36" s="510"/>
      <c r="CD36" s="510"/>
      <c r="CE36" s="510"/>
      <c r="CF36" s="510"/>
      <c r="CG36" s="511"/>
      <c r="CH36" s="512"/>
      <c r="CI36" s="513"/>
      <c r="CJ36" s="513"/>
      <c r="CK36" s="514"/>
      <c r="CL36" s="514"/>
      <c r="CM36" s="514"/>
      <c r="CN36" s="513"/>
      <c r="CO36" s="513"/>
      <c r="CP36" s="513"/>
      <c r="CQ36" s="513"/>
      <c r="CR36" s="983">
        <f>+(D3/D2)*C7</f>
        <v>28.814471212204673</v>
      </c>
      <c r="CS36" s="984"/>
      <c r="CT36" s="595"/>
      <c r="CU36" s="596"/>
      <c r="CV36" s="596"/>
      <c r="CW36" s="596"/>
      <c r="CX36" s="596"/>
      <c r="CY36" s="596"/>
      <c r="CZ36" s="596"/>
      <c r="DA36" s="596"/>
      <c r="DB36" s="596"/>
      <c r="DC36" s="597"/>
    </row>
    <row r="37" spans="5:107" hidden="1" x14ac:dyDescent="0.25">
      <c r="G37" s="950"/>
      <c r="H37" s="368"/>
      <c r="I37" s="22"/>
      <c r="J37" s="820">
        <f>ABS($H$1/J36)</f>
        <v>1501.6211662701112</v>
      </c>
      <c r="K37" s="820">
        <f>ABS($H$1/K36)</f>
        <v>73.639112222800634</v>
      </c>
      <c r="L37" s="820"/>
      <c r="M37" s="821" t="s">
        <v>173</v>
      </c>
      <c r="N37" s="22"/>
      <c r="O37" s="883"/>
      <c r="BL37" s="47"/>
      <c r="BM37" s="930"/>
      <c r="BN37" s="53"/>
      <c r="BO37" s="53"/>
      <c r="BP37" s="53"/>
      <c r="BQ37" s="53"/>
      <c r="BR37" s="53"/>
      <c r="BS37" s="53"/>
      <c r="BT37" s="53"/>
      <c r="BU37" s="53"/>
      <c r="BV37" s="53"/>
      <c r="BW37" s="54"/>
      <c r="BX37" s="54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3"/>
      <c r="CJ37" s="50"/>
      <c r="CK37" s="50"/>
      <c r="CL37" s="17"/>
      <c r="CM37" s="55"/>
      <c r="CN37" s="55"/>
      <c r="CO37" s="55"/>
      <c r="CP37" s="55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40"/>
      <c r="DB37" s="40"/>
      <c r="DC37" s="40"/>
    </row>
    <row r="38" spans="5:107" ht="48" hidden="1" customHeight="1" thickBot="1" x14ac:dyDescent="0.3">
      <c r="G38" s="950"/>
      <c r="H38" s="368"/>
      <c r="I38" s="22"/>
      <c r="J38" s="944">
        <f>ABS($E$20/BO28)*2</f>
        <v>114.81975967957275</v>
      </c>
      <c r="K38" s="944"/>
      <c r="L38" s="944"/>
      <c r="M38" s="942" t="s">
        <v>226</v>
      </c>
      <c r="N38" s="946" t="s">
        <v>229</v>
      </c>
      <c r="O38" s="883"/>
      <c r="BL38" s="47"/>
      <c r="BM38" s="105"/>
    </row>
    <row r="39" spans="5:107" ht="36" hidden="1" customHeight="1" thickBot="1" x14ac:dyDescent="0.3">
      <c r="G39" s="890"/>
      <c r="H39" s="22"/>
      <c r="I39" s="22"/>
      <c r="J39" s="22"/>
      <c r="K39" s="22"/>
      <c r="L39" s="22"/>
      <c r="M39" s="22"/>
      <c r="N39" s="22"/>
      <c r="O39" s="883"/>
      <c r="BL39" s="47"/>
      <c r="BM39" s="105"/>
      <c r="CQ39" s="60" t="b">
        <f>IF(CR60=30,18)</f>
        <v>0</v>
      </c>
      <c r="CS39" s="60" t="b">
        <f>IF(CR60=30,20)</f>
        <v>0</v>
      </c>
    </row>
    <row r="40" spans="5:107" ht="26" hidden="1" thickBot="1" x14ac:dyDescent="0.3">
      <c r="G40" s="890"/>
      <c r="H40" s="827" t="s">
        <v>183</v>
      </c>
      <c r="I40" s="814">
        <v>62</v>
      </c>
      <c r="J40" s="937" t="s">
        <v>184</v>
      </c>
      <c r="K40" s="938"/>
      <c r="L40" s="938"/>
      <c r="M40" s="938"/>
      <c r="N40" s="22"/>
      <c r="O40" s="883"/>
      <c r="BL40" s="47"/>
      <c r="BM40" s="931"/>
      <c r="BN40" s="100"/>
      <c r="BO40" s="101"/>
      <c r="BP40" s="101"/>
      <c r="BQ40" s="101"/>
      <c r="BR40" s="101"/>
      <c r="BS40" s="101"/>
      <c r="BT40" s="101"/>
      <c r="BU40" s="101"/>
      <c r="BV40" s="101"/>
      <c r="BW40" s="102"/>
      <c r="BX40" s="102"/>
      <c r="BY40" s="103"/>
      <c r="BZ40" s="103"/>
      <c r="CA40" s="103"/>
      <c r="CB40" s="103"/>
      <c r="CC40" s="103"/>
      <c r="CD40" s="103"/>
      <c r="CE40" s="103"/>
      <c r="CF40" s="103"/>
      <c r="CG40" s="17"/>
      <c r="CH40" s="50"/>
      <c r="CI40" s="104"/>
      <c r="CJ40" s="104"/>
      <c r="CK40" s="50"/>
      <c r="CL40" s="50"/>
      <c r="CM40" s="50"/>
      <c r="CN40" s="50"/>
      <c r="CO40" s="60" t="b">
        <f>IF(CQ60=29,16)</f>
        <v>0</v>
      </c>
      <c r="CP40" s="50"/>
      <c r="CQ40" s="50"/>
      <c r="CR40" s="50"/>
      <c r="CS40" s="60" t="b">
        <f>IF(CQ60=29,20)</f>
        <v>0</v>
      </c>
      <c r="CT40" s="50"/>
      <c r="CU40" s="101"/>
      <c r="CV40" s="101"/>
      <c r="CW40" s="101"/>
      <c r="CX40" s="101"/>
      <c r="CY40" s="101"/>
      <c r="CZ40" s="101"/>
      <c r="DA40" s="101"/>
      <c r="DB40" s="101"/>
      <c r="DC40" s="101"/>
    </row>
    <row r="41" spans="5:107" ht="26" hidden="1" thickBot="1" x14ac:dyDescent="0.3">
      <c r="G41" s="890"/>
      <c r="H41" s="828" t="s">
        <v>185</v>
      </c>
      <c r="I41" s="22"/>
      <c r="J41" s="816" t="s">
        <v>169</v>
      </c>
      <c r="K41" s="816" t="s">
        <v>170</v>
      </c>
      <c r="L41" s="817" t="s">
        <v>186</v>
      </c>
      <c r="M41" s="887"/>
      <c r="N41" s="22"/>
      <c r="O41" s="883"/>
      <c r="BL41" s="47"/>
      <c r="BM41" s="931"/>
      <c r="BN41" s="100"/>
      <c r="BO41" s="101"/>
      <c r="BP41" s="101"/>
      <c r="BQ41" s="101"/>
      <c r="BR41" s="101"/>
      <c r="BS41" s="101"/>
      <c r="BT41" s="101"/>
      <c r="BU41" s="101"/>
      <c r="BV41" s="101"/>
      <c r="BW41" s="102"/>
      <c r="BX41" s="102"/>
      <c r="BY41" s="103"/>
      <c r="BZ41" s="103"/>
      <c r="CA41" s="103"/>
      <c r="CB41" s="103"/>
      <c r="CC41" s="103"/>
      <c r="CD41" s="103"/>
      <c r="CE41" s="103"/>
      <c r="CF41" s="103"/>
      <c r="CG41" s="17"/>
      <c r="CH41" s="50"/>
      <c r="CI41" s="104"/>
      <c r="CJ41" s="104"/>
      <c r="CK41" s="50"/>
      <c r="CL41" s="50"/>
      <c r="CM41" s="60" t="b">
        <f>IF(CP60=28,14)</f>
        <v>0</v>
      </c>
      <c r="CN41" s="50"/>
      <c r="CO41" s="50"/>
      <c r="CP41" s="50"/>
      <c r="CQ41" s="50"/>
      <c r="CR41" s="50"/>
      <c r="CS41" s="60" t="b">
        <f>IF(CP60=28,20)</f>
        <v>0</v>
      </c>
      <c r="CT41" s="50"/>
      <c r="CU41" s="101"/>
      <c r="CV41" s="101"/>
      <c r="CW41" s="101"/>
      <c r="CX41" s="101"/>
      <c r="CY41" s="101"/>
      <c r="CZ41" s="101"/>
      <c r="DA41" s="101"/>
      <c r="DB41" s="101"/>
      <c r="DC41" s="101"/>
    </row>
    <row r="42" spans="5:107" ht="26" hidden="1" thickBot="1" x14ac:dyDescent="0.3">
      <c r="G42" s="951" t="s">
        <v>187</v>
      </c>
      <c r="H42" s="948">
        <f>SUM(BO114:BZ114)</f>
        <v>10</v>
      </c>
      <c r="I42" s="22"/>
      <c r="J42" s="818">
        <f>+H43/H8*BO28/2</f>
        <v>56.175000000000004</v>
      </c>
      <c r="K42" s="818">
        <f>((H8-H43)/H8)*BO28/2</f>
        <v>-18.725000000000001</v>
      </c>
      <c r="L42" s="818">
        <f>+BO28/2</f>
        <v>37.450000000000003</v>
      </c>
      <c r="M42" s="816" t="s">
        <v>172</v>
      </c>
      <c r="N42" s="22"/>
      <c r="O42" s="883"/>
      <c r="BL42" s="47"/>
      <c r="BM42" s="931"/>
      <c r="BN42" s="100"/>
      <c r="BO42" s="101"/>
      <c r="BP42" s="101"/>
      <c r="BQ42" s="101"/>
      <c r="BR42" s="101"/>
      <c r="BS42" s="101"/>
      <c r="BT42" s="101"/>
      <c r="BU42" s="101"/>
      <c r="BV42" s="101"/>
      <c r="BW42" s="102"/>
      <c r="BX42" s="102"/>
      <c r="BY42" s="105">
        <v>16</v>
      </c>
      <c r="BZ42" s="103"/>
      <c r="CA42" s="103"/>
      <c r="CB42" s="103"/>
      <c r="CC42" s="103"/>
      <c r="CD42" s="103"/>
      <c r="CE42" s="103"/>
      <c r="CF42" s="103"/>
      <c r="CG42" s="17"/>
      <c r="CH42" s="50"/>
      <c r="CI42" s="104"/>
      <c r="CJ42" s="104"/>
      <c r="CK42" s="68" t="b">
        <f>IF(CO60=27,12)</f>
        <v>0</v>
      </c>
      <c r="CL42" s="50"/>
      <c r="CM42" s="50"/>
      <c r="CO42" s="106"/>
      <c r="CQ42" s="50"/>
      <c r="CR42" s="50"/>
      <c r="CS42" s="60" t="b">
        <f>IF(CO60=27,20)</f>
        <v>0</v>
      </c>
      <c r="CT42" s="50"/>
      <c r="CU42" s="101"/>
      <c r="CV42" s="101"/>
      <c r="CW42" s="101"/>
      <c r="CX42" s="101"/>
      <c r="CY42" s="101"/>
      <c r="CZ42" s="101"/>
      <c r="DA42" s="101"/>
      <c r="DB42" s="101"/>
      <c r="DC42" s="101"/>
    </row>
    <row r="43" spans="5:107" ht="26" hidden="1" thickBot="1" x14ac:dyDescent="0.3">
      <c r="G43" s="813" t="s">
        <v>215</v>
      </c>
      <c r="H43" s="819">
        <f>$H$5-((H42-1)*$E$2)</f>
        <v>252</v>
      </c>
      <c r="I43" s="22"/>
      <c r="J43" s="820">
        <f>ABS($H$1/J42)</f>
        <v>103.2487761459724</v>
      </c>
      <c r="K43" s="820">
        <f>ABS($H$1/K42)</f>
        <v>309.74632843791721</v>
      </c>
      <c r="L43" s="820">
        <f>ABS($H$1/L42)</f>
        <v>154.87316421895861</v>
      </c>
      <c r="M43" s="821" t="s">
        <v>173</v>
      </c>
      <c r="N43" s="22"/>
      <c r="O43" s="883"/>
      <c r="BJ43" s="81"/>
      <c r="BL43" s="47"/>
      <c r="BM43" s="931"/>
      <c r="BN43" s="100"/>
      <c r="BO43" s="101"/>
      <c r="BP43" s="101"/>
      <c r="BQ43" s="101"/>
      <c r="BR43" s="101"/>
      <c r="BS43" s="101"/>
      <c r="BT43" s="101"/>
      <c r="BU43" s="101"/>
      <c r="BV43" s="101"/>
      <c r="BW43" s="102"/>
      <c r="BX43" s="102"/>
      <c r="BY43" s="105">
        <v>15</v>
      </c>
      <c r="BZ43" s="103"/>
      <c r="CA43" s="103"/>
      <c r="CB43" s="103"/>
      <c r="CC43" s="103"/>
      <c r="CD43" s="103"/>
      <c r="CE43" s="103"/>
      <c r="CF43" s="103"/>
      <c r="CG43" s="17"/>
      <c r="CH43" s="50"/>
      <c r="CI43" s="68" t="b">
        <f>IF(CN60=26,10)</f>
        <v>0</v>
      </c>
      <c r="CJ43" s="104"/>
      <c r="CK43" s="50"/>
      <c r="CM43" s="106"/>
      <c r="CN43" s="106"/>
      <c r="CO43" s="106"/>
      <c r="CQ43" s="50"/>
      <c r="CR43" s="50"/>
      <c r="CS43" s="60" t="b">
        <f>IF(CN60=26,20)</f>
        <v>0</v>
      </c>
      <c r="CT43" s="50"/>
      <c r="CU43" s="101"/>
      <c r="CV43" s="101"/>
      <c r="CW43" s="101"/>
      <c r="CX43" s="101"/>
      <c r="CY43" s="101"/>
      <c r="CZ43" s="101"/>
      <c r="DA43" s="101"/>
      <c r="DB43" s="101"/>
      <c r="DC43" s="101"/>
    </row>
    <row r="44" spans="5:107" ht="26" hidden="1" thickBot="1" x14ac:dyDescent="0.3">
      <c r="G44" s="950"/>
      <c r="H44" s="368"/>
      <c r="I44" s="22"/>
      <c r="J44" s="944"/>
      <c r="K44" s="944"/>
      <c r="L44" s="944">
        <f>ABS($E$20/BO28)*2</f>
        <v>114.81975967957275</v>
      </c>
      <c r="M44" s="942" t="s">
        <v>226</v>
      </c>
      <c r="N44" s="946" t="s">
        <v>229</v>
      </c>
      <c r="O44" s="883"/>
      <c r="BJ44" s="81"/>
      <c r="BL44" s="47"/>
      <c r="BM44" s="931"/>
      <c r="BN44" s="100"/>
      <c r="BO44" s="101"/>
      <c r="BP44" s="101"/>
      <c r="BQ44" s="101"/>
      <c r="BR44" s="101"/>
      <c r="BS44" s="101"/>
      <c r="BT44" s="101"/>
      <c r="BU44" s="101"/>
      <c r="BV44" s="101"/>
      <c r="BW44" s="102"/>
      <c r="BX44" s="102"/>
      <c r="BY44" s="105">
        <v>14</v>
      </c>
      <c r="BZ44" s="103"/>
      <c r="CA44" s="103"/>
      <c r="CB44" s="103"/>
      <c r="CC44" s="103"/>
      <c r="CD44" s="103"/>
      <c r="CE44" s="103"/>
      <c r="CF44" s="103"/>
      <c r="CG44" s="68" t="b">
        <f>IF(CM60=25,8)</f>
        <v>0</v>
      </c>
      <c r="CH44" s="50"/>
      <c r="CI44" s="104"/>
      <c r="CK44" s="106"/>
      <c r="CL44" s="107"/>
      <c r="CM44" s="107"/>
      <c r="CN44" s="107"/>
      <c r="CO44" s="107"/>
      <c r="CQ44" s="50"/>
      <c r="CR44" s="50"/>
      <c r="CS44" s="75" t="b">
        <f>IF(CM60=25,20)</f>
        <v>0</v>
      </c>
      <c r="CT44" s="50"/>
      <c r="CU44" s="101"/>
      <c r="CV44" s="101"/>
      <c r="CW44" s="101"/>
      <c r="CX44" s="101"/>
      <c r="CY44" s="101"/>
      <c r="CZ44" s="101"/>
      <c r="DA44" s="101"/>
      <c r="DB44" s="101"/>
      <c r="DC44" s="101"/>
    </row>
    <row r="45" spans="5:107" ht="26" hidden="1" thickBot="1" x14ac:dyDescent="0.3">
      <c r="G45" s="890"/>
      <c r="H45" s="830" t="s">
        <v>188</v>
      </c>
      <c r="I45" s="22"/>
      <c r="J45" s="22"/>
      <c r="K45" s="22"/>
      <c r="L45" s="22"/>
      <c r="M45" s="22"/>
      <c r="N45" s="22"/>
      <c r="O45" s="883"/>
      <c r="BJ45" s="81"/>
      <c r="BL45" s="47"/>
      <c r="BM45" s="932"/>
      <c r="BN45" s="100"/>
      <c r="BO45" s="101"/>
      <c r="BP45" s="101"/>
      <c r="BQ45" s="101"/>
      <c r="BR45" s="101"/>
      <c r="BS45" s="101"/>
      <c r="BT45" s="101"/>
      <c r="BU45" s="101"/>
      <c r="BV45" s="101"/>
      <c r="BY45" s="105">
        <v>13</v>
      </c>
      <c r="BZ45" s="101"/>
      <c r="CA45" s="100"/>
      <c r="CB45" s="100"/>
      <c r="CC45" s="100"/>
      <c r="CD45" s="100"/>
      <c r="CE45" s="68" t="b">
        <f>IF(CL60=24,6)</f>
        <v>0</v>
      </c>
      <c r="CF45" s="100"/>
      <c r="CG45" s="100"/>
      <c r="CI45" s="108"/>
      <c r="CJ45" s="109"/>
      <c r="CK45" s="73"/>
      <c r="CL45" s="109"/>
      <c r="CM45" s="73"/>
      <c r="CN45" s="73"/>
      <c r="CO45" s="72"/>
      <c r="CQ45" s="40"/>
      <c r="CR45" s="40"/>
      <c r="CS45" s="75" t="b">
        <f>IF(CL60=24,20)</f>
        <v>0</v>
      </c>
      <c r="CT45" s="40"/>
      <c r="CU45" s="40"/>
      <c r="CV45" s="40"/>
      <c r="CW45" s="40"/>
      <c r="CX45" s="40"/>
      <c r="CY45" s="40"/>
      <c r="CZ45" s="40"/>
      <c r="DA45" s="40"/>
      <c r="DB45" s="40"/>
    </row>
    <row r="46" spans="5:107" ht="26" hidden="1" thickBot="1" x14ac:dyDescent="0.3">
      <c r="G46" s="895"/>
      <c r="H46" s="831" t="s">
        <v>185</v>
      </c>
      <c r="I46" s="814">
        <v>63</v>
      </c>
      <c r="J46" s="937" t="s">
        <v>189</v>
      </c>
      <c r="K46" s="938"/>
      <c r="L46" s="938"/>
      <c r="M46" s="938"/>
      <c r="N46" s="22"/>
      <c r="O46" s="883"/>
      <c r="BJ46" s="81"/>
      <c r="BL46" s="47"/>
      <c r="BM46" s="932"/>
      <c r="BN46" s="100"/>
      <c r="BO46" s="100"/>
      <c r="BP46" s="101"/>
      <c r="BQ46" s="100"/>
      <c r="BR46" s="100"/>
      <c r="BS46" s="100"/>
      <c r="BY46" s="105">
        <v>12</v>
      </c>
      <c r="BZ46" s="101"/>
      <c r="CA46" s="100"/>
      <c r="CB46" s="100"/>
      <c r="CC46" s="68" t="b">
        <f>IF(CK60=23,4)</f>
        <v>0</v>
      </c>
      <c r="CD46" s="100"/>
      <c r="CE46" s="100"/>
      <c r="CG46" s="108"/>
      <c r="CH46" s="108"/>
      <c r="CI46" s="69"/>
      <c r="CJ46" s="108"/>
      <c r="CK46" s="108"/>
      <c r="CL46" s="108"/>
      <c r="CM46" s="69"/>
      <c r="CN46" s="69"/>
      <c r="CO46" s="64"/>
      <c r="CQ46" s="40"/>
      <c r="CR46" s="40"/>
      <c r="CS46" s="60" t="b">
        <f>IF(CK60=23,20)</f>
        <v>0</v>
      </c>
      <c r="CT46" s="40"/>
      <c r="CU46" s="40"/>
      <c r="CV46" s="40"/>
      <c r="CW46" s="40"/>
      <c r="CX46" s="40"/>
      <c r="CY46" s="40"/>
      <c r="CZ46" s="40"/>
      <c r="DA46" s="40"/>
      <c r="DB46" s="40"/>
    </row>
    <row r="47" spans="5:107" ht="26" hidden="1" thickBot="1" x14ac:dyDescent="0.3">
      <c r="G47" s="951" t="s">
        <v>187</v>
      </c>
      <c r="H47" s="949">
        <f>SUM(CR114:DC114)</f>
        <v>0</v>
      </c>
      <c r="I47" s="22"/>
      <c r="J47" s="817" t="s">
        <v>190</v>
      </c>
      <c r="K47" s="816" t="s">
        <v>177</v>
      </c>
      <c r="L47" s="816" t="s">
        <v>178</v>
      </c>
      <c r="M47" s="887"/>
      <c r="N47" s="22"/>
      <c r="O47" s="883"/>
      <c r="BJ47" s="81"/>
      <c r="BL47" s="47"/>
      <c r="BM47" s="932"/>
      <c r="BN47" s="100"/>
      <c r="BO47" s="100"/>
      <c r="BP47" s="101"/>
      <c r="BQ47" s="100"/>
      <c r="BR47" s="100"/>
      <c r="BS47" s="100"/>
      <c r="BY47" s="105">
        <v>11</v>
      </c>
      <c r="CA47" s="68" t="b">
        <f>IF(CJ60=22,2)</f>
        <v>0</v>
      </c>
      <c r="CB47" s="100"/>
      <c r="CC47" s="100"/>
      <c r="CE47" s="108"/>
      <c r="CF47" s="108"/>
      <c r="CG47" s="69"/>
      <c r="CH47" s="108"/>
      <c r="CI47" s="69"/>
      <c r="CJ47" s="108"/>
      <c r="CK47" s="69"/>
      <c r="CL47" s="108"/>
      <c r="CM47" s="69"/>
      <c r="CN47" s="69"/>
      <c r="CO47" s="64"/>
      <c r="CQ47" s="40"/>
      <c r="CR47" s="40"/>
      <c r="CS47" s="60" t="b">
        <f>IF(CJ60=22,20)</f>
        <v>0</v>
      </c>
      <c r="CT47" s="40"/>
      <c r="CU47" s="40"/>
      <c r="CV47" s="40"/>
      <c r="CW47" s="40"/>
      <c r="CX47" s="40"/>
      <c r="CY47" s="40"/>
      <c r="CZ47" s="40"/>
      <c r="DA47" s="40"/>
      <c r="DB47" s="40"/>
    </row>
    <row r="48" spans="5:107" ht="26" hidden="1" thickBot="1" x14ac:dyDescent="0.3">
      <c r="G48" s="813" t="s">
        <v>216</v>
      </c>
      <c r="H48" s="819">
        <f>($E$2*(H47-1))-$H$4</f>
        <v>-644</v>
      </c>
      <c r="I48" s="22"/>
      <c r="J48" s="818">
        <f>+BO28/2</f>
        <v>37.450000000000003</v>
      </c>
      <c r="K48" s="818">
        <f>((H8-H48)/H8)*BO28/2</f>
        <v>181.00833333333333</v>
      </c>
      <c r="L48" s="818">
        <f>+H48/H8*BO28/2</f>
        <v>-143.55833333333334</v>
      </c>
      <c r="M48" s="816" t="s">
        <v>172</v>
      </c>
      <c r="N48" s="22"/>
      <c r="O48" s="883"/>
      <c r="BJ48" s="81"/>
      <c r="BL48" s="47"/>
      <c r="BM48" s="932"/>
      <c r="BN48" s="100"/>
      <c r="BO48" s="100"/>
      <c r="BP48" s="101"/>
      <c r="BQ48" s="100"/>
      <c r="BR48" s="100"/>
      <c r="BS48" s="100"/>
      <c r="BY48" s="105">
        <v>10</v>
      </c>
      <c r="BZ48" s="68" t="b">
        <f>IF(CI60=21,1)</f>
        <v>0</v>
      </c>
      <c r="CA48" s="100"/>
      <c r="CC48" s="108"/>
      <c r="CD48" s="108"/>
      <c r="CE48" s="69"/>
      <c r="CF48" s="69"/>
      <c r="CG48" s="69"/>
      <c r="CH48" s="108"/>
      <c r="CI48" s="108"/>
      <c r="CJ48" s="108"/>
      <c r="CK48" s="69"/>
      <c r="CL48" s="108"/>
      <c r="CM48" s="69"/>
      <c r="CN48" s="69"/>
      <c r="CO48" s="64"/>
      <c r="CQ48" s="40"/>
      <c r="CR48" s="60" t="b">
        <f>IF(CI60=21,20)</f>
        <v>0</v>
      </c>
      <c r="CS48" s="40"/>
      <c r="CT48" s="40"/>
      <c r="CU48" s="40"/>
      <c r="CV48" s="40"/>
      <c r="CW48" s="40"/>
      <c r="CX48" s="40"/>
      <c r="CY48" s="40"/>
      <c r="CZ48" s="40"/>
      <c r="DA48" s="40"/>
      <c r="DB48" s="40"/>
    </row>
    <row r="49" spans="5:110" ht="26" hidden="1" thickBot="1" x14ac:dyDescent="0.3">
      <c r="G49" s="890"/>
      <c r="H49" s="22"/>
      <c r="I49" s="22"/>
      <c r="J49" s="820">
        <f>ABS($H$1/J48)</f>
        <v>154.87316421895861</v>
      </c>
      <c r="K49" s="820">
        <f>ABS($H$1/K48)</f>
        <v>32.042723631508679</v>
      </c>
      <c r="L49" s="820">
        <f>ABS($H$1/L48)</f>
        <v>40.401695013641373</v>
      </c>
      <c r="M49" s="821" t="s">
        <v>173</v>
      </c>
      <c r="O49" s="832"/>
      <c r="BJ49" s="81"/>
      <c r="BL49" s="47"/>
      <c r="BM49" s="932"/>
      <c r="BN49" s="100"/>
      <c r="BO49" s="100"/>
      <c r="BP49" s="101"/>
      <c r="BQ49" s="100"/>
      <c r="BR49" s="100"/>
      <c r="BS49" s="100"/>
      <c r="BY49" s="105">
        <v>9</v>
      </c>
      <c r="BZ49" s="68" t="b">
        <f>IF(CH60=20,1)</f>
        <v>0</v>
      </c>
      <c r="CA49" s="108"/>
      <c r="CB49" s="108"/>
      <c r="CC49" s="69"/>
      <c r="CD49" s="108"/>
      <c r="CE49" s="108"/>
      <c r="CF49" s="108"/>
      <c r="CG49" s="108"/>
      <c r="CH49" s="108"/>
      <c r="CI49" s="108"/>
      <c r="CJ49" s="108"/>
      <c r="CK49" s="108"/>
      <c r="CL49" s="108"/>
      <c r="CM49" s="69"/>
      <c r="CN49" s="69"/>
      <c r="CO49" s="64"/>
      <c r="CP49" s="60" t="b">
        <f>IF(CH60=20,17)</f>
        <v>0</v>
      </c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F49" s="37"/>
    </row>
    <row r="50" spans="5:110" ht="26" hidden="1" thickBot="1" x14ac:dyDescent="0.3">
      <c r="G50" s="890"/>
      <c r="H50" s="22"/>
      <c r="I50" s="22"/>
      <c r="J50" s="944">
        <f>ABS($E$20/BO28)*2</f>
        <v>114.81975967957275</v>
      </c>
      <c r="K50" s="944"/>
      <c r="L50" s="944"/>
      <c r="M50" s="942" t="s">
        <v>226</v>
      </c>
      <c r="N50" s="946" t="s">
        <v>229</v>
      </c>
      <c r="O50" s="883"/>
      <c r="BJ50" s="81"/>
      <c r="BL50" s="47"/>
      <c r="BM50" s="932"/>
      <c r="BN50" s="100"/>
      <c r="BO50" s="100"/>
      <c r="BP50" s="101"/>
      <c r="BQ50" s="100"/>
      <c r="BR50" s="100"/>
      <c r="BS50" s="100"/>
      <c r="BY50" s="105">
        <v>8</v>
      </c>
      <c r="BZ50" s="71">
        <f>IF(CG60=19,1)</f>
        <v>1</v>
      </c>
      <c r="CA50" s="73"/>
      <c r="CB50" s="109"/>
      <c r="CC50" s="109"/>
      <c r="CD50" s="109"/>
      <c r="CE50" s="109"/>
      <c r="CF50" s="109"/>
      <c r="CG50" s="109"/>
      <c r="CH50" s="109"/>
      <c r="CI50" s="109"/>
      <c r="CJ50" s="109"/>
      <c r="CK50" s="109"/>
      <c r="CL50" s="109"/>
      <c r="CM50" s="73"/>
      <c r="CN50" s="75">
        <f>IF(CG60=19,15)</f>
        <v>15</v>
      </c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</row>
    <row r="51" spans="5:110" ht="26" hidden="1" thickBot="1" x14ac:dyDescent="0.3">
      <c r="G51" s="890"/>
      <c r="H51" s="22"/>
      <c r="I51" s="22"/>
      <c r="J51" s="22"/>
      <c r="K51" s="22"/>
      <c r="L51" s="22"/>
      <c r="M51" s="22"/>
      <c r="N51" s="22"/>
      <c r="O51" s="883"/>
      <c r="BJ51" s="81"/>
      <c r="BL51" s="47"/>
      <c r="BM51" s="932"/>
      <c r="BN51" s="100"/>
      <c r="BO51" s="100"/>
      <c r="BP51" s="101"/>
      <c r="BQ51" s="100"/>
      <c r="BR51" s="100"/>
      <c r="BS51" s="100"/>
      <c r="BY51" s="105">
        <v>7</v>
      </c>
      <c r="BZ51" s="71" t="b">
        <f>IF(CF60=18,1)</f>
        <v>0</v>
      </c>
      <c r="CA51" s="109"/>
      <c r="CB51" s="109"/>
      <c r="CC51" s="109"/>
      <c r="CD51" s="109"/>
      <c r="CE51" s="109"/>
      <c r="CF51" s="109"/>
      <c r="CG51" s="109"/>
      <c r="CH51" s="109"/>
      <c r="CI51" s="109"/>
      <c r="CJ51" s="109"/>
      <c r="CK51" s="109"/>
      <c r="CL51" s="75" t="b">
        <f>IF(CF60=18,13)</f>
        <v>0</v>
      </c>
      <c r="CM51" s="101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</row>
    <row r="52" spans="5:110" ht="26" hidden="1" thickBot="1" x14ac:dyDescent="0.3">
      <c r="G52" s="890"/>
      <c r="H52" s="22"/>
      <c r="I52" s="814">
        <v>64</v>
      </c>
      <c r="J52" s="937" t="s">
        <v>191</v>
      </c>
      <c r="K52" s="938"/>
      <c r="L52" s="938"/>
      <c r="M52" s="938"/>
      <c r="N52" s="22"/>
      <c r="O52" s="883"/>
      <c r="BJ52" s="81"/>
      <c r="BL52" s="47"/>
      <c r="BM52" s="932"/>
      <c r="BN52" s="100"/>
      <c r="BO52" s="100"/>
      <c r="BP52" s="101"/>
      <c r="BQ52" s="100"/>
      <c r="BR52" s="100"/>
      <c r="BS52" s="100"/>
      <c r="BY52" s="105">
        <v>6</v>
      </c>
      <c r="BZ52" s="71" t="b">
        <f>IF(CE60=17,1)</f>
        <v>0</v>
      </c>
      <c r="CA52" s="109"/>
      <c r="CB52" s="109"/>
      <c r="CC52" s="109"/>
      <c r="CD52" s="109"/>
      <c r="CE52" s="109"/>
      <c r="CF52" s="109"/>
      <c r="CG52" s="109"/>
      <c r="CH52" s="109"/>
      <c r="CI52" s="109"/>
      <c r="CJ52" s="75" t="b">
        <f>IF(CE60=17,11)</f>
        <v>0</v>
      </c>
      <c r="CK52" s="100"/>
      <c r="CL52" s="100"/>
      <c r="CM52" s="101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0"/>
      <c r="DB52" s="40"/>
    </row>
    <row r="53" spans="5:110" ht="26" hidden="1" thickBot="1" x14ac:dyDescent="0.3">
      <c r="G53" s="951" t="s">
        <v>187</v>
      </c>
      <c r="H53" s="952" t="s">
        <v>217</v>
      </c>
      <c r="I53" s="22"/>
      <c r="J53" s="817" t="s">
        <v>190</v>
      </c>
      <c r="K53" s="816"/>
      <c r="L53" s="817" t="s">
        <v>186</v>
      </c>
      <c r="M53" s="887"/>
      <c r="N53" s="22"/>
      <c r="O53" s="883"/>
      <c r="BJ53" s="81"/>
      <c r="BL53" s="47"/>
      <c r="BM53" s="932"/>
      <c r="BN53" s="100"/>
      <c r="BO53" s="100"/>
      <c r="BP53" s="101"/>
      <c r="BQ53" s="100"/>
      <c r="BR53" s="100"/>
      <c r="BS53" s="100"/>
      <c r="BY53" s="105">
        <v>5</v>
      </c>
      <c r="BZ53" s="68" t="b">
        <f>IF(CD60=16,1)</f>
        <v>0</v>
      </c>
      <c r="CA53" s="108"/>
      <c r="CB53" s="108"/>
      <c r="CC53" s="69"/>
      <c r="CD53" s="108"/>
      <c r="CE53" s="69"/>
      <c r="CF53" s="108"/>
      <c r="CG53" s="108"/>
      <c r="CH53" s="60" t="b">
        <f>IF(CD60=16,9)</f>
        <v>0</v>
      </c>
      <c r="CI53" s="100"/>
      <c r="CJ53" s="100"/>
      <c r="CK53" s="100"/>
      <c r="CL53" s="100"/>
      <c r="CM53" s="101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</row>
    <row r="54" spans="5:110" ht="26" hidden="1" thickBot="1" x14ac:dyDescent="0.3">
      <c r="G54" s="813"/>
      <c r="H54" s="819"/>
      <c r="I54" s="22"/>
      <c r="J54" s="818">
        <f>+((H6-D3)/H6)*BO28</f>
        <v>40.68281543550696</v>
      </c>
      <c r="K54" s="818"/>
      <c r="L54" s="818">
        <f>+(D3/H6)*BO28</f>
        <v>34.217184564493053</v>
      </c>
      <c r="M54" s="816" t="s">
        <v>172</v>
      </c>
      <c r="N54" s="22"/>
      <c r="O54" s="883"/>
      <c r="BJ54" s="81"/>
      <c r="BL54" s="47"/>
      <c r="BM54" s="932"/>
      <c r="BN54" s="100"/>
      <c r="BO54" s="100"/>
      <c r="BP54" s="101"/>
      <c r="BQ54" s="100"/>
      <c r="BR54" s="100"/>
      <c r="BS54" s="100"/>
      <c r="BY54" s="105">
        <v>4</v>
      </c>
      <c r="BZ54" s="68" t="b">
        <f>IF(CC60=15,1)</f>
        <v>0</v>
      </c>
      <c r="CA54" s="69"/>
      <c r="CB54" s="69"/>
      <c r="CC54" s="108"/>
      <c r="CD54" s="69"/>
      <c r="CE54" s="69"/>
      <c r="CF54" s="60" t="b">
        <f>IF(CC60=15,7)</f>
        <v>0</v>
      </c>
      <c r="CG54" s="100"/>
      <c r="CH54" s="100"/>
      <c r="CI54" s="100"/>
      <c r="CJ54" s="100"/>
      <c r="CK54" s="100"/>
      <c r="CL54" s="100"/>
      <c r="CM54" s="101"/>
      <c r="CO54" s="40"/>
      <c r="CP54" s="40"/>
      <c r="CQ54" s="40"/>
      <c r="CR54" s="40"/>
      <c r="CS54" s="40"/>
      <c r="CT54" s="40"/>
      <c r="CU54" s="40"/>
      <c r="CV54" s="40"/>
      <c r="CW54" s="40"/>
      <c r="CX54" s="40"/>
      <c r="CY54" s="40"/>
      <c r="CZ54" s="40"/>
      <c r="DA54" s="40"/>
      <c r="DB54" s="40"/>
    </row>
    <row r="55" spans="5:110" ht="26" hidden="1" thickBot="1" x14ac:dyDescent="0.3">
      <c r="G55" s="950"/>
      <c r="H55" s="368"/>
      <c r="I55" s="22"/>
      <c r="J55" s="820">
        <f>ABS($H$1/J54)</f>
        <v>142.56633760253237</v>
      </c>
      <c r="K55" s="820"/>
      <c r="L55" s="820">
        <f>ABS($H$1/L54)</f>
        <v>169.5054714121226</v>
      </c>
      <c r="M55" s="821" t="s">
        <v>173</v>
      </c>
      <c r="N55" s="22"/>
      <c r="O55" s="883"/>
      <c r="BJ55" s="81"/>
      <c r="BL55" s="47"/>
      <c r="BM55" s="932"/>
      <c r="BN55" s="100"/>
      <c r="BO55" s="100"/>
      <c r="BP55" s="101"/>
      <c r="BQ55" s="100"/>
      <c r="BR55" s="100"/>
      <c r="BS55" s="100"/>
      <c r="BY55" s="105">
        <v>3</v>
      </c>
      <c r="BZ55" s="71" t="b">
        <f>IF(CB60=14,1)</f>
        <v>0</v>
      </c>
      <c r="CA55" s="109"/>
      <c r="CB55" s="109"/>
      <c r="CC55" s="109"/>
      <c r="CD55" s="75" t="b">
        <f>IF(CB60=14,5)</f>
        <v>0</v>
      </c>
      <c r="CE55" s="100"/>
      <c r="CF55" s="100"/>
      <c r="CG55" s="100"/>
      <c r="CH55" s="100"/>
      <c r="CI55" s="100"/>
      <c r="CJ55" s="100"/>
      <c r="CK55" s="100"/>
      <c r="CL55" s="100"/>
      <c r="CM55" s="101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</row>
    <row r="56" spans="5:110" ht="26" hidden="1" thickBot="1" x14ac:dyDescent="0.3">
      <c r="G56" s="950"/>
      <c r="H56" s="368"/>
      <c r="I56" s="855"/>
      <c r="J56" s="944">
        <f>ABS($E$20/BO28)*2</f>
        <v>114.81975967957275</v>
      </c>
      <c r="K56" s="944"/>
      <c r="L56" s="944"/>
      <c r="M56" s="942" t="s">
        <v>226</v>
      </c>
      <c r="N56" s="946" t="s">
        <v>229</v>
      </c>
      <c r="O56" s="883"/>
      <c r="BJ56" s="81"/>
      <c r="BL56" s="47"/>
      <c r="BM56" s="932"/>
      <c r="BN56" s="100"/>
      <c r="BO56" s="100"/>
      <c r="BP56" s="101"/>
      <c r="BQ56" s="100"/>
      <c r="BR56" s="100"/>
      <c r="BS56" s="100"/>
      <c r="BY56" s="105">
        <v>2</v>
      </c>
      <c r="BZ56" s="71" t="b">
        <f>IF(CA60=13,1)</f>
        <v>0</v>
      </c>
      <c r="CA56" s="109"/>
      <c r="CB56" s="75" t="b">
        <f>IF(CA60=13,3)</f>
        <v>0</v>
      </c>
      <c r="CC56" s="100"/>
      <c r="CD56" s="100"/>
      <c r="CE56" s="100"/>
      <c r="CF56" s="100"/>
      <c r="CG56" s="100"/>
      <c r="CH56" s="100"/>
      <c r="CI56" s="100"/>
      <c r="CJ56" s="100"/>
      <c r="CK56" s="100"/>
      <c r="CL56" s="100"/>
      <c r="CM56" s="101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</row>
    <row r="57" spans="5:110" ht="18" customHeight="1" thickBot="1" x14ac:dyDescent="0.3">
      <c r="G57" s="890"/>
      <c r="H57" s="22"/>
      <c r="I57" s="22"/>
      <c r="J57" s="22"/>
      <c r="K57" s="22"/>
      <c r="L57" s="22"/>
      <c r="M57" s="22"/>
      <c r="N57" s="22"/>
      <c r="O57" s="883"/>
      <c r="BJ57" s="81"/>
      <c r="BL57" s="47"/>
      <c r="BM57" s="932"/>
      <c r="BN57" s="100"/>
      <c r="BO57" s="100"/>
      <c r="BP57" s="101"/>
      <c r="BQ57" s="100"/>
      <c r="BR57" s="100"/>
      <c r="BS57" s="100"/>
      <c r="BT57" s="38"/>
      <c r="BU57" s="100"/>
      <c r="BY57" s="100"/>
      <c r="BZ57" s="100"/>
      <c r="CA57" s="100"/>
      <c r="CB57" s="100"/>
      <c r="CC57" s="100"/>
      <c r="CD57" s="100"/>
      <c r="CE57" s="100"/>
      <c r="CF57" s="100"/>
      <c r="CG57" s="100"/>
      <c r="CH57" s="100"/>
      <c r="CI57" s="100"/>
      <c r="CJ57" s="101"/>
      <c r="CK57" s="62"/>
      <c r="CL57" s="62"/>
      <c r="CM57" s="62"/>
      <c r="CO57" s="40"/>
      <c r="CP57" s="40"/>
      <c r="CQ57" s="40"/>
      <c r="CR57" s="40"/>
      <c r="CS57" s="40"/>
      <c r="CT57" s="40"/>
      <c r="CU57" s="40"/>
      <c r="CV57" s="40"/>
      <c r="CW57" s="40"/>
      <c r="CX57" s="40"/>
      <c r="CY57" s="40"/>
      <c r="CZ57" s="40"/>
      <c r="DA57" s="40"/>
      <c r="DB57" s="40"/>
    </row>
    <row r="58" spans="5:110" ht="40.5" customHeight="1" thickBot="1" x14ac:dyDescent="0.3">
      <c r="G58" s="890"/>
      <c r="H58" s="22"/>
      <c r="I58" s="22"/>
      <c r="J58" s="22"/>
      <c r="K58" s="22"/>
      <c r="L58" s="22"/>
      <c r="M58" s="22"/>
      <c r="N58" s="22"/>
      <c r="O58" s="883"/>
      <c r="BJ58" s="81"/>
      <c r="BK58" s="668"/>
      <c r="BL58" s="111"/>
      <c r="BM58" s="936" t="s">
        <v>110</v>
      </c>
      <c r="BN58" s="874" t="s">
        <v>115</v>
      </c>
      <c r="BO58" s="112"/>
      <c r="BP58" s="113"/>
      <c r="BQ58" s="113"/>
      <c r="BR58" s="113"/>
      <c r="BS58" s="113"/>
      <c r="BT58" s="113"/>
      <c r="BU58" s="113"/>
      <c r="BV58" s="113"/>
      <c r="BW58" s="113"/>
      <c r="BX58" s="113"/>
      <c r="BY58" s="113"/>
      <c r="BZ58" s="450">
        <f t="shared" ref="BZ58:CO58" si="0">SUM(BZ39:BZ57)</f>
        <v>1</v>
      </c>
      <c r="CA58" s="451">
        <f t="shared" si="0"/>
        <v>0</v>
      </c>
      <c r="CB58" s="451">
        <f t="shared" si="0"/>
        <v>0</v>
      </c>
      <c r="CC58" s="451">
        <f t="shared" si="0"/>
        <v>0</v>
      </c>
      <c r="CD58" s="451">
        <f t="shared" si="0"/>
        <v>0</v>
      </c>
      <c r="CE58" s="451">
        <f t="shared" si="0"/>
        <v>0</v>
      </c>
      <c r="CF58" s="451">
        <f t="shared" si="0"/>
        <v>0</v>
      </c>
      <c r="CG58" s="451">
        <f t="shared" si="0"/>
        <v>0</v>
      </c>
      <c r="CH58" s="451">
        <f t="shared" si="0"/>
        <v>0</v>
      </c>
      <c r="CI58" s="451">
        <f t="shared" si="0"/>
        <v>0</v>
      </c>
      <c r="CJ58" s="451">
        <f t="shared" si="0"/>
        <v>0</v>
      </c>
      <c r="CK58" s="451">
        <f t="shared" si="0"/>
        <v>0</v>
      </c>
      <c r="CL58" s="451">
        <f t="shared" si="0"/>
        <v>0</v>
      </c>
      <c r="CM58" s="451">
        <f t="shared" si="0"/>
        <v>0</v>
      </c>
      <c r="CN58" s="451">
        <f t="shared" si="0"/>
        <v>15</v>
      </c>
      <c r="CO58" s="451">
        <f t="shared" si="0"/>
        <v>0</v>
      </c>
      <c r="CP58" s="451">
        <f>SUM(CP39:CP57)</f>
        <v>0</v>
      </c>
      <c r="CQ58" s="451">
        <f>SUM(CQ39:CQ57)</f>
        <v>0</v>
      </c>
      <c r="CR58" s="451">
        <f>SUM(CR39:CR57)</f>
        <v>0</v>
      </c>
      <c r="CS58" s="452">
        <f>SUM(CS39:CS57)</f>
        <v>0</v>
      </c>
      <c r="CT58" s="113"/>
      <c r="CU58" s="113"/>
      <c r="CV58" s="113"/>
      <c r="CW58" s="114"/>
      <c r="CX58" s="114"/>
      <c r="CY58" s="114"/>
      <c r="CZ58" s="114"/>
      <c r="DA58" s="114"/>
      <c r="DB58" s="114"/>
      <c r="DC58" s="115"/>
    </row>
    <row r="59" spans="5:110" ht="40.5" customHeight="1" thickBot="1" x14ac:dyDescent="0.35">
      <c r="G59" s="890"/>
      <c r="H59" s="22"/>
      <c r="I59" s="22"/>
      <c r="J59" s="22"/>
      <c r="K59" s="22"/>
      <c r="L59" s="22"/>
      <c r="M59" s="22"/>
      <c r="N59" s="22"/>
      <c r="O59" s="883"/>
      <c r="P59" s="667">
        <v>4</v>
      </c>
      <c r="BK59" s="958" t="b">
        <f>AND(BM59&gt;=10,$AZ$150&gt;=10,$BA$150&gt;=10,$AZ$175&gt;=10,$BA$175&gt;=10)</f>
        <v>1</v>
      </c>
      <c r="BL59" s="873" t="str">
        <f>IF(BK59=TRUE,"O K","OVERLOAD")</f>
        <v>O K</v>
      </c>
      <c r="BM59" s="947">
        <f>+$E$20/(BO28/2)</f>
        <v>114.81975967957275</v>
      </c>
      <c r="BN59" s="116"/>
      <c r="BO59" s="62"/>
      <c r="BP59" s="63"/>
      <c r="BQ59" s="62"/>
      <c r="BR59" s="62"/>
      <c r="BS59" s="62"/>
      <c r="BT59" s="63"/>
      <c r="BU59" s="62"/>
      <c r="BV59" s="62"/>
      <c r="BW59" s="62"/>
      <c r="BX59" s="62"/>
      <c r="BY59" s="62"/>
      <c r="BZ59" s="62"/>
      <c r="CA59" s="62"/>
      <c r="CB59" s="62"/>
      <c r="CC59" s="62"/>
      <c r="CD59" s="62"/>
      <c r="CE59" s="62"/>
      <c r="CF59" s="62"/>
      <c r="CG59" s="62"/>
      <c r="CH59" s="62"/>
      <c r="CI59" s="62"/>
      <c r="CJ59" s="62"/>
      <c r="CK59" s="62"/>
      <c r="CL59" s="62"/>
      <c r="CM59" s="62"/>
      <c r="CN59" s="62"/>
      <c r="CO59" s="62"/>
      <c r="CP59" s="62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</row>
    <row r="60" spans="5:110" ht="109.5" hidden="1" customHeight="1" x14ac:dyDescent="0.25">
      <c r="E60" s="291"/>
      <c r="F60" s="291"/>
      <c r="G60" s="890"/>
      <c r="H60" s="22"/>
      <c r="I60" s="22"/>
      <c r="J60" s="22"/>
      <c r="K60" s="22"/>
      <c r="L60" s="22"/>
      <c r="M60" s="22"/>
      <c r="N60" s="22"/>
      <c r="O60" s="883"/>
      <c r="U60" s="67"/>
      <c r="AB60" s="67"/>
      <c r="AC60" s="67"/>
      <c r="AD60" s="67"/>
      <c r="AE60" s="67"/>
      <c r="BK60" s="668"/>
      <c r="BL60" s="111"/>
      <c r="BM60" s="932"/>
      <c r="BN60" s="38"/>
      <c r="BO60" s="117" t="b">
        <f>+CP202</f>
        <v>0</v>
      </c>
      <c r="BP60" s="117" t="b">
        <f>+CP203</f>
        <v>0</v>
      </c>
      <c r="BQ60" s="117" t="b">
        <f>+CP204</f>
        <v>0</v>
      </c>
      <c r="BR60" s="117" t="b">
        <f>+CP205</f>
        <v>0</v>
      </c>
      <c r="BS60" s="117" t="b">
        <f>+CP206</f>
        <v>0</v>
      </c>
      <c r="BT60" s="117" t="b">
        <f>+CP207</f>
        <v>0</v>
      </c>
      <c r="BU60" s="117" t="b">
        <f>+CP208</f>
        <v>0</v>
      </c>
      <c r="BV60" s="117" t="b">
        <f>+CP209</f>
        <v>0</v>
      </c>
      <c r="BW60" s="117" t="b">
        <f>+CP210</f>
        <v>0</v>
      </c>
      <c r="BX60" s="117" t="b">
        <f>+CP211</f>
        <v>0</v>
      </c>
      <c r="BY60" s="117" t="b">
        <f>+CP212</f>
        <v>0</v>
      </c>
      <c r="BZ60" s="117" t="b">
        <f>+CP213</f>
        <v>0</v>
      </c>
      <c r="CA60" s="117" t="b">
        <f>+CP214</f>
        <v>0</v>
      </c>
      <c r="CB60" s="117" t="b">
        <f>+CP215</f>
        <v>0</v>
      </c>
      <c r="CC60" s="117" t="b">
        <f>+CP216</f>
        <v>0</v>
      </c>
      <c r="CD60" s="117" t="b">
        <f>+CP217</f>
        <v>0</v>
      </c>
      <c r="CE60" s="117" t="b">
        <f>+CP218</f>
        <v>0</v>
      </c>
      <c r="CF60" s="117" t="b">
        <f>+CP219</f>
        <v>0</v>
      </c>
      <c r="CG60" s="117">
        <f>+CP220</f>
        <v>19</v>
      </c>
      <c r="CH60" s="117" t="b">
        <f>+CP221</f>
        <v>0</v>
      </c>
      <c r="CI60" s="117" t="b">
        <f>+CP222</f>
        <v>0</v>
      </c>
      <c r="CJ60" s="117" t="b">
        <f>+CP223</f>
        <v>0</v>
      </c>
      <c r="CK60" s="117" t="b">
        <f>+CP224</f>
        <v>0</v>
      </c>
      <c r="CL60" s="117" t="b">
        <f>+CP225</f>
        <v>0</v>
      </c>
      <c r="CM60" s="117" t="b">
        <f>+CP226</f>
        <v>0</v>
      </c>
      <c r="CN60" s="117" t="b">
        <f>+CP227</f>
        <v>0</v>
      </c>
      <c r="CO60" s="117" t="b">
        <f>+CP228</f>
        <v>0</v>
      </c>
      <c r="CP60" s="117" t="b">
        <f>+CP229</f>
        <v>0</v>
      </c>
      <c r="CQ60" s="117" t="b">
        <f>+CP230</f>
        <v>0</v>
      </c>
      <c r="CR60" s="117" t="b">
        <f>+CP231</f>
        <v>0</v>
      </c>
      <c r="CS60" s="117" t="b">
        <f>+CP232</f>
        <v>0</v>
      </c>
      <c r="CT60" s="117" t="b">
        <f>+CP233</f>
        <v>0</v>
      </c>
      <c r="CU60" s="117" t="b">
        <f>+CP234</f>
        <v>0</v>
      </c>
      <c r="CV60" s="117" t="b">
        <f>+CP235</f>
        <v>0</v>
      </c>
      <c r="CW60" s="117" t="b">
        <f>+CP236</f>
        <v>0</v>
      </c>
      <c r="CX60" s="117" t="b">
        <f>+CP237</f>
        <v>0</v>
      </c>
      <c r="CY60" s="117" t="b">
        <f>+CP238</f>
        <v>0</v>
      </c>
      <c r="CZ60" s="117" t="b">
        <f>+CP239</f>
        <v>0</v>
      </c>
      <c r="DA60" s="117" t="b">
        <f>+CP240</f>
        <v>0</v>
      </c>
      <c r="DB60" s="117" t="b">
        <f>+CP241</f>
        <v>0</v>
      </c>
      <c r="DC60" s="117" t="b">
        <f>+CP242</f>
        <v>0</v>
      </c>
    </row>
    <row r="61" spans="5:110" hidden="1" x14ac:dyDescent="0.25">
      <c r="G61" s="890"/>
      <c r="H61" s="22"/>
      <c r="I61" s="22"/>
      <c r="J61" s="22"/>
      <c r="K61" s="22"/>
      <c r="L61" s="22"/>
      <c r="M61" s="22"/>
      <c r="N61" s="22"/>
      <c r="O61" s="883"/>
      <c r="BK61" s="668"/>
      <c r="BL61" s="111"/>
      <c r="BM61" s="932"/>
      <c r="BN61" s="40"/>
      <c r="BO61" s="118" t="b">
        <f>+BO60</f>
        <v>0</v>
      </c>
      <c r="BP61" s="118" t="b">
        <f t="shared" ref="BP61:CG61" si="1">+BP60</f>
        <v>0</v>
      </c>
      <c r="BQ61" s="118" t="b">
        <f t="shared" si="1"/>
        <v>0</v>
      </c>
      <c r="BR61" s="118" t="b">
        <f t="shared" si="1"/>
        <v>0</v>
      </c>
      <c r="BS61" s="118" t="b">
        <f t="shared" si="1"/>
        <v>0</v>
      </c>
      <c r="BT61" s="118" t="b">
        <f t="shared" si="1"/>
        <v>0</v>
      </c>
      <c r="BU61" s="118" t="b">
        <f>+BU60</f>
        <v>0</v>
      </c>
      <c r="BV61" s="118" t="b">
        <f t="shared" si="1"/>
        <v>0</v>
      </c>
      <c r="BW61" s="118" t="b">
        <f t="shared" si="1"/>
        <v>0</v>
      </c>
      <c r="BX61" s="118" t="b">
        <f t="shared" si="1"/>
        <v>0</v>
      </c>
      <c r="BY61" s="118" t="b">
        <f t="shared" si="1"/>
        <v>0</v>
      </c>
      <c r="BZ61" s="118" t="b">
        <f>+BZ60</f>
        <v>0</v>
      </c>
      <c r="CA61" s="118" t="b">
        <f>+CA60</f>
        <v>0</v>
      </c>
      <c r="CB61" s="118" t="b">
        <f>+CB60</f>
        <v>0</v>
      </c>
      <c r="CC61" s="118" t="b">
        <f>+CC60</f>
        <v>0</v>
      </c>
      <c r="CD61" s="118" t="b">
        <f>+CD60</f>
        <v>0</v>
      </c>
      <c r="CE61" s="118" t="b">
        <f t="shared" si="1"/>
        <v>0</v>
      </c>
      <c r="CF61" s="118" t="b">
        <f t="shared" si="1"/>
        <v>0</v>
      </c>
      <c r="CG61" s="118">
        <f t="shared" si="1"/>
        <v>19</v>
      </c>
      <c r="CH61" s="118" t="b">
        <f>+CH60</f>
        <v>0</v>
      </c>
      <c r="CI61" s="118" t="b">
        <f>+CI60</f>
        <v>0</v>
      </c>
      <c r="CJ61" s="118" t="b">
        <f t="shared" ref="CJ61:DC61" si="2">+CJ60</f>
        <v>0</v>
      </c>
      <c r="CK61" s="118" t="b">
        <f t="shared" si="2"/>
        <v>0</v>
      </c>
      <c r="CL61" s="118" t="b">
        <f t="shared" si="2"/>
        <v>0</v>
      </c>
      <c r="CM61" s="118" t="b">
        <f t="shared" si="2"/>
        <v>0</v>
      </c>
      <c r="CN61" s="118" t="b">
        <f t="shared" si="2"/>
        <v>0</v>
      </c>
      <c r="CO61" s="118" t="b">
        <f t="shared" si="2"/>
        <v>0</v>
      </c>
      <c r="CP61" s="118" t="b">
        <f t="shared" si="2"/>
        <v>0</v>
      </c>
      <c r="CQ61" s="118" t="b">
        <f t="shared" si="2"/>
        <v>0</v>
      </c>
      <c r="CR61" s="118" t="b">
        <f t="shared" si="2"/>
        <v>0</v>
      </c>
      <c r="CS61" s="118" t="b">
        <f t="shared" si="2"/>
        <v>0</v>
      </c>
      <c r="CT61" s="118" t="b">
        <f t="shared" si="2"/>
        <v>0</v>
      </c>
      <c r="CU61" s="118" t="b">
        <f t="shared" si="2"/>
        <v>0</v>
      </c>
      <c r="CV61" s="118" t="b">
        <f t="shared" si="2"/>
        <v>0</v>
      </c>
      <c r="CW61" s="118" t="b">
        <f t="shared" si="2"/>
        <v>0</v>
      </c>
      <c r="CX61" s="118" t="b">
        <f t="shared" si="2"/>
        <v>0</v>
      </c>
      <c r="CY61" s="118" t="b">
        <f t="shared" si="2"/>
        <v>0</v>
      </c>
      <c r="CZ61" s="118" t="b">
        <f t="shared" si="2"/>
        <v>0</v>
      </c>
      <c r="DA61" s="118" t="b">
        <f t="shared" si="2"/>
        <v>0</v>
      </c>
      <c r="DB61" s="118" t="b">
        <f t="shared" si="2"/>
        <v>0</v>
      </c>
      <c r="DC61" s="118" t="b">
        <f t="shared" si="2"/>
        <v>0</v>
      </c>
    </row>
    <row r="62" spans="5:110" ht="18" customHeight="1" thickBot="1" x14ac:dyDescent="0.3">
      <c r="G62" s="890"/>
      <c r="H62" s="22"/>
      <c r="I62" s="22"/>
      <c r="J62" s="22"/>
      <c r="K62" s="22"/>
      <c r="L62" s="22"/>
      <c r="M62" s="22"/>
      <c r="N62" s="22"/>
      <c r="O62" s="883"/>
      <c r="BK62" s="668"/>
      <c r="BL62" s="111"/>
      <c r="BM62" s="932"/>
      <c r="BN62" s="40"/>
      <c r="BO62" s="118"/>
      <c r="BP62" s="118"/>
      <c r="BQ62" s="118"/>
      <c r="BR62" s="118"/>
      <c r="BS62" s="118"/>
      <c r="BT62" s="118"/>
      <c r="BU62" s="118"/>
      <c r="BV62" s="118"/>
      <c r="BW62" s="118"/>
      <c r="BX62" s="118"/>
      <c r="BY62" s="118"/>
      <c r="BZ62" s="118"/>
      <c r="CA62" s="118"/>
      <c r="CB62" s="118"/>
      <c r="CC62" s="118"/>
      <c r="CD62" s="118"/>
      <c r="CE62" s="118"/>
      <c r="CF62" s="118"/>
      <c r="CG62" s="118"/>
      <c r="CH62" s="118"/>
      <c r="CI62" s="118"/>
      <c r="CJ62" s="118"/>
      <c r="CK62" s="118"/>
      <c r="CL62" s="118"/>
      <c r="CM62" s="118"/>
      <c r="CN62" s="118"/>
      <c r="CO62" s="118"/>
      <c r="CP62" s="118"/>
      <c r="CQ62" s="118"/>
      <c r="CR62" s="118"/>
      <c r="CS62" s="118"/>
      <c r="CT62" s="118"/>
      <c r="CU62" s="118"/>
      <c r="CV62" s="118"/>
      <c r="CW62" s="118"/>
      <c r="CX62" s="118"/>
      <c r="CY62" s="118"/>
      <c r="CZ62" s="118"/>
      <c r="DA62" s="40"/>
      <c r="DB62" s="40"/>
    </row>
    <row r="63" spans="5:110" ht="40.5" customHeight="1" thickBot="1" x14ac:dyDescent="0.3">
      <c r="G63" s="890"/>
      <c r="H63" s="22"/>
      <c r="I63" s="22"/>
      <c r="J63" s="22"/>
      <c r="K63" s="22"/>
      <c r="L63" s="22"/>
      <c r="M63" s="22"/>
      <c r="N63" s="22"/>
      <c r="O63" s="883"/>
      <c r="BK63" s="668"/>
      <c r="BL63" s="111"/>
      <c r="BM63" s="876" t="s">
        <v>110</v>
      </c>
      <c r="BN63" s="119" t="s">
        <v>80</v>
      </c>
      <c r="BO63" s="446" t="str">
        <f>IF(BO61=1,20,"")</f>
        <v/>
      </c>
      <c r="BP63" s="447" t="str">
        <f>IF(BP61=2,19,"")</f>
        <v/>
      </c>
      <c r="BQ63" s="447" t="str">
        <f>IF(BQ61=3,18,"")</f>
        <v/>
      </c>
      <c r="BR63" s="447" t="str">
        <f>IF(BR61=4,17,"")</f>
        <v/>
      </c>
      <c r="BS63" s="447" t="str">
        <f>IF(BS61=5,16,"")</f>
        <v/>
      </c>
      <c r="BT63" s="447" t="str">
        <f>IF(BT61=6,15,"")</f>
        <v/>
      </c>
      <c r="BU63" s="447" t="str">
        <f>IF(BU61=7,14,"")</f>
        <v/>
      </c>
      <c r="BV63" s="447" t="str">
        <f>IF(BV61=8,13,"")</f>
        <v/>
      </c>
      <c r="BW63" s="447" t="str">
        <f>IF(BW61=9,12,"")</f>
        <v/>
      </c>
      <c r="BX63" s="447" t="str">
        <f>IF(BX61=10,11,"")</f>
        <v/>
      </c>
      <c r="BY63" s="447" t="str">
        <f>IF(BY61=11,10,"")</f>
        <v/>
      </c>
      <c r="BZ63" s="515" t="str">
        <f>IF(BZ61=12,1,"")</f>
        <v/>
      </c>
      <c r="CA63" s="445" t="str">
        <f>IF(CA61=13,2,"")</f>
        <v/>
      </c>
      <c r="CB63" s="445" t="str">
        <f>IF(CB61=14,3,"")</f>
        <v/>
      </c>
      <c r="CC63" s="445" t="str">
        <f>IF(CC61=15,4,"")</f>
        <v/>
      </c>
      <c r="CD63" s="445" t="str">
        <f>IF(CD61=16,5,"")</f>
        <v/>
      </c>
      <c r="CE63" s="445" t="str">
        <f>IF(CE61=17,6,"")</f>
        <v/>
      </c>
      <c r="CF63" s="445" t="str">
        <f>IF(CF61=18,7,"")</f>
        <v/>
      </c>
      <c r="CG63" s="445">
        <f>IF(CG61=19,8,"")</f>
        <v>8</v>
      </c>
      <c r="CH63" s="445" t="str">
        <f>IF(CH61=20,9,"")</f>
        <v/>
      </c>
      <c r="CI63" s="445" t="str">
        <f>IF(CI61=21,10,"")</f>
        <v/>
      </c>
      <c r="CJ63" s="445" t="str">
        <f>IF(CJ61=22,11,"")</f>
        <v/>
      </c>
      <c r="CK63" s="445" t="str">
        <f>IF(CK61=23,12,"")</f>
        <v/>
      </c>
      <c r="CL63" s="445" t="str">
        <f>IF(CL61=24,13,"")</f>
        <v/>
      </c>
      <c r="CM63" s="445" t="str">
        <f>IF(CM61=25,14,"")</f>
        <v/>
      </c>
      <c r="CN63" s="445" t="str">
        <f>IF(CN61=26,15,"")</f>
        <v/>
      </c>
      <c r="CO63" s="445" t="str">
        <f>IF(CO61=27,16,"")</f>
        <v/>
      </c>
      <c r="CP63" s="445" t="str">
        <f>IF(CP61=28,17,"")</f>
        <v/>
      </c>
      <c r="CQ63" s="445" t="str">
        <f>IF(CQ61=29,18,"")</f>
        <v/>
      </c>
      <c r="CR63" s="445" t="str">
        <f>IF(CR61=30,19,"")</f>
        <v/>
      </c>
      <c r="CS63" s="516" t="str">
        <f>IF(CS61=31,20,"")</f>
        <v/>
      </c>
      <c r="CT63" s="448" t="str">
        <f>IF(CT61=32,11,"")</f>
        <v/>
      </c>
      <c r="CU63" s="448" t="str">
        <f>IF(CU61=33,12,"")</f>
        <v/>
      </c>
      <c r="CV63" s="448" t="str">
        <f>IF(CV61=34,13,"")</f>
        <v/>
      </c>
      <c r="CW63" s="448" t="str">
        <f>IF(CW61=35,14,"")</f>
        <v/>
      </c>
      <c r="CX63" s="448" t="str">
        <f>IF(CX61=36,15,"")</f>
        <v/>
      </c>
      <c r="CY63" s="448" t="str">
        <f>IF(CY61=37,16,"")</f>
        <v/>
      </c>
      <c r="CZ63" s="448" t="str">
        <f>IF(CZ61=38,17,"")</f>
        <v/>
      </c>
      <c r="DA63" s="448" t="str">
        <f>IF(DA61=39,18,"")</f>
        <v/>
      </c>
      <c r="DB63" s="448" t="str">
        <f>IF(DB61=40,19,"")</f>
        <v/>
      </c>
      <c r="DC63" s="449" t="str">
        <f>IF(DC61=41,20,"")</f>
        <v/>
      </c>
    </row>
    <row r="64" spans="5:110" ht="40.5" customHeight="1" thickBot="1" x14ac:dyDescent="0.35">
      <c r="G64" s="890"/>
      <c r="H64" s="22"/>
      <c r="I64" s="22"/>
      <c r="J64" s="22"/>
      <c r="K64" s="22"/>
      <c r="L64" s="22"/>
      <c r="M64" s="22"/>
      <c r="N64" s="22"/>
      <c r="O64" s="883"/>
      <c r="P64" s="667">
        <v>5</v>
      </c>
      <c r="BK64" s="958" t="b">
        <f>AND(BM64&gt;=10,$AZ$150&gt;=10,$BA$150&gt;=10,$AZ$175&gt;=10,$BA$175&gt;=10)</f>
        <v>1</v>
      </c>
      <c r="BL64" s="45" t="str">
        <f>IF(BK64=TRUE,"O K","OVERLOAD")</f>
        <v>O K</v>
      </c>
      <c r="BM64" s="934">
        <f>IF(SUM(BO63:BY63)&gt;0,K85,0)+IF(SUM(BZ63:CS63)&gt;0,L85,0)+IF(SUM(CT63:DC63)&gt;0,M85,0)</f>
        <v>57.409879839786377</v>
      </c>
      <c r="BN64" s="779" t="s">
        <v>92</v>
      </c>
      <c r="BO64" s="780">
        <v>-10</v>
      </c>
      <c r="BP64" s="780">
        <v>-9</v>
      </c>
      <c r="BQ64" s="780">
        <v>-8</v>
      </c>
      <c r="BR64" s="780">
        <v>-7</v>
      </c>
      <c r="BS64" s="780">
        <v>-6</v>
      </c>
      <c r="BT64" s="780">
        <v>-5</v>
      </c>
      <c r="BU64" s="780">
        <v>-4</v>
      </c>
      <c r="BV64" s="780">
        <v>-3</v>
      </c>
      <c r="BW64" s="780">
        <v>-2</v>
      </c>
      <c r="BX64" s="780">
        <v>-1</v>
      </c>
      <c r="BY64" s="780">
        <v>0</v>
      </c>
      <c r="BZ64" s="780">
        <v>1</v>
      </c>
      <c r="CA64" s="780">
        <v>2</v>
      </c>
      <c r="CB64" s="780">
        <v>3</v>
      </c>
      <c r="CC64" s="780">
        <v>4</v>
      </c>
      <c r="CD64" s="780">
        <v>5</v>
      </c>
      <c r="CE64" s="780">
        <v>6</v>
      </c>
      <c r="CF64" s="780">
        <v>7</v>
      </c>
      <c r="CG64" s="780">
        <v>8</v>
      </c>
      <c r="CH64" s="780">
        <v>9</v>
      </c>
      <c r="CI64" s="780">
        <v>10</v>
      </c>
      <c r="CJ64" s="780">
        <v>11</v>
      </c>
      <c r="CK64" s="780">
        <v>12</v>
      </c>
      <c r="CL64" s="780">
        <v>13</v>
      </c>
      <c r="CM64" s="780">
        <v>14</v>
      </c>
      <c r="CN64" s="780">
        <v>15</v>
      </c>
      <c r="CO64" s="780">
        <v>16</v>
      </c>
      <c r="CP64" s="780">
        <v>17</v>
      </c>
      <c r="CQ64" s="780">
        <v>18</v>
      </c>
      <c r="CR64" s="780">
        <v>19</v>
      </c>
      <c r="CS64" s="780">
        <v>20</v>
      </c>
      <c r="CT64" s="780">
        <v>21</v>
      </c>
      <c r="CU64" s="780">
        <v>22</v>
      </c>
      <c r="CV64" s="780">
        <v>23</v>
      </c>
      <c r="CW64" s="780">
        <v>24</v>
      </c>
      <c r="CX64" s="780">
        <v>25</v>
      </c>
      <c r="CY64" s="780">
        <v>26</v>
      </c>
      <c r="CZ64" s="780">
        <v>27</v>
      </c>
      <c r="DA64" s="780">
        <v>28</v>
      </c>
      <c r="DB64" s="780">
        <v>29</v>
      </c>
      <c r="DC64" s="780">
        <v>30</v>
      </c>
    </row>
    <row r="65" spans="7:107" hidden="1" x14ac:dyDescent="0.25">
      <c r="G65" s="890"/>
      <c r="H65" s="22"/>
      <c r="I65" s="22"/>
      <c r="J65" s="22"/>
      <c r="K65" s="22"/>
      <c r="L65" s="22"/>
      <c r="M65" s="22"/>
      <c r="N65" s="22"/>
      <c r="O65" s="883"/>
      <c r="BK65" s="668"/>
      <c r="BL65" s="81"/>
      <c r="BM65" s="105"/>
      <c r="BN65" s="40"/>
      <c r="BO65" s="120">
        <v>1</v>
      </c>
      <c r="BP65" s="120">
        <v>2</v>
      </c>
      <c r="BQ65" s="120">
        <v>3</v>
      </c>
      <c r="BR65" s="120">
        <v>4</v>
      </c>
      <c r="BS65" s="120">
        <v>5</v>
      </c>
      <c r="BT65" s="120">
        <v>6</v>
      </c>
      <c r="BU65" s="120">
        <v>7</v>
      </c>
      <c r="BV65" s="120">
        <v>8</v>
      </c>
      <c r="BW65" s="120">
        <v>9</v>
      </c>
      <c r="BX65" s="120">
        <v>10</v>
      </c>
      <c r="BY65" s="120">
        <v>11</v>
      </c>
      <c r="BZ65" s="120">
        <v>12</v>
      </c>
      <c r="CA65" s="120">
        <v>13</v>
      </c>
      <c r="CB65" s="120">
        <v>14</v>
      </c>
      <c r="CC65" s="120">
        <v>15</v>
      </c>
      <c r="CD65" s="120">
        <v>16</v>
      </c>
      <c r="CE65" s="120">
        <v>17</v>
      </c>
      <c r="CF65" s="120">
        <v>18</v>
      </c>
      <c r="CG65" s="120">
        <v>19</v>
      </c>
      <c r="CH65" s="120">
        <v>20</v>
      </c>
      <c r="CI65" s="120">
        <v>21</v>
      </c>
      <c r="CJ65" s="120">
        <v>22</v>
      </c>
      <c r="CK65" s="120">
        <v>23</v>
      </c>
      <c r="CL65" s="120">
        <v>24</v>
      </c>
      <c r="CM65" s="120">
        <v>25</v>
      </c>
      <c r="CN65" s="120">
        <v>26</v>
      </c>
      <c r="CO65" s="120">
        <v>27</v>
      </c>
      <c r="CP65" s="120">
        <v>28</v>
      </c>
      <c r="CQ65" s="120">
        <v>29</v>
      </c>
      <c r="CR65" s="120">
        <v>30</v>
      </c>
      <c r="CS65" s="120">
        <v>31</v>
      </c>
      <c r="CT65" s="120">
        <v>32</v>
      </c>
      <c r="CU65" s="120">
        <v>33</v>
      </c>
      <c r="CV65" s="120">
        <v>34</v>
      </c>
      <c r="CW65" s="120">
        <v>35</v>
      </c>
      <c r="CX65" s="120">
        <v>36</v>
      </c>
      <c r="CY65" s="120">
        <v>37</v>
      </c>
      <c r="CZ65" s="120">
        <v>38</v>
      </c>
      <c r="DA65" s="120">
        <v>39</v>
      </c>
      <c r="DB65" s="120">
        <v>40</v>
      </c>
      <c r="DC65" s="120">
        <v>41</v>
      </c>
    </row>
    <row r="66" spans="7:107" hidden="1" x14ac:dyDescent="0.25">
      <c r="G66" s="890"/>
      <c r="H66" s="22"/>
      <c r="I66" s="22"/>
      <c r="J66" s="22"/>
      <c r="K66" s="22"/>
      <c r="L66" s="22"/>
      <c r="M66" s="22"/>
      <c r="N66" s="22"/>
      <c r="O66" s="883"/>
      <c r="BK66" s="668"/>
      <c r="BL66" s="81"/>
      <c r="BM66" s="105"/>
      <c r="BN66" s="40"/>
      <c r="BO66" s="120"/>
      <c r="BP66" s="120"/>
      <c r="BQ66" s="120"/>
      <c r="BR66" s="120"/>
      <c r="BS66" s="120"/>
      <c r="BT66" s="120"/>
      <c r="BU66" s="120"/>
      <c r="BV66" s="120"/>
      <c r="BW66" s="120"/>
      <c r="BX66" s="120"/>
      <c r="BY66" s="120"/>
      <c r="BZ66" s="120"/>
      <c r="CA66" s="120"/>
      <c r="CB66" s="120"/>
      <c r="CC66" s="120"/>
      <c r="CD66" s="120"/>
      <c r="CE66" s="120"/>
      <c r="CF66" s="120"/>
      <c r="CG66" s="120"/>
      <c r="CH66" s="120"/>
      <c r="CI66" s="120"/>
      <c r="CJ66" s="120"/>
      <c r="CK66" s="120"/>
      <c r="CL66" s="120"/>
      <c r="CM66" s="120"/>
      <c r="CN66" s="120"/>
      <c r="CO66" s="120"/>
      <c r="CP66" s="120"/>
      <c r="CQ66" s="120"/>
      <c r="CR66" s="120"/>
      <c r="CS66" s="120"/>
      <c r="CT66" s="120"/>
      <c r="CU66" s="120"/>
      <c r="CV66" s="120"/>
      <c r="CW66" s="120"/>
      <c r="CX66" s="120"/>
      <c r="CY66" s="120"/>
      <c r="CZ66" s="120"/>
      <c r="DA66" s="120"/>
      <c r="DB66" s="120"/>
      <c r="DC66" s="120"/>
    </row>
    <row r="67" spans="7:107" ht="48.75" hidden="1" customHeight="1" x14ac:dyDescent="0.25">
      <c r="G67" s="890"/>
      <c r="H67" s="22"/>
      <c r="I67" s="22"/>
      <c r="J67" s="22"/>
      <c r="K67" s="22"/>
      <c r="L67" s="22"/>
      <c r="M67" s="22"/>
      <c r="N67" s="22"/>
      <c r="O67" s="883"/>
      <c r="BK67" s="668"/>
      <c r="BL67" s="81"/>
      <c r="BM67" s="105"/>
      <c r="BN67" s="40"/>
      <c r="BO67" s="120"/>
      <c r="BP67" s="120"/>
      <c r="BQ67" s="120"/>
      <c r="BR67" s="120"/>
      <c r="BS67" s="120"/>
      <c r="BT67" s="120"/>
      <c r="BU67" s="120"/>
      <c r="BV67" s="120"/>
      <c r="BW67" s="120"/>
      <c r="BX67" s="120"/>
      <c r="BY67" s="120"/>
      <c r="BZ67" s="120"/>
      <c r="CA67" s="120"/>
      <c r="CB67" s="120"/>
      <c r="CC67" s="120"/>
      <c r="CD67" s="120"/>
      <c r="CE67" s="120"/>
      <c r="CF67" s="120"/>
      <c r="CG67" s="120"/>
      <c r="CH67" s="120"/>
      <c r="CI67" s="120"/>
      <c r="CJ67" s="120"/>
      <c r="CK67" s="120"/>
      <c r="CL67" s="120"/>
      <c r="CM67" s="120"/>
      <c r="CN67" s="120"/>
      <c r="CO67" s="120"/>
      <c r="CP67" s="120"/>
      <c r="CQ67" s="120"/>
      <c r="CR67" s="120"/>
      <c r="CS67" s="120"/>
      <c r="CT67" s="120"/>
      <c r="CU67" s="120"/>
      <c r="CV67" s="120"/>
      <c r="CW67" s="120"/>
      <c r="CX67" s="120"/>
      <c r="CY67" s="120"/>
      <c r="CZ67" s="120"/>
      <c r="DA67" s="120"/>
      <c r="DB67" s="120"/>
      <c r="DC67" s="120"/>
    </row>
    <row r="68" spans="7:107" hidden="1" x14ac:dyDescent="0.25">
      <c r="G68" s="890"/>
      <c r="H68" s="22"/>
      <c r="I68" s="22"/>
      <c r="J68" s="22"/>
      <c r="K68" s="22"/>
      <c r="L68" s="22"/>
      <c r="M68" s="22"/>
      <c r="N68" s="22"/>
      <c r="O68" s="883"/>
      <c r="BK68" s="668"/>
      <c r="BL68" s="81"/>
      <c r="BM68" s="105"/>
      <c r="BN68" s="40"/>
      <c r="BO68" s="120"/>
      <c r="BP68" s="120"/>
      <c r="BQ68" s="120"/>
      <c r="BR68" s="120"/>
      <c r="BS68" s="120"/>
      <c r="BT68" s="120"/>
      <c r="BU68" s="120"/>
      <c r="BV68" s="120"/>
      <c r="BW68" s="120"/>
      <c r="BX68" s="120"/>
      <c r="BY68" s="120"/>
      <c r="BZ68" s="120"/>
      <c r="CA68" s="120"/>
      <c r="CB68" s="120"/>
      <c r="CC68" s="120"/>
      <c r="CD68" s="120"/>
      <c r="CE68" s="120"/>
      <c r="CF68" s="120"/>
      <c r="CG68" s="120"/>
      <c r="CH68" s="120"/>
      <c r="CI68" s="120"/>
      <c r="CJ68" s="120"/>
      <c r="CK68" s="120"/>
      <c r="CL68" s="120"/>
      <c r="CM68" s="120"/>
      <c r="CN68" s="120"/>
      <c r="CO68" s="120"/>
      <c r="CP68" s="120"/>
      <c r="CQ68" s="120"/>
      <c r="CR68" s="120"/>
      <c r="CS68" s="120"/>
      <c r="CT68" s="120"/>
      <c r="CU68" s="120"/>
      <c r="CV68" s="120"/>
      <c r="CW68" s="120"/>
      <c r="CX68" s="120"/>
      <c r="CY68" s="120"/>
      <c r="CZ68" s="120"/>
      <c r="DA68" s="120"/>
      <c r="DB68" s="120"/>
      <c r="DC68" s="120"/>
    </row>
    <row r="69" spans="7:107" hidden="1" x14ac:dyDescent="0.25">
      <c r="G69" s="890"/>
      <c r="H69" s="22"/>
      <c r="I69" s="22"/>
      <c r="J69" s="22"/>
      <c r="K69" s="22"/>
      <c r="L69" s="22"/>
      <c r="M69" s="22"/>
      <c r="N69" s="22"/>
      <c r="O69" s="883"/>
      <c r="BK69" s="668"/>
      <c r="BL69" s="81"/>
      <c r="BM69" s="105"/>
      <c r="BN69" s="40"/>
      <c r="BO69" s="120"/>
      <c r="BP69" s="120"/>
      <c r="BQ69" s="120"/>
      <c r="BR69" s="120"/>
      <c r="BS69" s="120"/>
      <c r="BT69" s="120"/>
      <c r="BU69" s="120"/>
      <c r="BV69" s="120"/>
      <c r="BW69" s="120"/>
      <c r="BX69" s="120"/>
      <c r="BY69" s="120"/>
      <c r="BZ69" s="120"/>
      <c r="CA69" s="120"/>
      <c r="CB69" s="120"/>
      <c r="CC69" s="120"/>
      <c r="CD69" s="120"/>
      <c r="CE69" s="120"/>
      <c r="CF69" s="120"/>
      <c r="CG69" s="120"/>
      <c r="CH69" s="120"/>
      <c r="CI69" s="120"/>
      <c r="CJ69" s="120"/>
      <c r="CK69" s="120"/>
      <c r="CL69" s="120"/>
      <c r="CM69" s="120"/>
      <c r="CN69" s="120"/>
      <c r="CO69" s="120"/>
      <c r="CP69" s="120"/>
      <c r="CQ69" s="120"/>
      <c r="CR69" s="120"/>
      <c r="CS69" s="120"/>
      <c r="CT69" s="120"/>
      <c r="CU69" s="120"/>
      <c r="CV69" s="120"/>
      <c r="CW69" s="120"/>
      <c r="CX69" s="120"/>
      <c r="CY69" s="120"/>
      <c r="CZ69" s="120"/>
      <c r="DA69" s="120"/>
      <c r="DB69" s="120"/>
      <c r="DC69" s="120"/>
    </row>
    <row r="70" spans="7:107" hidden="1" x14ac:dyDescent="0.25">
      <c r="G70" s="890"/>
      <c r="H70" s="22"/>
      <c r="I70" s="22"/>
      <c r="J70" s="22"/>
      <c r="K70" s="22"/>
      <c r="L70" s="22"/>
      <c r="M70" s="22"/>
      <c r="N70" s="22"/>
      <c r="O70" s="883"/>
      <c r="BK70" s="668"/>
      <c r="BL70" s="81"/>
      <c r="BM70" s="105"/>
      <c r="BN70" s="40"/>
      <c r="BO70" s="120"/>
      <c r="BP70" s="120"/>
      <c r="BQ70" s="120"/>
      <c r="BR70" s="120"/>
      <c r="BS70" s="120"/>
      <c r="BT70" s="120"/>
      <c r="BU70" s="120"/>
      <c r="BV70" s="120"/>
      <c r="BW70" s="120"/>
      <c r="BX70" s="120"/>
      <c r="BY70" s="120"/>
      <c r="BZ70" s="120"/>
      <c r="CA70" s="120"/>
      <c r="CB70" s="120"/>
      <c r="CC70" s="120"/>
      <c r="CD70" s="120"/>
      <c r="CE70" s="120"/>
      <c r="CF70" s="120"/>
      <c r="CG70" s="120"/>
      <c r="CH70" s="120"/>
      <c r="CI70" s="120"/>
      <c r="CJ70" s="120"/>
      <c r="CK70" s="120"/>
      <c r="CL70" s="120"/>
      <c r="CM70" s="120"/>
      <c r="CN70" s="120"/>
      <c r="CO70" s="120"/>
      <c r="CP70" s="120"/>
      <c r="CQ70" s="120"/>
      <c r="CR70" s="120"/>
      <c r="CS70" s="120"/>
      <c r="CT70" s="120"/>
      <c r="CU70" s="120"/>
      <c r="CV70" s="120"/>
      <c r="CW70" s="120"/>
      <c r="CX70" s="120"/>
      <c r="CY70" s="120"/>
      <c r="CZ70" s="120"/>
      <c r="DA70" s="120"/>
      <c r="DB70" s="120"/>
      <c r="DC70" s="120"/>
    </row>
    <row r="71" spans="7:107" hidden="1" x14ac:dyDescent="0.25">
      <c r="G71" s="890"/>
      <c r="H71" s="22"/>
      <c r="I71" s="22"/>
      <c r="J71" s="22"/>
      <c r="K71" s="22"/>
      <c r="L71" s="22"/>
      <c r="M71" s="22"/>
      <c r="N71" s="22"/>
      <c r="O71" s="883"/>
      <c r="BK71" s="668"/>
      <c r="BL71" s="81"/>
      <c r="BM71" s="105"/>
      <c r="BN71" s="40"/>
      <c r="BO71" s="120"/>
      <c r="BP71" s="120"/>
      <c r="BQ71" s="120"/>
      <c r="BR71" s="120"/>
      <c r="BS71" s="120"/>
      <c r="BT71" s="120"/>
      <c r="BU71" s="120"/>
      <c r="BV71" s="120"/>
      <c r="BW71" s="120"/>
      <c r="BX71" s="120"/>
      <c r="BY71" s="120"/>
      <c r="BZ71" s="120"/>
      <c r="CA71" s="120"/>
      <c r="CB71" s="120"/>
      <c r="CC71" s="120"/>
      <c r="CD71" s="120"/>
      <c r="CE71" s="120"/>
      <c r="CF71" s="120"/>
      <c r="CG71" s="120"/>
      <c r="CH71" s="120"/>
      <c r="CI71" s="120"/>
      <c r="CJ71" s="120"/>
      <c r="CK71" s="120"/>
      <c r="CL71" s="120"/>
      <c r="CM71" s="120"/>
      <c r="CN71" s="120"/>
      <c r="CO71" s="120"/>
      <c r="CP71" s="120"/>
      <c r="CQ71" s="120"/>
      <c r="CR71" s="120"/>
      <c r="CS71" s="120"/>
      <c r="CT71" s="120"/>
      <c r="CU71" s="120"/>
      <c r="CV71" s="120"/>
      <c r="CW71" s="120"/>
      <c r="CX71" s="120"/>
      <c r="CY71" s="120"/>
      <c r="CZ71" s="120"/>
      <c r="DA71" s="120"/>
      <c r="DB71" s="120"/>
      <c r="DC71" s="120"/>
    </row>
    <row r="72" spans="7:107" hidden="1" x14ac:dyDescent="0.25">
      <c r="G72" s="890"/>
      <c r="H72" s="22"/>
      <c r="I72" s="22"/>
      <c r="J72" s="22"/>
      <c r="K72" s="22"/>
      <c r="L72" s="22"/>
      <c r="M72" s="22"/>
      <c r="N72" s="22"/>
      <c r="O72" s="883"/>
      <c r="BK72" s="668"/>
      <c r="BL72" s="81"/>
      <c r="BM72" s="105"/>
      <c r="BN72" s="40"/>
      <c r="BO72" s="120"/>
      <c r="BP72" s="120"/>
      <c r="BQ72" s="120"/>
      <c r="BR72" s="120"/>
      <c r="BS72" s="120"/>
      <c r="BT72" s="120"/>
      <c r="BU72" s="120"/>
      <c r="BV72" s="120"/>
      <c r="BW72" s="120"/>
      <c r="BX72" s="120"/>
      <c r="BY72" s="120"/>
      <c r="BZ72" s="120"/>
      <c r="CA72" s="120"/>
      <c r="CB72" s="120"/>
      <c r="CC72" s="120"/>
      <c r="CD72" s="120"/>
      <c r="CE72" s="120"/>
      <c r="CF72" s="120"/>
      <c r="CG72" s="120"/>
      <c r="CH72" s="120"/>
      <c r="CI72" s="120"/>
      <c r="CJ72" s="120"/>
      <c r="CK72" s="120"/>
      <c r="CL72" s="120"/>
      <c r="CM72" s="120"/>
      <c r="CN72" s="120"/>
      <c r="CO72" s="120"/>
      <c r="CP72" s="120"/>
      <c r="CQ72" s="120"/>
      <c r="CR72" s="120"/>
      <c r="CS72" s="120"/>
      <c r="CT72" s="120"/>
      <c r="CU72" s="120"/>
      <c r="CV72" s="120"/>
      <c r="CW72" s="120"/>
      <c r="CX72" s="120"/>
      <c r="CY72" s="120"/>
      <c r="CZ72" s="120"/>
      <c r="DA72" s="120"/>
      <c r="DB72" s="120"/>
      <c r="DC72" s="120"/>
    </row>
    <row r="73" spans="7:107" ht="26" hidden="1" thickBot="1" x14ac:dyDescent="0.3">
      <c r="G73" s="890"/>
      <c r="H73" s="22"/>
      <c r="I73" s="22"/>
      <c r="J73" s="22"/>
      <c r="K73" s="22"/>
      <c r="L73" s="22"/>
      <c r="M73" s="22"/>
      <c r="N73" s="22"/>
      <c r="O73" s="883"/>
      <c r="BK73" s="668"/>
      <c r="BL73" s="81"/>
      <c r="BM73" s="105"/>
      <c r="BN73" s="40"/>
      <c r="BO73" s="120"/>
      <c r="BP73" s="120"/>
      <c r="BQ73" s="120"/>
      <c r="BR73" s="120"/>
      <c r="BS73" s="120"/>
      <c r="BT73" s="120"/>
      <c r="BU73" s="120"/>
      <c r="BV73" s="120"/>
      <c r="BW73" s="120"/>
      <c r="BX73" s="120"/>
      <c r="BY73" s="120"/>
      <c r="BZ73" s="120"/>
      <c r="CA73" s="120"/>
      <c r="CB73" s="120"/>
      <c r="CC73" s="120"/>
      <c r="CD73" s="120"/>
      <c r="CE73" s="120"/>
      <c r="CF73" s="120"/>
      <c r="CG73" s="120"/>
      <c r="CH73" s="120"/>
      <c r="CI73" s="120"/>
      <c r="CJ73" s="120"/>
      <c r="CK73" s="120"/>
      <c r="CL73" s="120"/>
      <c r="CM73" s="120"/>
      <c r="CN73" s="120"/>
      <c r="CO73" s="120"/>
      <c r="CP73" s="120"/>
      <c r="CQ73" s="120"/>
      <c r="CR73" s="120"/>
      <c r="CS73" s="120"/>
      <c r="CT73" s="120"/>
      <c r="CU73" s="120"/>
      <c r="CV73" s="120"/>
      <c r="CW73" s="120"/>
      <c r="CX73" s="120"/>
      <c r="CY73" s="120"/>
      <c r="CZ73" s="120"/>
      <c r="DA73" s="120"/>
      <c r="DB73" s="120"/>
      <c r="DC73" s="120"/>
    </row>
    <row r="74" spans="7:107" ht="26" hidden="1" thickBot="1" x14ac:dyDescent="0.3">
      <c r="G74" s="890"/>
      <c r="H74" s="22"/>
      <c r="I74" s="22"/>
      <c r="J74" s="22"/>
      <c r="K74" s="22"/>
      <c r="L74" s="22"/>
      <c r="M74" s="22"/>
      <c r="N74" s="22"/>
      <c r="O74" s="883"/>
      <c r="BL74" s="47"/>
      <c r="BM74" s="930"/>
      <c r="BN74" s="56"/>
      <c r="BO74" s="57"/>
      <c r="BP74" s="57"/>
      <c r="BQ74" s="57"/>
      <c r="BR74" s="57"/>
      <c r="BS74" s="57"/>
      <c r="BT74" s="57"/>
      <c r="BU74" s="57"/>
      <c r="BV74" s="57"/>
      <c r="BW74" s="54"/>
      <c r="BX74" s="54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590"/>
      <c r="CJ74" s="50"/>
      <c r="CK74" s="50"/>
      <c r="CL74" s="17"/>
      <c r="CM74" s="55"/>
      <c r="CN74" s="55"/>
      <c r="CO74" s="55"/>
      <c r="CP74" s="55"/>
      <c r="CQ74" s="52"/>
      <c r="CR74" s="52"/>
      <c r="CS74" s="52"/>
      <c r="CT74" s="52"/>
      <c r="CU74" s="52"/>
      <c r="CV74" s="52"/>
      <c r="CW74" s="52"/>
      <c r="CX74" s="52"/>
      <c r="CY74" s="52"/>
      <c r="CZ74" s="52"/>
      <c r="DA74" s="4"/>
      <c r="DB74" s="40"/>
    </row>
    <row r="75" spans="7:107" ht="26" hidden="1" thickBot="1" x14ac:dyDescent="0.3">
      <c r="G75" s="890"/>
      <c r="H75" s="22"/>
      <c r="I75" s="22"/>
      <c r="J75" s="22"/>
      <c r="K75" s="22"/>
      <c r="L75" s="22"/>
      <c r="M75" s="22"/>
      <c r="N75" s="22"/>
      <c r="O75" s="883"/>
      <c r="BL75" s="47"/>
      <c r="BM75" s="930"/>
      <c r="BN75" s="56"/>
      <c r="BO75" s="57"/>
      <c r="BP75" s="57"/>
      <c r="BQ75" s="57"/>
      <c r="BR75" s="57"/>
      <c r="BS75" s="57"/>
      <c r="BT75" s="57"/>
      <c r="BU75" s="57"/>
      <c r="BV75" s="57"/>
      <c r="BW75" s="54"/>
      <c r="BX75" s="54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78"/>
      <c r="CJ75" s="50"/>
      <c r="CK75" s="50"/>
      <c r="CL75" s="17"/>
      <c r="CM75" s="55"/>
      <c r="CN75" s="55"/>
      <c r="CO75" s="55"/>
      <c r="CP75" s="55"/>
      <c r="CQ75" s="52"/>
      <c r="CR75" s="52"/>
      <c r="CS75" s="52"/>
      <c r="CT75" s="52"/>
      <c r="CU75" s="52"/>
      <c r="CV75" s="52"/>
      <c r="CW75" s="52"/>
      <c r="CX75" s="52"/>
      <c r="CY75" s="52"/>
      <c r="CZ75" s="52"/>
      <c r="DA75" s="60" t="b">
        <f>IF(DB60=40,39)</f>
        <v>0</v>
      </c>
      <c r="DB75" s="40"/>
      <c r="DC75" s="60" t="b">
        <f>IF(DB60=40,41)</f>
        <v>0</v>
      </c>
    </row>
    <row r="76" spans="7:107" ht="26" hidden="1" thickBot="1" x14ac:dyDescent="0.3">
      <c r="G76" s="890"/>
      <c r="H76" s="22"/>
      <c r="I76" s="22"/>
      <c r="J76" s="22"/>
      <c r="K76" s="22"/>
      <c r="L76" s="22"/>
      <c r="M76" s="22"/>
      <c r="N76" s="22"/>
      <c r="O76" s="883"/>
      <c r="BL76" s="47"/>
      <c r="BM76" s="930"/>
      <c r="BN76" s="56"/>
      <c r="BO76" s="57"/>
      <c r="BP76" s="57"/>
      <c r="BQ76" s="57"/>
      <c r="BR76" s="57"/>
      <c r="BS76" s="57"/>
      <c r="BT76" s="57"/>
      <c r="BU76" s="57"/>
      <c r="BV76" s="57"/>
      <c r="BW76" s="54"/>
      <c r="BX76" s="54"/>
      <c r="BY76" s="50"/>
      <c r="BZ76" s="50"/>
      <c r="CA76" s="50"/>
      <c r="CB76" s="50"/>
      <c r="CC76" s="50"/>
      <c r="CD76" s="50"/>
      <c r="CE76" s="50"/>
      <c r="CF76" s="50"/>
      <c r="CG76" s="50"/>
      <c r="CH76" s="50"/>
      <c r="CI76" s="578"/>
      <c r="CJ76" s="50"/>
      <c r="CK76" s="50"/>
      <c r="CL76" s="17"/>
      <c r="CM76" s="55"/>
      <c r="CN76" s="55"/>
      <c r="CO76" s="55"/>
      <c r="CP76" s="55"/>
      <c r="CQ76" s="52"/>
      <c r="CR76" s="52"/>
      <c r="CS76" s="52"/>
      <c r="CT76" s="52"/>
      <c r="CU76" s="52"/>
      <c r="CV76" s="52"/>
      <c r="CW76" s="52"/>
      <c r="CX76" s="52"/>
      <c r="CY76" s="60" t="b">
        <f>IF(DA60=39,37)</f>
        <v>0</v>
      </c>
      <c r="CZ76" s="52"/>
      <c r="DA76" s="4"/>
      <c r="DB76" s="40"/>
      <c r="DC76" s="60" t="b">
        <f>IF(DA60=39,41)</f>
        <v>0</v>
      </c>
    </row>
    <row r="77" spans="7:107" ht="26" hidden="1" thickBot="1" x14ac:dyDescent="0.3">
      <c r="G77" s="890"/>
      <c r="H77" s="22"/>
      <c r="I77" s="22"/>
      <c r="J77" s="22"/>
      <c r="K77" s="22"/>
      <c r="L77" s="22"/>
      <c r="M77" s="22"/>
      <c r="N77" s="22"/>
      <c r="O77" s="883"/>
      <c r="BL77" s="47"/>
      <c r="BM77" s="930"/>
      <c r="BN77" s="56"/>
      <c r="BO77" s="57"/>
      <c r="BP77" s="57"/>
      <c r="BQ77" s="57"/>
      <c r="BR77" s="57"/>
      <c r="BS77" s="57"/>
      <c r="BT77" s="57"/>
      <c r="BU77" s="57"/>
      <c r="BV77" s="57"/>
      <c r="BW77" s="54"/>
      <c r="BX77" s="54"/>
      <c r="BY77" s="50"/>
      <c r="BZ77" s="50"/>
      <c r="CA77" s="50"/>
      <c r="CB77" s="50"/>
      <c r="CC77" s="50"/>
      <c r="CD77" s="50"/>
      <c r="CE77" s="50"/>
      <c r="CF77" s="50"/>
      <c r="CG77" s="50"/>
      <c r="CH77" s="50"/>
      <c r="CI77" s="578"/>
      <c r="CJ77" s="50"/>
      <c r="CK77" s="50"/>
      <c r="CL77" s="17"/>
      <c r="CM77" s="55"/>
      <c r="CN77" s="55"/>
      <c r="CO77" s="55"/>
      <c r="CP77" s="55"/>
      <c r="CQ77" s="52"/>
      <c r="CR77" s="52"/>
      <c r="CS77" s="52"/>
      <c r="CT77" s="52"/>
      <c r="CU77" s="52"/>
      <c r="CV77" s="52"/>
      <c r="CW77" s="60" t="b">
        <f>IF(CZ60=38,35)</f>
        <v>0</v>
      </c>
      <c r="CX77" s="52"/>
      <c r="CY77" s="52"/>
      <c r="CZ77" s="52"/>
      <c r="DA77" s="4"/>
      <c r="DB77" s="40"/>
      <c r="DC77" s="60" t="b">
        <f>IF(CZ60=38,41)</f>
        <v>0</v>
      </c>
    </row>
    <row r="78" spans="7:107" ht="26" hidden="1" thickBot="1" x14ac:dyDescent="0.3">
      <c r="G78" s="890"/>
      <c r="H78" s="22"/>
      <c r="I78" s="22"/>
      <c r="J78" s="22"/>
      <c r="K78" s="22"/>
      <c r="L78" s="22"/>
      <c r="M78" s="22"/>
      <c r="N78" s="22"/>
      <c r="O78" s="883"/>
      <c r="BL78" s="47"/>
      <c r="BM78" s="930"/>
      <c r="BN78" s="56"/>
      <c r="BO78" s="57"/>
      <c r="BP78" s="57"/>
      <c r="BQ78" s="57"/>
      <c r="BR78" s="57"/>
      <c r="BS78" s="57"/>
      <c r="BT78" s="57"/>
      <c r="BU78" s="57"/>
      <c r="BV78" s="57"/>
      <c r="BW78" s="54"/>
      <c r="BX78" s="54"/>
      <c r="BY78" s="50"/>
      <c r="BZ78" s="50"/>
      <c r="CA78" s="50"/>
      <c r="CB78" s="50"/>
      <c r="CC78" s="50"/>
      <c r="CD78" s="50"/>
      <c r="CE78" s="50"/>
      <c r="CF78" s="50"/>
      <c r="CG78" s="50"/>
      <c r="CH78" s="50"/>
      <c r="CI78" s="578"/>
      <c r="CJ78" s="50"/>
      <c r="CK78" s="50"/>
      <c r="CL78" s="17"/>
      <c r="CM78" s="55"/>
      <c r="CN78" s="55"/>
      <c r="CO78" s="55"/>
      <c r="CP78" s="55"/>
      <c r="CQ78" s="52"/>
      <c r="CR78" s="52"/>
      <c r="CS78" s="52"/>
      <c r="CT78" s="52"/>
      <c r="CU78" s="60" t="b">
        <f>IF(CY60=37,33)</f>
        <v>0</v>
      </c>
      <c r="CV78" s="52"/>
      <c r="CW78" s="52"/>
      <c r="CX78" s="52"/>
      <c r="CY78" s="52"/>
      <c r="CZ78" s="52"/>
      <c r="DA78" s="4"/>
      <c r="DB78" s="40"/>
      <c r="DC78" s="60" t="b">
        <f>IF(CY60=37,41)</f>
        <v>0</v>
      </c>
    </row>
    <row r="79" spans="7:107" ht="26" hidden="1" thickBot="1" x14ac:dyDescent="0.3">
      <c r="G79" s="953"/>
      <c r="H79" s="22"/>
      <c r="I79" s="22"/>
      <c r="J79" s="22"/>
      <c r="K79" s="22"/>
      <c r="L79" s="22"/>
      <c r="M79" s="22"/>
      <c r="N79" s="22"/>
      <c r="O79" s="883"/>
      <c r="BL79" s="47"/>
      <c r="BM79" s="930"/>
      <c r="BN79" s="56">
        <v>36</v>
      </c>
      <c r="BO79" s="57"/>
      <c r="BP79" s="57"/>
      <c r="BQ79" s="57"/>
      <c r="BR79" s="57"/>
      <c r="BS79" s="57"/>
      <c r="BT79" s="57"/>
      <c r="BU79" s="57"/>
      <c r="BV79" s="57"/>
      <c r="BW79" s="54"/>
      <c r="BX79" s="54"/>
      <c r="BY79" s="50"/>
      <c r="BZ79" s="50"/>
      <c r="CA79" s="50"/>
      <c r="CB79" s="50"/>
      <c r="CC79" s="50"/>
      <c r="CD79" s="50"/>
      <c r="CE79" s="50"/>
      <c r="CF79" s="50"/>
      <c r="CG79" s="50"/>
      <c r="CH79" s="50"/>
      <c r="CI79" s="578"/>
      <c r="CJ79" s="50"/>
      <c r="CK79" s="50"/>
      <c r="CL79" s="17"/>
      <c r="CM79" s="55"/>
      <c r="CN79" s="55"/>
      <c r="CO79" s="55"/>
      <c r="CP79" s="55"/>
      <c r="CQ79" s="52"/>
      <c r="CR79" s="52"/>
      <c r="CS79" s="58" t="b">
        <f>IF(CX60=36,31)</f>
        <v>0</v>
      </c>
      <c r="CT79" s="52"/>
      <c r="CU79" s="52"/>
      <c r="CV79" s="52"/>
      <c r="CX79" s="59"/>
      <c r="CZ79" s="52"/>
      <c r="DA79" s="4"/>
      <c r="DB79" s="40"/>
      <c r="DC79" s="60" t="b">
        <f>IF(CX60=36,41)</f>
        <v>0</v>
      </c>
    </row>
    <row r="80" spans="7:107" ht="26" hidden="1" thickBot="1" x14ac:dyDescent="0.3">
      <c r="G80" s="890"/>
      <c r="H80" s="22"/>
      <c r="I80" s="22"/>
      <c r="J80" s="22"/>
      <c r="K80" s="22"/>
      <c r="L80" s="22"/>
      <c r="M80" s="22"/>
      <c r="N80" s="22"/>
      <c r="O80" s="883"/>
      <c r="BL80" s="47"/>
      <c r="BM80" s="930"/>
      <c r="BN80" s="56">
        <v>35</v>
      </c>
      <c r="BO80" s="57"/>
      <c r="BP80" s="57"/>
      <c r="BQ80" s="57"/>
      <c r="BR80" s="57"/>
      <c r="BS80" s="57"/>
      <c r="BT80" s="57"/>
      <c r="BU80" s="57"/>
      <c r="BV80" s="57"/>
      <c r="BW80" s="54"/>
      <c r="BX80" s="54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78"/>
      <c r="CJ80" s="50"/>
      <c r="CK80" s="50"/>
      <c r="CL80" s="17"/>
      <c r="CM80" s="55"/>
      <c r="CN80" s="55"/>
      <c r="CO80" s="55"/>
      <c r="CP80" s="55"/>
      <c r="CQ80" s="58" t="b">
        <f>IF(CW60=35,29)</f>
        <v>0</v>
      </c>
      <c r="CR80" s="52"/>
      <c r="CS80" s="52"/>
      <c r="CT80" s="52"/>
      <c r="CV80" s="59"/>
      <c r="CW80" s="59"/>
      <c r="CX80" s="59"/>
      <c r="CZ80" s="52"/>
      <c r="DA80" s="4"/>
      <c r="DB80" s="40"/>
      <c r="DC80" s="60" t="b">
        <f>IF(CW60=35,41)</f>
        <v>0</v>
      </c>
    </row>
    <row r="81" spans="7:107" ht="26" hidden="1" thickBot="1" x14ac:dyDescent="0.3">
      <c r="G81" s="890"/>
      <c r="H81" s="22"/>
      <c r="I81" s="22"/>
      <c r="J81" s="22"/>
      <c r="K81" s="22"/>
      <c r="L81" s="22"/>
      <c r="M81" s="22"/>
      <c r="N81" s="22"/>
      <c r="O81" s="883"/>
      <c r="BL81" s="47"/>
      <c r="BM81" s="930"/>
      <c r="BN81" s="56">
        <v>34</v>
      </c>
      <c r="BO81" s="57"/>
      <c r="BP81" s="57"/>
      <c r="BQ81" s="57"/>
      <c r="BR81" s="57"/>
      <c r="BS81" s="57"/>
      <c r="BT81" s="57"/>
      <c r="BU81" s="57"/>
      <c r="BV81" s="57"/>
      <c r="BW81" s="54"/>
      <c r="BX81" s="54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78"/>
      <c r="CJ81" s="50"/>
      <c r="CK81" s="50"/>
      <c r="CL81" s="17"/>
      <c r="CM81" s="55"/>
      <c r="CN81" s="55"/>
      <c r="CO81" s="58" t="b">
        <f>IF(CV60=34,27)</f>
        <v>0</v>
      </c>
      <c r="CP81" s="55"/>
      <c r="CQ81" s="52"/>
      <c r="CR81" s="52"/>
      <c r="CT81" s="59"/>
      <c r="CU81" s="59"/>
      <c r="CV81" s="59"/>
      <c r="CW81" s="59"/>
      <c r="CX81" s="59"/>
      <c r="CZ81" s="52"/>
      <c r="DA81" s="4"/>
      <c r="DB81" s="40"/>
      <c r="DC81" s="60" t="b">
        <f>IF(CV60=34,41)</f>
        <v>0</v>
      </c>
    </row>
    <row r="82" spans="7:107" ht="26" hidden="1" thickBot="1" x14ac:dyDescent="0.3">
      <c r="G82" s="890"/>
      <c r="H82" s="22"/>
      <c r="I82" s="22"/>
      <c r="J82" s="22"/>
      <c r="K82" s="22"/>
      <c r="L82" s="22"/>
      <c r="M82" s="22"/>
      <c r="N82" s="22"/>
      <c r="O82" s="883"/>
      <c r="BL82" s="47"/>
      <c r="BM82" s="930"/>
      <c r="BN82" s="56">
        <v>33</v>
      </c>
      <c r="BO82" s="57"/>
      <c r="BP82" s="57"/>
      <c r="BQ82" s="57"/>
      <c r="BR82" s="57"/>
      <c r="BS82" s="57"/>
      <c r="BT82" s="57"/>
      <c r="BU82" s="57"/>
      <c r="BV82" s="57"/>
      <c r="BW82" s="54"/>
      <c r="BX82" s="54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78"/>
      <c r="CJ82" s="50"/>
      <c r="CK82" s="50"/>
      <c r="CL82" s="17"/>
      <c r="CM82" s="58" t="b">
        <f>IF(CU60=33,25)</f>
        <v>0</v>
      </c>
      <c r="CN82" s="55"/>
      <c r="CO82" s="55"/>
      <c r="CP82" s="55"/>
      <c r="CR82" s="59"/>
      <c r="CS82" s="59"/>
      <c r="CT82" s="59"/>
      <c r="CU82" s="59"/>
      <c r="CV82" s="59"/>
      <c r="CW82" s="59"/>
      <c r="CX82" s="59"/>
      <c r="CZ82" s="52"/>
      <c r="DA82" s="4"/>
      <c r="DB82" s="40"/>
      <c r="DC82" s="60" t="b">
        <f>IF(CU60=33,41)</f>
        <v>0</v>
      </c>
    </row>
    <row r="83" spans="7:107" ht="26" hidden="1" thickBot="1" x14ac:dyDescent="0.3">
      <c r="G83" s="890"/>
      <c r="H83" s="22"/>
      <c r="I83" s="22"/>
      <c r="J83" s="22"/>
      <c r="K83" s="835">
        <v>5</v>
      </c>
      <c r="L83" s="22"/>
      <c r="M83" s="835">
        <v>51</v>
      </c>
      <c r="N83" s="22"/>
      <c r="O83" s="883"/>
      <c r="BL83" s="47"/>
      <c r="BM83" s="105"/>
      <c r="BN83" s="56">
        <v>32</v>
      </c>
      <c r="BO83" s="62"/>
      <c r="BP83" s="62"/>
      <c r="BQ83" s="62"/>
      <c r="BR83" s="62"/>
      <c r="BS83" s="62"/>
      <c r="BT83" s="63"/>
      <c r="BU83" s="62"/>
      <c r="BV83" s="62"/>
      <c r="BW83" s="62"/>
      <c r="BX83" s="62"/>
      <c r="BY83" s="62"/>
      <c r="BZ83" s="62"/>
      <c r="CA83" s="62"/>
      <c r="CB83" s="62"/>
      <c r="CC83" s="62"/>
      <c r="CD83" s="62"/>
      <c r="CE83" s="62"/>
      <c r="CF83" s="62"/>
      <c r="CG83" s="62"/>
      <c r="CH83" s="62"/>
      <c r="CI83" s="579"/>
      <c r="CJ83" s="62"/>
      <c r="CK83" s="58" t="b">
        <f>IF(CT60=32,23)</f>
        <v>0</v>
      </c>
      <c r="CL83" s="63"/>
      <c r="CM83" s="40"/>
      <c r="CN83" s="40"/>
      <c r="CP83" s="64"/>
      <c r="CQ83" s="64"/>
      <c r="CR83" s="64"/>
      <c r="CS83" s="64"/>
      <c r="CT83" s="64"/>
      <c r="CU83" s="64"/>
      <c r="CV83" s="64"/>
      <c r="CW83" s="64"/>
      <c r="CX83" s="64"/>
      <c r="CZ83" s="40"/>
      <c r="DA83" s="40"/>
      <c r="DC83" s="60" t="b">
        <f>IF(CT60=32,41)</f>
        <v>0</v>
      </c>
    </row>
    <row r="84" spans="7:107" ht="65" hidden="1" thickBot="1" x14ac:dyDescent="0.3">
      <c r="G84" s="890"/>
      <c r="H84" s="22"/>
      <c r="I84" s="22"/>
      <c r="J84" s="22"/>
      <c r="K84" s="954" t="s">
        <v>220</v>
      </c>
      <c r="L84" s="954" t="s">
        <v>221</v>
      </c>
      <c r="M84" s="954" t="s">
        <v>222</v>
      </c>
      <c r="N84" s="22"/>
      <c r="O84" s="883"/>
      <c r="BL84" s="47"/>
      <c r="BM84" s="105"/>
      <c r="BN84" s="56">
        <v>31</v>
      </c>
      <c r="BO84" s="62"/>
      <c r="BP84" s="62"/>
      <c r="BQ84" s="62"/>
      <c r="BR84" s="62"/>
      <c r="BS84" s="62"/>
      <c r="BT84" s="63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2"/>
      <c r="CG84" s="62"/>
      <c r="CH84" s="62"/>
      <c r="CI84" s="579"/>
      <c r="CJ84" s="58" t="b">
        <f>IF(CS60=31,22)</f>
        <v>0</v>
      </c>
      <c r="CK84" s="62"/>
      <c r="CL84" s="63"/>
      <c r="CN84" s="64"/>
      <c r="CO84" s="64"/>
      <c r="CP84" s="64"/>
      <c r="CQ84" s="64"/>
      <c r="CR84" s="64"/>
      <c r="CS84" s="64"/>
      <c r="CT84" s="64"/>
      <c r="CU84" s="64"/>
      <c r="CV84" s="64"/>
      <c r="CW84" s="64"/>
      <c r="CX84" s="64"/>
      <c r="CZ84" s="40"/>
      <c r="DA84" s="40"/>
      <c r="DB84" s="60" t="b">
        <f>IF(CS60=31,40)</f>
        <v>0</v>
      </c>
    </row>
    <row r="85" spans="7:107" ht="38.25" hidden="1" customHeight="1" thickBot="1" x14ac:dyDescent="0.3">
      <c r="G85" s="890"/>
      <c r="H85" s="22"/>
      <c r="I85" s="22"/>
      <c r="J85" s="897" t="s">
        <v>192</v>
      </c>
      <c r="K85" s="955">
        <f>+MIN(J19:K20)</f>
        <v>57.409879839786377</v>
      </c>
      <c r="L85" s="956">
        <f>+$E$20/(BO28)</f>
        <v>57.409879839786377</v>
      </c>
      <c r="M85" s="956">
        <f>+MIN(K25:L26)</f>
        <v>47.945438291727797</v>
      </c>
      <c r="N85" s="22"/>
      <c r="O85" s="883"/>
      <c r="BL85" s="47"/>
      <c r="BM85" s="105"/>
      <c r="BN85" s="56">
        <v>30</v>
      </c>
      <c r="BO85" s="62"/>
      <c r="BP85" s="62"/>
      <c r="BQ85" s="62"/>
      <c r="BR85" s="62"/>
      <c r="BS85" s="62"/>
      <c r="BT85" s="63"/>
      <c r="BU85" s="62"/>
      <c r="BV85" s="62"/>
      <c r="BW85" s="62"/>
      <c r="BX85" s="62"/>
      <c r="BY85" s="62"/>
      <c r="BZ85" s="62"/>
      <c r="CA85" s="62"/>
      <c r="CB85" s="62"/>
      <c r="CC85" s="62"/>
      <c r="CD85" s="62"/>
      <c r="CE85" s="62"/>
      <c r="CF85" s="62"/>
      <c r="CG85" s="62"/>
      <c r="CH85" s="62"/>
      <c r="CI85" s="579"/>
      <c r="CJ85" s="58" t="b">
        <f>IF(CR60=30,22)</f>
        <v>0</v>
      </c>
      <c r="CL85" s="65"/>
      <c r="CM85" s="64"/>
      <c r="CN85" s="64"/>
      <c r="CO85" s="64"/>
      <c r="CP85" s="64"/>
      <c r="CQ85" s="64"/>
      <c r="CR85" s="64"/>
      <c r="CS85" s="64"/>
      <c r="CT85" s="64"/>
      <c r="CU85" s="64"/>
      <c r="CV85" s="64"/>
      <c r="CW85" s="64"/>
      <c r="CX85" s="64"/>
      <c r="CZ85" s="60" t="b">
        <f>IF(CR60=30,38)</f>
        <v>0</v>
      </c>
      <c r="DA85" s="40"/>
      <c r="DB85" s="40"/>
    </row>
    <row r="86" spans="7:107" ht="26" hidden="1" thickBot="1" x14ac:dyDescent="0.3">
      <c r="G86" s="890"/>
      <c r="H86" s="22"/>
      <c r="I86" s="814">
        <v>6</v>
      </c>
      <c r="J86" s="814">
        <v>61</v>
      </c>
      <c r="K86" s="814">
        <v>62</v>
      </c>
      <c r="L86" s="814">
        <v>63</v>
      </c>
      <c r="M86" s="835">
        <v>64</v>
      </c>
      <c r="N86" s="22"/>
      <c r="O86" s="883"/>
      <c r="BL86" s="47"/>
      <c r="BM86" s="929"/>
      <c r="BN86" s="56">
        <v>29</v>
      </c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  <c r="CJ86" s="580" t="b">
        <f>IF(CQ60=29,22)</f>
        <v>0</v>
      </c>
      <c r="CK86" s="64"/>
      <c r="CL86" s="64"/>
      <c r="CM86" s="64"/>
      <c r="CN86" s="64"/>
      <c r="CO86" s="64"/>
      <c r="CP86" s="69"/>
      <c r="CQ86" s="64"/>
      <c r="CR86" s="69"/>
      <c r="CS86" s="70"/>
      <c r="CT86" s="70"/>
      <c r="CU86" s="70"/>
      <c r="CV86" s="70"/>
      <c r="CW86" s="70"/>
      <c r="CX86" s="60" t="b">
        <f>IF(CQ60=29,36)</f>
        <v>0</v>
      </c>
      <c r="CZ86" s="38"/>
      <c r="DA86" s="40"/>
      <c r="DB86" s="40"/>
    </row>
    <row r="87" spans="7:107" ht="26" hidden="1" thickBot="1" x14ac:dyDescent="0.3">
      <c r="G87" s="890"/>
      <c r="H87" s="22"/>
      <c r="I87" s="22"/>
      <c r="J87" s="22"/>
      <c r="K87" s="22"/>
      <c r="L87" s="22"/>
      <c r="M87" s="22"/>
      <c r="N87" s="22"/>
      <c r="O87" s="883"/>
      <c r="BL87" s="47"/>
      <c r="BM87" s="929"/>
      <c r="BN87" s="56">
        <v>28</v>
      </c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40"/>
      <c r="CG87" s="40"/>
      <c r="CH87" s="40"/>
      <c r="CJ87" s="581" t="b">
        <f>IF(CP60=28,22)</f>
        <v>0</v>
      </c>
      <c r="CK87" s="72"/>
      <c r="CL87" s="72"/>
      <c r="CM87" s="72"/>
      <c r="CN87" s="73"/>
      <c r="CO87" s="72"/>
      <c r="CP87" s="72"/>
      <c r="CQ87" s="72"/>
      <c r="CR87" s="73"/>
      <c r="CS87" s="74"/>
      <c r="CT87" s="74"/>
      <c r="CU87" s="74"/>
      <c r="CV87" s="75" t="b">
        <f>IF(CP60=28,34)</f>
        <v>0</v>
      </c>
      <c r="CX87" s="38"/>
      <c r="CY87" s="38"/>
      <c r="CZ87" s="38"/>
      <c r="DA87" s="40"/>
      <c r="DB87" s="40"/>
    </row>
    <row r="88" spans="7:107" ht="26" hidden="1" thickBot="1" x14ac:dyDescent="0.3">
      <c r="G88" s="890"/>
      <c r="H88" s="22"/>
      <c r="I88" s="22"/>
      <c r="J88" s="22"/>
      <c r="K88" s="22"/>
      <c r="L88" s="22"/>
      <c r="M88" s="22"/>
      <c r="N88" s="22"/>
      <c r="O88" s="883"/>
      <c r="BL88" s="47"/>
      <c r="BM88" s="929"/>
      <c r="BN88" s="56">
        <v>27</v>
      </c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581" t="b">
        <f>IF(CO60=27,13)</f>
        <v>0</v>
      </c>
      <c r="CB88" s="40"/>
      <c r="CC88" s="40"/>
      <c r="CD88" s="40"/>
      <c r="CE88" s="40"/>
      <c r="CF88" s="40"/>
      <c r="CG88" s="40"/>
      <c r="CH88" s="40"/>
      <c r="CJ88" s="72"/>
      <c r="CK88" s="72"/>
      <c r="CL88" s="73"/>
      <c r="CM88" s="72"/>
      <c r="CN88" s="72"/>
      <c r="CO88" s="72"/>
      <c r="CP88" s="72"/>
      <c r="CQ88" s="72"/>
      <c r="CR88" s="73"/>
      <c r="CS88" s="74"/>
      <c r="CT88" s="74"/>
      <c r="CV88" s="38"/>
      <c r="CW88" s="38"/>
      <c r="CX88" s="38"/>
      <c r="CY88" s="38"/>
      <c r="CZ88" s="38"/>
      <c r="DA88" s="40"/>
      <c r="DB88" s="75" t="b">
        <f>IF(CO60=27,40)</f>
        <v>0</v>
      </c>
    </row>
    <row r="89" spans="7:107" ht="26" hidden="1" thickBot="1" x14ac:dyDescent="0.3">
      <c r="G89" s="890"/>
      <c r="H89" s="22"/>
      <c r="I89" s="22"/>
      <c r="J89" s="22"/>
      <c r="K89" s="22"/>
      <c r="L89" s="22"/>
      <c r="M89" s="22"/>
      <c r="N89" s="22"/>
      <c r="O89" s="883"/>
      <c r="BL89" s="47"/>
      <c r="BM89" s="105"/>
      <c r="BN89" s="56">
        <v>26</v>
      </c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581" t="b">
        <f>IF(CN60=26,13)</f>
        <v>0</v>
      </c>
      <c r="CB89" s="40"/>
      <c r="CC89" s="40"/>
      <c r="CD89" s="40"/>
      <c r="CE89" s="40"/>
      <c r="CF89" s="40"/>
      <c r="CG89" s="40"/>
      <c r="CH89" s="40"/>
      <c r="CJ89" s="73"/>
      <c r="CK89" s="72"/>
      <c r="CL89" s="72"/>
      <c r="CM89" s="72"/>
      <c r="CN89" s="72"/>
      <c r="CO89" s="72"/>
      <c r="CP89" s="72"/>
      <c r="CQ89" s="72"/>
      <c r="CR89" s="73"/>
      <c r="CT89" s="38"/>
      <c r="CU89" s="38"/>
      <c r="CV89" s="38"/>
      <c r="CW89" s="38"/>
      <c r="CX89" s="38"/>
      <c r="CY89" s="38"/>
      <c r="CZ89" s="75" t="b">
        <f>IF(CN60=26,38)</f>
        <v>0</v>
      </c>
      <c r="DA89" s="40"/>
      <c r="DB89" s="40"/>
    </row>
    <row r="90" spans="7:107" ht="26" hidden="1" thickBot="1" x14ac:dyDescent="0.3">
      <c r="G90" s="890"/>
      <c r="H90" s="22"/>
      <c r="I90" s="22"/>
      <c r="J90" s="22"/>
      <c r="K90" s="22"/>
      <c r="L90" s="22"/>
      <c r="M90" s="22"/>
      <c r="N90" s="22"/>
      <c r="O90" s="883"/>
      <c r="BL90" s="47"/>
      <c r="BM90" s="38"/>
      <c r="BN90" s="56">
        <v>25</v>
      </c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CA90" s="581" t="b">
        <f>IF(CM60=25,13)</f>
        <v>0</v>
      </c>
      <c r="CB90" s="40"/>
      <c r="CC90" s="40"/>
      <c r="CD90" s="40"/>
      <c r="CE90" s="40"/>
      <c r="CF90" s="40"/>
      <c r="CG90" s="40"/>
      <c r="CJ90" s="72"/>
      <c r="CK90" s="72"/>
      <c r="CL90" s="72"/>
      <c r="CM90" s="72"/>
      <c r="CN90" s="72"/>
      <c r="CO90" s="72"/>
      <c r="CP90" s="72"/>
      <c r="CS90" s="38"/>
      <c r="CT90" s="38"/>
      <c r="CU90" s="38"/>
      <c r="CV90" s="38"/>
      <c r="CW90" s="38"/>
      <c r="CX90" s="75" t="b">
        <f>IF(CM60=25,36)</f>
        <v>0</v>
      </c>
      <c r="CY90" s="38"/>
      <c r="CZ90" s="38"/>
      <c r="DA90" s="40"/>
      <c r="DB90" s="40"/>
    </row>
    <row r="91" spans="7:107" ht="26" hidden="1" thickBot="1" x14ac:dyDescent="0.3">
      <c r="G91" s="890"/>
      <c r="H91" s="22"/>
      <c r="I91" s="22"/>
      <c r="J91" s="22"/>
      <c r="K91" s="22"/>
      <c r="L91" s="22"/>
      <c r="M91" s="22"/>
      <c r="N91" s="22"/>
      <c r="O91" s="883"/>
      <c r="BL91" s="47"/>
      <c r="BM91" s="38"/>
      <c r="BN91" s="56">
        <v>24</v>
      </c>
      <c r="BO91" s="40"/>
      <c r="BP91" s="40"/>
      <c r="BQ91" s="40"/>
      <c r="BR91" s="40"/>
      <c r="BS91" s="40"/>
      <c r="BT91" s="40"/>
      <c r="BU91" s="40"/>
      <c r="BV91" s="40"/>
      <c r="BW91" s="40"/>
      <c r="BX91" s="40"/>
      <c r="BY91" s="40"/>
      <c r="CA91" s="68" t="b">
        <f>IF(CL60=24,13)</f>
        <v>0</v>
      </c>
      <c r="CB91" s="64"/>
      <c r="CC91" s="64"/>
      <c r="CD91" s="64"/>
      <c r="CE91" s="64"/>
      <c r="CF91" s="256"/>
      <c r="CG91" s="575"/>
      <c r="CH91" s="575"/>
      <c r="CI91" s="582"/>
      <c r="CJ91" s="64"/>
      <c r="CK91" s="64"/>
      <c r="CL91" s="64"/>
      <c r="CM91" s="64"/>
      <c r="CN91" s="64"/>
      <c r="CO91" s="64"/>
      <c r="CP91" s="64"/>
      <c r="CQ91" s="64"/>
      <c r="CR91" s="69"/>
      <c r="CS91" s="70"/>
      <c r="CT91" s="70"/>
      <c r="CU91" s="70"/>
      <c r="CV91" s="60" t="b">
        <f>IF(CL60=24,34)</f>
        <v>0</v>
      </c>
      <c r="CW91" s="70"/>
      <c r="CY91" s="38"/>
      <c r="CZ91" s="38"/>
      <c r="DA91" s="40"/>
      <c r="DB91" s="40"/>
    </row>
    <row r="92" spans="7:107" ht="26" hidden="1" thickBot="1" x14ac:dyDescent="0.3">
      <c r="G92" s="890"/>
      <c r="H92" s="22"/>
      <c r="I92" s="22"/>
      <c r="J92" s="22"/>
      <c r="K92" s="22"/>
      <c r="L92" s="22"/>
      <c r="M92" s="22"/>
      <c r="N92" s="22"/>
      <c r="O92" s="883"/>
      <c r="BL92" s="47"/>
      <c r="BM92" s="38"/>
      <c r="BN92" s="56">
        <v>23</v>
      </c>
      <c r="BO92" s="40"/>
      <c r="BP92" s="40"/>
      <c r="BQ92" s="40"/>
      <c r="BR92" s="40"/>
      <c r="BS92" s="40"/>
      <c r="BT92" s="40"/>
      <c r="BU92" s="40"/>
      <c r="BV92" s="40"/>
      <c r="BW92" s="40"/>
      <c r="BX92" s="40"/>
      <c r="BY92" s="40"/>
      <c r="CA92" s="71" t="b">
        <f>IF(CK60=23,13)</f>
        <v>0</v>
      </c>
      <c r="CB92" s="72"/>
      <c r="CC92" s="72"/>
      <c r="CD92" s="73"/>
      <c r="CE92" s="72"/>
      <c r="CF92" s="575"/>
      <c r="CG92" s="575"/>
      <c r="CH92" s="575"/>
      <c r="CI92" s="583"/>
      <c r="CJ92" s="72"/>
      <c r="CK92" s="72"/>
      <c r="CL92" s="72"/>
      <c r="CM92" s="72"/>
      <c r="CN92" s="72"/>
      <c r="CO92" s="72"/>
      <c r="CP92" s="72"/>
      <c r="CQ92" s="72"/>
      <c r="CR92" s="73"/>
      <c r="CS92" s="74"/>
      <c r="CT92" s="75" t="b">
        <f>IF(CK60=23,32)</f>
        <v>0</v>
      </c>
      <c r="CU92" s="74"/>
      <c r="CW92" s="38"/>
      <c r="CX92" s="38"/>
      <c r="CY92" s="38"/>
      <c r="CZ92" s="38"/>
      <c r="DA92" s="40"/>
      <c r="DB92" s="40"/>
    </row>
    <row r="93" spans="7:107" ht="26" hidden="1" thickBot="1" x14ac:dyDescent="0.3">
      <c r="G93" s="890"/>
      <c r="H93" s="22"/>
      <c r="I93" s="22"/>
      <c r="J93" s="22"/>
      <c r="K93" s="22"/>
      <c r="L93" s="22"/>
      <c r="M93" s="22"/>
      <c r="N93" s="22"/>
      <c r="O93" s="883"/>
      <c r="BL93" s="47"/>
      <c r="BM93" s="38"/>
      <c r="BN93" s="56">
        <v>22</v>
      </c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CA93" s="71" t="b">
        <f>IF(CJ60=22,13)</f>
        <v>0</v>
      </c>
      <c r="CB93" s="74"/>
      <c r="CC93" s="74"/>
      <c r="CD93" s="73"/>
      <c r="CE93" s="74"/>
      <c r="CF93" s="95"/>
      <c r="CG93" s="95"/>
      <c r="CH93" s="95"/>
      <c r="CI93" s="581"/>
      <c r="CJ93" s="74"/>
      <c r="CK93" s="74"/>
      <c r="CL93" s="74"/>
      <c r="CM93" s="72"/>
      <c r="CN93" s="72"/>
      <c r="CO93" s="73"/>
      <c r="CP93" s="72"/>
      <c r="CQ93" s="72"/>
      <c r="CR93" s="75" t="b">
        <f>IF(CJ60=22,30)</f>
        <v>0</v>
      </c>
      <c r="CS93" s="72"/>
      <c r="CU93" s="40"/>
      <c r="CV93" s="40"/>
      <c r="CW93" s="40"/>
      <c r="CX93" s="40"/>
      <c r="CY93" s="40"/>
      <c r="CZ93" s="40"/>
      <c r="DA93" s="40"/>
      <c r="DB93" s="40"/>
    </row>
    <row r="94" spans="7:107" ht="26" hidden="1" thickBot="1" x14ac:dyDescent="0.3">
      <c r="G94" s="890"/>
      <c r="H94" s="22"/>
      <c r="I94" s="22"/>
      <c r="J94" s="22"/>
      <c r="K94" s="22"/>
      <c r="L94" s="22"/>
      <c r="M94" s="22"/>
      <c r="N94" s="22"/>
      <c r="O94" s="883"/>
      <c r="BL94" s="47"/>
      <c r="BM94" s="38"/>
      <c r="BN94" s="56">
        <v>21</v>
      </c>
      <c r="BO94" s="40"/>
      <c r="BP94" s="40"/>
      <c r="BQ94" s="40"/>
      <c r="BR94" s="40"/>
      <c r="BS94" s="40"/>
      <c r="BT94" s="40"/>
      <c r="BU94" s="40"/>
      <c r="BV94" s="40"/>
      <c r="BW94" s="40"/>
      <c r="BX94" s="40"/>
      <c r="BY94" s="40"/>
      <c r="CA94" s="71" t="b">
        <f>IF(CI60=21,13)</f>
        <v>0</v>
      </c>
      <c r="CB94" s="72"/>
      <c r="CC94" s="72"/>
      <c r="CD94" s="72"/>
      <c r="CE94" s="72"/>
      <c r="CF94" s="575"/>
      <c r="CG94" s="575"/>
      <c r="CH94" s="575"/>
      <c r="CI94" s="583"/>
      <c r="CJ94" s="72"/>
      <c r="CK94" s="72"/>
      <c r="CL94" s="72"/>
      <c r="CM94" s="72"/>
      <c r="CN94" s="72"/>
      <c r="CO94" s="72"/>
      <c r="CP94" s="72"/>
      <c r="CQ94" s="75" t="b">
        <f>IF(CI60=21,29)</f>
        <v>0</v>
      </c>
      <c r="CS94" s="38"/>
      <c r="CT94" s="38"/>
      <c r="CU94" s="38"/>
      <c r="CV94" s="38"/>
      <c r="CW94" s="38"/>
      <c r="CX94" s="38"/>
      <c r="CY94" s="38"/>
      <c r="CZ94" s="38"/>
      <c r="DA94" s="40"/>
      <c r="DB94" s="40"/>
    </row>
    <row r="95" spans="7:107" ht="26" hidden="1" thickBot="1" x14ac:dyDescent="0.3">
      <c r="G95" s="890"/>
      <c r="H95" s="22"/>
      <c r="I95" s="22"/>
      <c r="J95" s="22"/>
      <c r="K95" s="22"/>
      <c r="L95" s="22"/>
      <c r="M95" s="22"/>
      <c r="N95" s="22"/>
      <c r="O95" s="883"/>
      <c r="BL95" s="47"/>
      <c r="BM95" s="932"/>
      <c r="BN95" s="56">
        <v>20</v>
      </c>
      <c r="BO95" s="40"/>
      <c r="BP95" s="40"/>
      <c r="BQ95" s="40"/>
      <c r="BR95" s="40"/>
      <c r="BS95" s="40"/>
      <c r="BT95" s="40"/>
      <c r="BU95" s="40"/>
      <c r="BV95" s="40"/>
      <c r="BY95" s="82"/>
      <c r="BZ95" s="68" t="b">
        <f>IF(CH60=20,12)</f>
        <v>0</v>
      </c>
      <c r="CA95" s="64"/>
      <c r="CB95" s="64"/>
      <c r="CC95" s="64"/>
      <c r="CD95" s="64"/>
      <c r="CE95" s="64"/>
      <c r="CF95" s="575"/>
      <c r="CG95" s="575"/>
      <c r="CH95" s="575"/>
      <c r="CI95" s="582"/>
      <c r="CJ95" s="64"/>
      <c r="CK95" s="64"/>
      <c r="CL95" s="64"/>
      <c r="CM95" s="64"/>
      <c r="CN95" s="64"/>
      <c r="CO95" s="64"/>
      <c r="CQ95" s="60" t="b">
        <f>IF(CH60=20,29)</f>
        <v>0</v>
      </c>
      <c r="CS95" s="38"/>
      <c r="CT95" s="38"/>
      <c r="CU95" s="38"/>
      <c r="CV95" s="38"/>
      <c r="CW95" s="38"/>
      <c r="CX95" s="38"/>
      <c r="CY95" s="38"/>
      <c r="CZ95" s="38"/>
      <c r="DA95" s="40"/>
      <c r="DB95" s="40"/>
    </row>
    <row r="96" spans="7:107" ht="26" hidden="1" thickBot="1" x14ac:dyDescent="0.3">
      <c r="G96" s="890"/>
      <c r="H96" s="22"/>
      <c r="I96" s="22"/>
      <c r="J96" s="22"/>
      <c r="K96" s="22"/>
      <c r="L96" s="22"/>
      <c r="M96" s="22"/>
      <c r="N96" s="22"/>
      <c r="O96" s="883"/>
      <c r="BL96" s="47"/>
      <c r="BM96" s="932"/>
      <c r="BN96" s="56">
        <v>19</v>
      </c>
      <c r="BO96" s="40"/>
      <c r="BP96" s="40"/>
      <c r="BQ96" s="40"/>
      <c r="BR96" s="40"/>
      <c r="BS96" s="40"/>
      <c r="BT96" s="40"/>
      <c r="BU96" s="40"/>
      <c r="BV96" s="40"/>
      <c r="BX96" s="68">
        <f>IF(CG60=19,10)</f>
        <v>10</v>
      </c>
      <c r="BY96" s="83"/>
      <c r="CA96" s="70"/>
      <c r="CB96" s="70"/>
      <c r="CC96" s="69"/>
      <c r="CD96" s="70"/>
      <c r="CE96" s="70"/>
      <c r="CF96" s="95"/>
      <c r="CG96" s="95"/>
      <c r="CH96" s="95"/>
      <c r="CI96" s="584"/>
      <c r="CJ96" s="70"/>
      <c r="CK96" s="70"/>
      <c r="CL96" s="70"/>
      <c r="CM96" s="64"/>
      <c r="CO96" s="84"/>
      <c r="CP96" s="82"/>
      <c r="CQ96" s="60">
        <f>IF(CG60=19,29)</f>
        <v>29</v>
      </c>
      <c r="CR96" s="40"/>
      <c r="CS96" s="40"/>
      <c r="CT96" s="40"/>
      <c r="CU96" s="40"/>
      <c r="CV96" s="40"/>
      <c r="CW96" s="40"/>
      <c r="CX96" s="40"/>
      <c r="CY96" s="40"/>
      <c r="CZ96" s="40"/>
      <c r="DA96" s="40"/>
      <c r="DB96" s="40"/>
    </row>
    <row r="97" spans="2:106" ht="26" hidden="1" thickBot="1" x14ac:dyDescent="0.3">
      <c r="G97" s="890"/>
      <c r="H97" s="22"/>
      <c r="I97" s="22"/>
      <c r="J97" s="22"/>
      <c r="K97" s="22"/>
      <c r="L97" s="22"/>
      <c r="M97" s="22"/>
      <c r="N97" s="22"/>
      <c r="O97" s="883"/>
      <c r="BL97" s="47"/>
      <c r="BM97" s="932"/>
      <c r="BN97" s="56">
        <v>18</v>
      </c>
      <c r="BO97" s="38"/>
      <c r="BP97" s="38"/>
      <c r="BQ97" s="38"/>
      <c r="BR97" s="38"/>
      <c r="BS97" s="38"/>
      <c r="BT97" s="38"/>
      <c r="BU97" s="38"/>
      <c r="BV97" s="68" t="b">
        <f>IF(CF60=18,8)</f>
        <v>0</v>
      </c>
      <c r="BY97" s="70"/>
      <c r="BZ97" s="70"/>
      <c r="CA97" s="70"/>
      <c r="CB97" s="70"/>
      <c r="CC97" s="69"/>
      <c r="CD97" s="70"/>
      <c r="CE97" s="70"/>
      <c r="CF97" s="95"/>
      <c r="CG97" s="95"/>
      <c r="CH97" s="95"/>
      <c r="CI97" s="584"/>
      <c r="CJ97" s="70"/>
      <c r="CK97" s="70"/>
      <c r="CL97" s="70"/>
      <c r="CM97" s="64"/>
      <c r="CP97" s="40"/>
      <c r="CQ97" s="60" t="b">
        <f>IF(CF60=18,29)</f>
        <v>0</v>
      </c>
      <c r="CR97" s="40"/>
      <c r="CS97" s="40"/>
      <c r="CT97" s="40"/>
      <c r="CU97" s="40"/>
      <c r="CV97" s="40"/>
      <c r="CW97" s="40"/>
      <c r="CX97" s="40"/>
      <c r="CY97" s="40"/>
      <c r="CZ97" s="40"/>
      <c r="DA97" s="40"/>
      <c r="DB97" s="40"/>
    </row>
    <row r="98" spans="2:106" ht="26" hidden="1" thickBot="1" x14ac:dyDescent="0.3">
      <c r="G98" s="890"/>
      <c r="H98" s="22"/>
      <c r="I98" s="22"/>
      <c r="J98" s="22"/>
      <c r="K98" s="22"/>
      <c r="L98" s="22"/>
      <c r="M98" s="22"/>
      <c r="N98" s="22"/>
      <c r="O98" s="883"/>
      <c r="BL98" s="47"/>
      <c r="BM98" s="932"/>
      <c r="BN98" s="56">
        <v>17</v>
      </c>
      <c r="BO98" s="38"/>
      <c r="BP98" s="38"/>
      <c r="BQ98" s="38"/>
      <c r="BR98" s="38"/>
      <c r="BS98" s="38"/>
      <c r="BT98" s="68" t="b">
        <f>IF(CE60=17,6)</f>
        <v>0</v>
      </c>
      <c r="BU98" s="38"/>
      <c r="BW98" s="69"/>
      <c r="BX98" s="69"/>
      <c r="BY98" s="70"/>
      <c r="BZ98" s="70"/>
      <c r="CA98" s="70"/>
      <c r="CB98" s="70"/>
      <c r="CC98" s="70"/>
      <c r="CD98" s="70"/>
      <c r="CE98" s="70"/>
      <c r="CF98" s="95"/>
      <c r="CG98" s="95"/>
      <c r="CH98" s="95"/>
      <c r="CI98" s="580"/>
      <c r="CJ98" s="70"/>
      <c r="CK98" s="70"/>
      <c r="CL98" s="69"/>
      <c r="CM98" s="69"/>
      <c r="CO98" s="40"/>
      <c r="CP98" s="40"/>
      <c r="CQ98" s="60" t="b">
        <f>IF(CE60=17,29)</f>
        <v>0</v>
      </c>
      <c r="CR98" s="40"/>
      <c r="CS98" s="40"/>
      <c r="CT98" s="40"/>
      <c r="CU98" s="40"/>
      <c r="CV98" s="40"/>
      <c r="CW98" s="40"/>
      <c r="CX98" s="40"/>
      <c r="CY98" s="40"/>
      <c r="CZ98" s="40"/>
      <c r="DA98" s="40"/>
      <c r="DB98" s="40"/>
    </row>
    <row r="99" spans="2:106" ht="26" hidden="1" thickBot="1" x14ac:dyDescent="0.3">
      <c r="G99" s="890"/>
      <c r="H99" s="22"/>
      <c r="I99" s="22"/>
      <c r="J99" s="22"/>
      <c r="K99" s="22"/>
      <c r="L99" s="22"/>
      <c r="M99" s="22"/>
      <c r="N99" s="22"/>
      <c r="O99" s="883"/>
      <c r="BL99" s="47"/>
      <c r="BM99" s="932"/>
      <c r="BN99" s="56">
        <v>16</v>
      </c>
      <c r="BO99" s="38"/>
      <c r="BP99" s="38"/>
      <c r="BQ99" s="38"/>
      <c r="BR99" s="87" t="b">
        <f>IF(CD60=16,4)</f>
        <v>0</v>
      </c>
      <c r="BS99" s="38"/>
      <c r="BU99" s="88"/>
      <c r="BV99" s="89"/>
      <c r="BW99" s="89"/>
      <c r="BX99" s="88"/>
      <c r="BY99" s="88"/>
      <c r="BZ99" s="88"/>
      <c r="CA99" s="88"/>
      <c r="CB99" s="88"/>
      <c r="CC99" s="88"/>
      <c r="CD99" s="88"/>
      <c r="CE99" s="88"/>
      <c r="CF99" s="95"/>
      <c r="CG99" s="95"/>
      <c r="CH99" s="95"/>
      <c r="CI99" s="585"/>
      <c r="CJ99" s="88"/>
      <c r="CK99" s="89"/>
      <c r="CL99" s="89"/>
      <c r="CM99" s="90"/>
      <c r="CO99" s="40"/>
      <c r="CP99" s="40"/>
      <c r="CQ99" s="91" t="b">
        <f>IF(CD60=16,29)</f>
        <v>0</v>
      </c>
      <c r="CR99" s="40"/>
      <c r="CS99" s="40"/>
      <c r="CT99" s="40"/>
      <c r="CU99" s="40"/>
      <c r="CV99" s="40"/>
      <c r="CW99" s="40"/>
      <c r="CX99" s="40"/>
      <c r="CY99" s="40"/>
      <c r="CZ99" s="40"/>
      <c r="DA99" s="40"/>
      <c r="DB99" s="40"/>
    </row>
    <row r="100" spans="2:106" ht="10.5" hidden="1" customHeight="1" thickBot="1" x14ac:dyDescent="0.3">
      <c r="G100" s="890"/>
      <c r="H100" s="22"/>
      <c r="I100" s="22"/>
      <c r="J100" s="22"/>
      <c r="K100" s="22"/>
      <c r="L100" s="22"/>
      <c r="M100" s="22"/>
      <c r="N100" s="22"/>
      <c r="O100" s="883"/>
      <c r="BL100" s="47"/>
      <c r="BM100" s="932"/>
      <c r="BN100" s="56">
        <v>15</v>
      </c>
      <c r="BO100" s="38"/>
      <c r="BP100" s="68" t="b">
        <f>IF(CC60=15,2)</f>
        <v>0</v>
      </c>
      <c r="BQ100" s="38"/>
      <c r="BS100" s="70"/>
      <c r="BT100" s="70"/>
      <c r="BU100" s="70"/>
      <c r="BV100" s="69"/>
      <c r="BW100" s="70"/>
      <c r="BX100" s="70"/>
      <c r="BY100" s="69"/>
      <c r="BZ100" s="70"/>
      <c r="CA100" s="70"/>
      <c r="CB100" s="70"/>
      <c r="CC100" s="70"/>
      <c r="CD100" s="70"/>
      <c r="CE100" s="70"/>
      <c r="CF100" s="95"/>
      <c r="CG100" s="256"/>
      <c r="CH100" s="95"/>
      <c r="CI100" s="580"/>
      <c r="CJ100" s="69"/>
      <c r="CK100" s="70"/>
      <c r="CL100" s="70"/>
      <c r="CM100" s="64"/>
      <c r="CO100" s="40"/>
      <c r="CP100" s="40"/>
      <c r="CQ100" s="60" t="b">
        <f>IF(CC60=15,29)</f>
        <v>0</v>
      </c>
      <c r="CR100" s="40"/>
      <c r="CS100" s="40"/>
      <c r="CT100" s="40"/>
      <c r="CU100" s="40"/>
      <c r="CV100" s="40"/>
      <c r="CW100" s="40"/>
      <c r="CX100" s="40"/>
      <c r="CY100" s="40"/>
      <c r="CZ100" s="40"/>
      <c r="DA100" s="40"/>
      <c r="DB100" s="40"/>
    </row>
    <row r="101" spans="2:106" ht="10.5" hidden="1" customHeight="1" thickBot="1" x14ac:dyDescent="0.3">
      <c r="G101" s="890"/>
      <c r="H101" s="22"/>
      <c r="I101" s="22"/>
      <c r="J101" s="22"/>
      <c r="K101" s="22"/>
      <c r="L101" s="22"/>
      <c r="M101" s="22"/>
      <c r="N101" s="22"/>
      <c r="O101" s="883"/>
      <c r="BL101" s="47"/>
      <c r="BM101" s="932"/>
      <c r="BN101" s="56">
        <v>14</v>
      </c>
      <c r="BO101" s="38"/>
      <c r="BQ101" s="70"/>
      <c r="BR101" s="70"/>
      <c r="BS101" s="70"/>
      <c r="BT101" s="69"/>
      <c r="BU101" s="70"/>
      <c r="BV101" s="68" t="b">
        <f>IF(CB60=14,8)</f>
        <v>0</v>
      </c>
      <c r="BW101" s="69"/>
      <c r="BX101" s="70"/>
      <c r="BY101" s="70"/>
      <c r="BZ101" s="70"/>
      <c r="CA101" s="70"/>
      <c r="CB101" s="70"/>
      <c r="CC101" s="70"/>
      <c r="CD101" s="70"/>
      <c r="CE101" s="70"/>
      <c r="CF101" s="95"/>
      <c r="CG101" s="256"/>
      <c r="CH101" s="60" t="b">
        <f>IF(CB60=14,20)</f>
        <v>0</v>
      </c>
      <c r="CI101" s="580"/>
      <c r="CJ101" s="69"/>
      <c r="CK101" s="70"/>
      <c r="CL101" s="70"/>
      <c r="CM101" s="64"/>
      <c r="CO101" s="40"/>
      <c r="CP101" s="40"/>
      <c r="CQ101" s="40"/>
      <c r="CR101" s="40"/>
      <c r="CS101" s="40"/>
      <c r="CT101" s="40"/>
      <c r="CU101" s="40"/>
      <c r="CV101" s="40"/>
      <c r="CW101" s="40"/>
      <c r="CX101" s="40"/>
      <c r="CY101" s="40"/>
      <c r="CZ101" s="40"/>
      <c r="DA101" s="40"/>
      <c r="DB101" s="40"/>
    </row>
    <row r="102" spans="2:106" ht="10.5" hidden="1" customHeight="1" thickBot="1" x14ac:dyDescent="0.3">
      <c r="G102" s="890"/>
      <c r="H102" s="22"/>
      <c r="I102" s="22"/>
      <c r="J102" s="22"/>
      <c r="K102" s="22"/>
      <c r="L102" s="22"/>
      <c r="M102" s="22"/>
      <c r="N102" s="22"/>
      <c r="O102" s="883"/>
      <c r="BL102" s="47"/>
      <c r="BM102" s="932"/>
      <c r="BN102" s="56">
        <v>13</v>
      </c>
      <c r="BO102" s="38"/>
      <c r="BP102" s="38"/>
      <c r="BQ102" s="38"/>
      <c r="BS102" s="92"/>
      <c r="BT102" s="71" t="b">
        <f>IF(CA60=13,6)</f>
        <v>0</v>
      </c>
      <c r="BU102" s="51"/>
      <c r="BV102" s="92"/>
      <c r="BX102" s="74"/>
      <c r="BY102" s="74"/>
      <c r="BZ102" s="74"/>
      <c r="CA102" s="74"/>
      <c r="CB102" s="74"/>
      <c r="CC102" s="74"/>
      <c r="CD102" s="74"/>
      <c r="CF102" s="38"/>
      <c r="CH102" s="74" t="b">
        <f>IF(CA60=13,20)</f>
        <v>0</v>
      </c>
      <c r="CI102" s="586"/>
      <c r="CK102" s="38"/>
      <c r="CL102" s="38"/>
      <c r="CM102" s="40"/>
      <c r="CN102" s="40"/>
      <c r="CO102" s="40"/>
      <c r="CP102" s="40"/>
      <c r="CQ102" s="40"/>
      <c r="CR102" s="40"/>
      <c r="CS102" s="40"/>
      <c r="CT102" s="40"/>
      <c r="CU102" s="40"/>
      <c r="CV102" s="40"/>
      <c r="CW102" s="40"/>
      <c r="CX102" s="40"/>
      <c r="CY102" s="40"/>
      <c r="CZ102" s="40"/>
      <c r="DA102" s="40"/>
      <c r="DB102" s="40"/>
    </row>
    <row r="103" spans="2:106" ht="10.5" hidden="1" customHeight="1" thickBot="1" x14ac:dyDescent="0.3">
      <c r="E103" s="291"/>
      <c r="F103" s="291"/>
      <c r="G103" s="890"/>
      <c r="H103" s="22"/>
      <c r="I103" s="22"/>
      <c r="J103" s="22"/>
      <c r="K103" s="22"/>
      <c r="L103" s="22"/>
      <c r="M103" s="22"/>
      <c r="N103" s="22"/>
      <c r="O103" s="883"/>
      <c r="U103" s="67"/>
      <c r="AB103" s="67"/>
      <c r="AC103" s="67"/>
      <c r="AD103" s="67"/>
      <c r="AE103" s="67"/>
      <c r="BJ103" s="81"/>
      <c r="BL103" s="47"/>
      <c r="BM103" s="932"/>
      <c r="BN103" s="56">
        <v>12</v>
      </c>
      <c r="BO103" s="38"/>
      <c r="BQ103" s="83"/>
      <c r="BR103" s="68" t="b">
        <f>IF(BZ60=12,4)</f>
        <v>0</v>
      </c>
      <c r="BS103" s="84"/>
      <c r="BT103" s="83"/>
      <c r="BV103" s="70"/>
      <c r="BW103" s="70"/>
      <c r="BX103" s="70"/>
      <c r="BY103" s="70"/>
      <c r="BZ103" s="70"/>
      <c r="CA103" s="70"/>
      <c r="CB103" s="70"/>
      <c r="CC103" s="70"/>
      <c r="CD103" s="70"/>
      <c r="CF103" s="38"/>
      <c r="CH103" s="70" t="b">
        <f>IF(BZ60=12,20)</f>
        <v>0</v>
      </c>
      <c r="CI103" s="587"/>
      <c r="CK103" s="38"/>
      <c r="CL103" s="38"/>
      <c r="CM103" s="40"/>
      <c r="CN103" s="40"/>
      <c r="CO103" s="40"/>
      <c r="CP103" s="40"/>
      <c r="CQ103" s="40"/>
      <c r="CR103" s="40"/>
      <c r="CS103" s="40"/>
      <c r="CT103" s="40"/>
      <c r="CU103" s="40"/>
      <c r="CV103" s="40"/>
      <c r="CW103" s="40"/>
      <c r="CX103" s="40"/>
      <c r="CY103" s="40"/>
      <c r="CZ103" s="40"/>
      <c r="DA103" s="40"/>
      <c r="DB103" s="40"/>
    </row>
    <row r="104" spans="2:106" ht="10.5" hidden="1" customHeight="1" thickBot="1" x14ac:dyDescent="0.3">
      <c r="D104" s="291"/>
      <c r="E104" s="291"/>
      <c r="F104" s="291"/>
      <c r="G104" s="890"/>
      <c r="H104" s="22"/>
      <c r="I104" s="22"/>
      <c r="J104" s="22"/>
      <c r="K104" s="22"/>
      <c r="L104" s="22"/>
      <c r="M104" s="22"/>
      <c r="N104" s="22"/>
      <c r="O104" s="883"/>
      <c r="U104" s="67"/>
      <c r="AB104" s="67"/>
      <c r="AC104" s="67"/>
      <c r="AD104" s="67"/>
      <c r="AE104" s="67"/>
      <c r="BJ104" s="81"/>
      <c r="BL104" s="47"/>
      <c r="BM104" s="932"/>
      <c r="BN104" s="56">
        <v>11</v>
      </c>
      <c r="BP104" s="68" t="b">
        <f>IF(BY60=11,2)</f>
        <v>0</v>
      </c>
      <c r="BQ104" s="51"/>
      <c r="BR104" s="92"/>
      <c r="BT104" s="70"/>
      <c r="BU104" s="70"/>
      <c r="BV104" s="70"/>
      <c r="BW104" s="70"/>
      <c r="BX104" s="70"/>
      <c r="BY104" s="70"/>
      <c r="BZ104" s="70"/>
      <c r="CA104" s="70"/>
      <c r="CB104" s="70"/>
      <c r="CC104" s="70"/>
      <c r="CD104" s="70"/>
      <c r="CF104" s="38"/>
      <c r="CH104" s="70" t="b">
        <f>IF(BY60=11,20)</f>
        <v>0</v>
      </c>
      <c r="CI104" s="588"/>
      <c r="CJ104" s="38"/>
      <c r="CK104" s="38"/>
      <c r="CL104" s="38"/>
      <c r="CM104" s="40"/>
      <c r="CN104" s="40"/>
      <c r="CO104" s="40"/>
      <c r="CP104" s="40"/>
      <c r="CQ104" s="40"/>
      <c r="CR104" s="40"/>
      <c r="CS104" s="40"/>
      <c r="CT104" s="40"/>
      <c r="CU104" s="40"/>
      <c r="CV104" s="40"/>
      <c r="CW104" s="40"/>
      <c r="CX104" s="40"/>
      <c r="CY104" s="40"/>
      <c r="CZ104" s="40"/>
      <c r="DA104" s="40"/>
      <c r="DB104" s="40"/>
    </row>
    <row r="105" spans="2:106" ht="10.5" hidden="1" customHeight="1" thickBot="1" x14ac:dyDescent="0.3">
      <c r="D105" s="291"/>
      <c r="E105" s="291"/>
      <c r="F105" s="291"/>
      <c r="G105" s="890"/>
      <c r="H105" s="22"/>
      <c r="I105" s="22"/>
      <c r="J105" s="22"/>
      <c r="K105" s="22"/>
      <c r="L105" s="22"/>
      <c r="M105" s="22"/>
      <c r="N105" s="22"/>
      <c r="O105" s="883"/>
      <c r="U105" s="67"/>
      <c r="AB105" s="67"/>
      <c r="AC105" s="67"/>
      <c r="AD105" s="67"/>
      <c r="AE105" s="67"/>
      <c r="BJ105" s="81"/>
      <c r="BL105" s="47"/>
      <c r="BM105" s="932"/>
      <c r="BN105" s="56">
        <v>10</v>
      </c>
      <c r="BO105" s="68" t="b">
        <f>IF(BX60=10,1)</f>
        <v>0</v>
      </c>
      <c r="BP105" s="92"/>
      <c r="BR105" s="70"/>
      <c r="BS105" s="70"/>
      <c r="BT105" s="70"/>
      <c r="BU105" s="70"/>
      <c r="BV105" s="70"/>
      <c r="BW105" s="70"/>
      <c r="BX105" s="70"/>
      <c r="BY105" s="70"/>
      <c r="BZ105" s="70"/>
      <c r="CA105" s="70"/>
      <c r="CB105" s="70"/>
      <c r="CC105" s="70"/>
      <c r="CD105" s="70"/>
      <c r="CF105" s="38"/>
      <c r="CG105" s="70" t="b">
        <f>IF(BX60=10,19)</f>
        <v>0</v>
      </c>
      <c r="CH105" s="38"/>
      <c r="CI105" s="589"/>
      <c r="CJ105" s="38"/>
      <c r="CK105" s="38"/>
      <c r="CL105" s="38"/>
      <c r="CM105" s="40"/>
      <c r="CN105" s="40"/>
      <c r="CO105" s="40"/>
      <c r="CP105" s="40"/>
      <c r="CQ105" s="40"/>
      <c r="CR105" s="40"/>
      <c r="CS105" s="40"/>
      <c r="CT105" s="40"/>
      <c r="CU105" s="40"/>
      <c r="CV105" s="40"/>
      <c r="CW105" s="40"/>
      <c r="CX105" s="40"/>
      <c r="CY105" s="40"/>
      <c r="CZ105" s="40"/>
      <c r="DA105" s="40"/>
      <c r="DB105" s="40"/>
    </row>
    <row r="106" spans="2:106" ht="10.5" hidden="1" customHeight="1" thickBot="1" x14ac:dyDescent="0.3">
      <c r="B106" s="292"/>
      <c r="C106" s="292"/>
      <c r="D106" s="291"/>
      <c r="E106" s="291"/>
      <c r="F106" s="291"/>
      <c r="G106" s="890"/>
      <c r="H106" s="22"/>
      <c r="I106" s="22"/>
      <c r="J106" s="22"/>
      <c r="K106" s="22"/>
      <c r="L106" s="22"/>
      <c r="M106" s="22"/>
      <c r="N106" s="22"/>
      <c r="O106" s="883"/>
      <c r="U106" s="67"/>
      <c r="AB106" s="67"/>
      <c r="AC106" s="67"/>
      <c r="AD106" s="67"/>
      <c r="AE106" s="67"/>
      <c r="BL106" s="47"/>
      <c r="BM106" s="932"/>
      <c r="BN106" s="56">
        <v>9</v>
      </c>
      <c r="BO106" s="68" t="b">
        <f>IF(BW60=9,1)</f>
        <v>0</v>
      </c>
      <c r="BP106" s="70"/>
      <c r="BQ106" s="70"/>
      <c r="BR106" s="70"/>
      <c r="BS106" s="70"/>
      <c r="BT106" s="70"/>
      <c r="BU106" s="70"/>
      <c r="BV106" s="70"/>
      <c r="BW106" s="70"/>
      <c r="BX106" s="70"/>
      <c r="BY106" s="70"/>
      <c r="BZ106" s="70"/>
      <c r="CA106" s="70"/>
      <c r="CB106" s="70"/>
      <c r="CC106" s="70"/>
      <c r="CD106" s="70"/>
      <c r="CE106" s="70" t="b">
        <f>IF(BW60=9,17)</f>
        <v>0</v>
      </c>
      <c r="CF106" s="38"/>
      <c r="CG106" s="38"/>
      <c r="CH106" s="38"/>
      <c r="CI106" s="589"/>
      <c r="CJ106" s="38"/>
      <c r="CK106" s="38"/>
      <c r="CL106" s="38"/>
      <c r="CM106" s="40"/>
      <c r="CN106" s="40"/>
      <c r="CO106" s="40"/>
      <c r="CP106" s="40"/>
      <c r="CQ106" s="40"/>
      <c r="CR106" s="40"/>
      <c r="CS106" s="40"/>
      <c r="CT106" s="40"/>
      <c r="CU106" s="40"/>
      <c r="CV106" s="40"/>
      <c r="CW106" s="40"/>
      <c r="CX106" s="40"/>
      <c r="CY106" s="40"/>
      <c r="CZ106" s="40"/>
      <c r="DA106" s="40"/>
      <c r="DB106" s="40"/>
    </row>
    <row r="107" spans="2:106" ht="10.5" hidden="1" customHeight="1" thickBot="1" x14ac:dyDescent="0.3">
      <c r="B107" s="292"/>
      <c r="C107" s="292"/>
      <c r="D107" s="291"/>
      <c r="E107" s="291"/>
      <c r="F107" s="291"/>
      <c r="G107" s="890"/>
      <c r="H107" s="22"/>
      <c r="I107" s="22"/>
      <c r="J107" s="22"/>
      <c r="K107" s="22"/>
      <c r="L107" s="22"/>
      <c r="M107" s="22"/>
      <c r="N107" s="22"/>
      <c r="O107" s="883"/>
      <c r="U107" s="67"/>
      <c r="AB107" s="67"/>
      <c r="AC107" s="67"/>
      <c r="AD107" s="67"/>
      <c r="AE107" s="67"/>
      <c r="BL107" s="47"/>
      <c r="BM107" s="932"/>
      <c r="BN107" s="56">
        <v>8</v>
      </c>
      <c r="BO107" s="68" t="b">
        <f>IF(BV60=8,1)</f>
        <v>0</v>
      </c>
      <c r="BP107" s="70"/>
      <c r="BQ107" s="69"/>
      <c r="BR107" s="70"/>
      <c r="BS107" s="70"/>
      <c r="BT107" s="70"/>
      <c r="BU107" s="70"/>
      <c r="BV107" s="70"/>
      <c r="BW107" s="70"/>
      <c r="BX107" s="70"/>
      <c r="BY107" s="70"/>
      <c r="BZ107" s="70"/>
      <c r="CA107" s="69"/>
      <c r="CB107" s="70"/>
      <c r="CC107" s="60" t="b">
        <f>IF(BV60=8,15)</f>
        <v>0</v>
      </c>
      <c r="CD107" s="38"/>
      <c r="CE107" s="38"/>
      <c r="CF107" s="38"/>
      <c r="CG107" s="38"/>
      <c r="CH107" s="38"/>
      <c r="CI107" s="589"/>
      <c r="CJ107" s="38"/>
      <c r="CK107" s="38"/>
      <c r="CL107" s="38"/>
      <c r="CM107" s="40"/>
      <c r="CN107" s="40"/>
      <c r="CO107" s="40"/>
      <c r="CP107" s="40"/>
      <c r="CQ107" s="40"/>
      <c r="CR107" s="40"/>
      <c r="CS107" s="40"/>
      <c r="CT107" s="40"/>
      <c r="CU107" s="40"/>
      <c r="CV107" s="40"/>
      <c r="CW107" s="40"/>
      <c r="CX107" s="40"/>
      <c r="CY107" s="40"/>
      <c r="CZ107" s="40"/>
      <c r="DA107" s="40"/>
      <c r="DB107" s="40"/>
    </row>
    <row r="108" spans="2:106" ht="10.5" hidden="1" customHeight="1" thickBot="1" x14ac:dyDescent="0.3">
      <c r="B108" s="293"/>
      <c r="E108" s="291"/>
      <c r="F108" s="291"/>
      <c r="G108" s="890"/>
      <c r="H108" s="22"/>
      <c r="I108" s="22"/>
      <c r="J108" s="22"/>
      <c r="K108" s="22"/>
      <c r="L108" s="22"/>
      <c r="M108" s="22"/>
      <c r="N108" s="22"/>
      <c r="O108" s="883"/>
      <c r="U108" s="67"/>
      <c r="AB108" s="67"/>
      <c r="AC108" s="67"/>
      <c r="AD108" s="67"/>
      <c r="AE108" s="67"/>
      <c r="BL108" s="47"/>
      <c r="BM108" s="932"/>
      <c r="BN108" s="56">
        <v>7</v>
      </c>
      <c r="BO108" s="68" t="b">
        <f>IF(BU60=7,1)</f>
        <v>0</v>
      </c>
      <c r="BP108" s="69"/>
      <c r="BQ108" s="70"/>
      <c r="BR108" s="70"/>
      <c r="BS108" s="70"/>
      <c r="BT108" s="70"/>
      <c r="BU108" s="70"/>
      <c r="BV108" s="70"/>
      <c r="BW108" s="70"/>
      <c r="BX108" s="70"/>
      <c r="BY108" s="69"/>
      <c r="BZ108" s="69"/>
      <c r="CA108" s="60" t="b">
        <f>IF(BU60=7,13)</f>
        <v>0</v>
      </c>
      <c r="CB108" s="38"/>
      <c r="CC108" s="38"/>
      <c r="CD108" s="38"/>
      <c r="CE108" s="38"/>
      <c r="CF108" s="38"/>
      <c r="CG108" s="38"/>
      <c r="CH108" s="38"/>
      <c r="CI108" s="589"/>
      <c r="CJ108" s="38"/>
      <c r="CK108" s="38"/>
      <c r="CL108" s="38"/>
      <c r="CM108" s="40"/>
      <c r="CN108" s="40"/>
      <c r="CO108" s="40"/>
      <c r="CP108" s="40"/>
      <c r="CQ108" s="40"/>
      <c r="CR108" s="40"/>
      <c r="CS108" s="40"/>
      <c r="CT108" s="40"/>
      <c r="CU108" s="40"/>
      <c r="CV108" s="40"/>
      <c r="CW108" s="40"/>
      <c r="CX108" s="40"/>
      <c r="CY108" s="40"/>
      <c r="CZ108" s="40"/>
      <c r="DA108" s="40"/>
      <c r="DB108" s="40"/>
    </row>
    <row r="109" spans="2:106" ht="10.5" hidden="1" customHeight="1" thickBot="1" x14ac:dyDescent="0.3">
      <c r="B109" s="27"/>
      <c r="C109" s="292"/>
      <c r="D109" s="291"/>
      <c r="E109" s="27"/>
      <c r="G109" s="890"/>
      <c r="H109" s="22"/>
      <c r="I109" s="22"/>
      <c r="J109" s="22"/>
      <c r="K109" s="22"/>
      <c r="L109" s="22"/>
      <c r="M109" s="22"/>
      <c r="N109" s="22"/>
      <c r="O109" s="883"/>
      <c r="U109" s="67"/>
      <c r="AB109" s="67"/>
      <c r="AC109" s="67"/>
      <c r="AD109" s="67"/>
      <c r="AE109" s="67"/>
      <c r="BL109" s="47"/>
      <c r="BM109" s="932"/>
      <c r="BN109" s="56">
        <v>6</v>
      </c>
      <c r="BO109" s="71" t="b">
        <f>IF(BT60=6,1)</f>
        <v>0</v>
      </c>
      <c r="BP109" s="74"/>
      <c r="BQ109" s="74"/>
      <c r="BR109" s="74"/>
      <c r="BS109" s="74"/>
      <c r="BT109" s="74"/>
      <c r="BU109" s="74"/>
      <c r="BV109" s="74"/>
      <c r="BW109" s="74"/>
      <c r="BX109" s="74"/>
      <c r="BY109" s="75" t="b">
        <f>IF(BT60=6,11)</f>
        <v>0</v>
      </c>
      <c r="BZ109" s="38"/>
      <c r="CA109" s="38"/>
      <c r="CB109" s="38"/>
      <c r="CC109" s="38"/>
      <c r="CD109" s="38"/>
      <c r="CE109" s="38"/>
      <c r="CF109" s="38"/>
      <c r="CG109" s="38"/>
      <c r="CH109" s="38"/>
      <c r="CI109" s="589"/>
      <c r="CJ109" s="38"/>
      <c r="CK109" s="38"/>
      <c r="CL109" s="38"/>
      <c r="CM109" s="40"/>
      <c r="CN109" s="40"/>
      <c r="CO109" s="40"/>
      <c r="CP109" s="40"/>
      <c r="CQ109" s="40"/>
      <c r="CR109" s="40"/>
      <c r="CS109" s="40"/>
      <c r="CT109" s="40"/>
      <c r="CU109" s="40"/>
      <c r="CV109" s="40"/>
      <c r="CW109" s="40"/>
      <c r="CX109" s="40"/>
      <c r="CY109" s="40"/>
      <c r="CZ109" s="40"/>
      <c r="DA109" s="40"/>
      <c r="DB109" s="40"/>
    </row>
    <row r="110" spans="2:106" ht="10.5" hidden="1" customHeight="1" thickBot="1" x14ac:dyDescent="0.3">
      <c r="B110" s="292"/>
      <c r="C110" s="292"/>
      <c r="D110" s="291"/>
      <c r="E110" s="291"/>
      <c r="F110" s="291"/>
      <c r="G110" s="890"/>
      <c r="H110" s="22"/>
      <c r="I110" s="22"/>
      <c r="J110" s="22"/>
      <c r="K110" s="22"/>
      <c r="L110" s="22"/>
      <c r="M110" s="22"/>
      <c r="N110" s="22"/>
      <c r="O110" s="883"/>
      <c r="U110" s="67"/>
      <c r="AB110" s="67"/>
      <c r="AC110" s="67"/>
      <c r="AD110" s="67"/>
      <c r="AE110" s="67"/>
      <c r="BL110" s="47"/>
      <c r="BM110" s="932"/>
      <c r="BN110" s="56">
        <v>5</v>
      </c>
      <c r="BO110" s="71" t="b">
        <f>IF(BS60=5,1)</f>
        <v>0</v>
      </c>
      <c r="BP110" s="73"/>
      <c r="BQ110" s="74"/>
      <c r="BR110" s="74"/>
      <c r="BS110" s="74"/>
      <c r="BT110" s="74"/>
      <c r="BU110" s="74"/>
      <c r="BV110" s="73"/>
      <c r="BW110" s="75" t="b">
        <f>IF(BS60=5,9)</f>
        <v>0</v>
      </c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589"/>
      <c r="CJ110" s="38"/>
      <c r="CK110" s="38"/>
      <c r="CL110" s="38"/>
      <c r="CM110" s="40"/>
      <c r="CN110" s="40"/>
      <c r="CO110" s="40"/>
      <c r="CP110" s="40"/>
      <c r="CQ110" s="40"/>
      <c r="CR110" s="40"/>
      <c r="CS110" s="40"/>
      <c r="CT110" s="40"/>
      <c r="CU110" s="40"/>
      <c r="CV110" s="40"/>
      <c r="CW110" s="40"/>
      <c r="CX110" s="40"/>
      <c r="CY110" s="40"/>
      <c r="CZ110" s="40"/>
      <c r="DA110" s="40"/>
      <c r="DB110" s="40"/>
    </row>
    <row r="111" spans="2:106" ht="10.5" hidden="1" customHeight="1" thickBot="1" x14ac:dyDescent="0.3">
      <c r="B111" s="6"/>
      <c r="C111" s="292"/>
      <c r="E111" s="6"/>
      <c r="G111" s="890"/>
      <c r="H111" s="22"/>
      <c r="I111" s="22"/>
      <c r="J111" s="22"/>
      <c r="K111" s="22"/>
      <c r="L111" s="22"/>
      <c r="M111" s="22"/>
      <c r="N111" s="22"/>
      <c r="O111" s="883"/>
      <c r="U111" s="67"/>
      <c r="AB111" s="67"/>
      <c r="AC111" s="67"/>
      <c r="AD111" s="67"/>
      <c r="AE111" s="67"/>
      <c r="BE111" s="67"/>
      <c r="BF111" s="67"/>
      <c r="BG111" s="67"/>
      <c r="BH111" s="67"/>
      <c r="BL111" s="47"/>
      <c r="BM111" s="932"/>
      <c r="BN111" s="56">
        <v>4</v>
      </c>
      <c r="BO111" s="71" t="b">
        <f>IF(BR60=4,1)</f>
        <v>0</v>
      </c>
      <c r="BP111" s="74"/>
      <c r="BQ111" s="74"/>
      <c r="BR111" s="74"/>
      <c r="BS111" s="74"/>
      <c r="BT111" s="74"/>
      <c r="BU111" s="75" t="b">
        <f>IF(BR60=4,7)</f>
        <v>0</v>
      </c>
      <c r="BV111" s="38"/>
      <c r="BW111" s="93"/>
      <c r="BX111" s="93"/>
      <c r="BY111" s="38"/>
      <c r="BZ111" s="93"/>
      <c r="CA111" s="38"/>
      <c r="CB111" s="38"/>
      <c r="CC111" s="38"/>
      <c r="CD111" s="38"/>
      <c r="CE111" s="38"/>
      <c r="CF111" s="38"/>
      <c r="CG111" s="38"/>
      <c r="CH111" s="38"/>
      <c r="CI111" s="589"/>
      <c r="CJ111" s="38"/>
      <c r="CK111" s="38"/>
      <c r="CL111" s="38"/>
      <c r="CM111" s="40"/>
      <c r="CN111" s="40"/>
      <c r="CO111" s="40"/>
      <c r="CP111" s="40"/>
      <c r="CQ111" s="40"/>
      <c r="CR111" s="40"/>
      <c r="CS111" s="40"/>
      <c r="CT111" s="40"/>
      <c r="CU111" s="40"/>
      <c r="CV111" s="40"/>
      <c r="CW111" s="40"/>
      <c r="CX111" s="40"/>
      <c r="CY111" s="40"/>
      <c r="CZ111" s="40"/>
      <c r="DA111" s="40"/>
      <c r="DB111" s="40"/>
    </row>
    <row r="112" spans="2:106" ht="10.5" hidden="1" customHeight="1" thickBot="1" x14ac:dyDescent="0.35">
      <c r="B112" s="30"/>
      <c r="C112" s="292"/>
      <c r="E112" s="31"/>
      <c r="G112" s="890"/>
      <c r="H112" s="22"/>
      <c r="I112" s="22"/>
      <c r="J112" s="22"/>
      <c r="K112" s="22"/>
      <c r="L112" s="22"/>
      <c r="M112" s="22"/>
      <c r="N112" s="22"/>
      <c r="O112" s="883"/>
      <c r="U112" s="67"/>
      <c r="AB112" s="67"/>
      <c r="AC112" s="67"/>
      <c r="AD112" s="67"/>
      <c r="AE112" s="67"/>
      <c r="BE112" s="67"/>
      <c r="BF112" s="67"/>
      <c r="BG112" s="67"/>
      <c r="BH112" s="67"/>
      <c r="BL112" s="47"/>
      <c r="BM112" s="932"/>
      <c r="BN112" s="56">
        <v>3</v>
      </c>
      <c r="BO112" s="71" t="b">
        <f>IF(BQ60=3,1)</f>
        <v>0</v>
      </c>
      <c r="BP112" s="74"/>
      <c r="BQ112" s="74"/>
      <c r="BR112" s="74"/>
      <c r="BS112" s="75" t="b">
        <f>IF(BQ60=3,5)</f>
        <v>0</v>
      </c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589"/>
      <c r="CJ112" s="38"/>
      <c r="CK112" s="38"/>
      <c r="CL112" s="38"/>
      <c r="CM112" s="40"/>
      <c r="CN112" s="40"/>
      <c r="CO112" s="40"/>
      <c r="CP112" s="40"/>
      <c r="CQ112" s="40"/>
      <c r="CR112" s="40"/>
      <c r="CS112" s="40"/>
      <c r="CT112" s="40"/>
      <c r="CU112" s="40"/>
      <c r="CV112" s="40"/>
      <c r="CW112" s="40"/>
      <c r="CX112" s="40"/>
      <c r="CY112" s="40"/>
      <c r="CZ112" s="40"/>
      <c r="DA112" s="40"/>
      <c r="DB112" s="40"/>
    </row>
    <row r="113" spans="2:109" ht="28.5" hidden="1" customHeight="1" thickBot="1" x14ac:dyDescent="0.3">
      <c r="B113" s="292"/>
      <c r="C113" s="292"/>
      <c r="D113" s="291"/>
      <c r="E113" s="291"/>
      <c r="F113" s="291"/>
      <c r="G113" s="890"/>
      <c r="H113" s="22"/>
      <c r="I113" s="22"/>
      <c r="J113" s="22"/>
      <c r="K113" s="22"/>
      <c r="L113" s="22"/>
      <c r="M113" s="22"/>
      <c r="N113" s="22"/>
      <c r="O113" s="883"/>
      <c r="U113" s="67"/>
      <c r="AB113" s="67"/>
      <c r="AC113" s="67"/>
      <c r="AD113" s="67"/>
      <c r="AE113" s="67"/>
      <c r="BE113" s="67"/>
      <c r="BF113" s="67"/>
      <c r="BG113" s="67"/>
      <c r="BH113" s="67"/>
      <c r="BL113" s="47"/>
      <c r="BM113" s="932"/>
      <c r="BN113" s="56">
        <v>2</v>
      </c>
      <c r="BO113" s="94" t="b">
        <f>IF(BP60=2,1)</f>
        <v>0</v>
      </c>
      <c r="BP113" s="95"/>
      <c r="BQ113" s="96" t="b">
        <f>IF(BP60=2,3)</f>
        <v>0</v>
      </c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589"/>
      <c r="CJ113" s="38"/>
      <c r="CK113" s="38"/>
      <c r="CL113" s="38"/>
      <c r="CM113" s="40"/>
      <c r="CN113" s="40"/>
      <c r="CO113" s="40"/>
      <c r="CP113" s="40"/>
      <c r="CQ113" s="40"/>
      <c r="CR113" s="40"/>
      <c r="CS113" s="40"/>
      <c r="CT113" s="40"/>
      <c r="CU113" s="40"/>
      <c r="CV113" s="40"/>
      <c r="CW113" s="40"/>
      <c r="CX113" s="40"/>
      <c r="CY113" s="40"/>
      <c r="CZ113" s="40"/>
      <c r="DA113" s="40"/>
      <c r="DB113" s="40"/>
    </row>
    <row r="114" spans="2:109" ht="39.75" hidden="1" customHeight="1" thickBot="1" x14ac:dyDescent="0.3">
      <c r="B114" s="292"/>
      <c r="C114" s="292"/>
      <c r="D114" s="291"/>
      <c r="E114" s="291"/>
      <c r="F114" s="291"/>
      <c r="G114" s="890"/>
      <c r="H114" s="22"/>
      <c r="I114" s="22"/>
      <c r="J114" s="22"/>
      <c r="K114" s="22"/>
      <c r="L114" s="22"/>
      <c r="M114" s="22"/>
      <c r="N114" s="22"/>
      <c r="O114" s="883"/>
      <c r="U114" s="67"/>
      <c r="AB114" s="67"/>
      <c r="AC114" s="67"/>
      <c r="AD114" s="67"/>
      <c r="AE114" s="67"/>
      <c r="BL114" s="47"/>
      <c r="BM114" s="932"/>
      <c r="BN114" s="97"/>
      <c r="BO114" s="98">
        <f t="shared" ref="BO114:DB114" si="3">SUM(BO75:BO113)</f>
        <v>0</v>
      </c>
      <c r="BP114" s="98">
        <f t="shared" si="3"/>
        <v>0</v>
      </c>
      <c r="BQ114" s="98">
        <f t="shared" si="3"/>
        <v>0</v>
      </c>
      <c r="BR114" s="98">
        <f t="shared" si="3"/>
        <v>0</v>
      </c>
      <c r="BS114" s="98">
        <f t="shared" si="3"/>
        <v>0</v>
      </c>
      <c r="BT114" s="98">
        <f t="shared" si="3"/>
        <v>0</v>
      </c>
      <c r="BU114" s="98">
        <f t="shared" si="3"/>
        <v>0</v>
      </c>
      <c r="BV114" s="98">
        <f t="shared" si="3"/>
        <v>0</v>
      </c>
      <c r="BW114" s="98">
        <f t="shared" si="3"/>
        <v>0</v>
      </c>
      <c r="BX114" s="98">
        <f t="shared" si="3"/>
        <v>10</v>
      </c>
      <c r="BY114" s="98">
        <f t="shared" si="3"/>
        <v>0</v>
      </c>
      <c r="BZ114" s="98">
        <f t="shared" si="3"/>
        <v>0</v>
      </c>
      <c r="CA114" s="98">
        <f t="shared" si="3"/>
        <v>0</v>
      </c>
      <c r="CB114" s="98">
        <f t="shared" si="3"/>
        <v>0</v>
      </c>
      <c r="CC114" s="98">
        <f t="shared" si="3"/>
        <v>0</v>
      </c>
      <c r="CD114" s="98">
        <f t="shared" si="3"/>
        <v>0</v>
      </c>
      <c r="CE114" s="98">
        <f t="shared" si="3"/>
        <v>0</v>
      </c>
      <c r="CF114" s="98">
        <f t="shared" si="3"/>
        <v>0</v>
      </c>
      <c r="CG114" s="98">
        <f t="shared" si="3"/>
        <v>0</v>
      </c>
      <c r="CH114" s="909">
        <f t="shared" si="3"/>
        <v>0</v>
      </c>
      <c r="CI114" s="911">
        <f t="shared" si="3"/>
        <v>0</v>
      </c>
      <c r="CJ114" s="910">
        <f t="shared" si="3"/>
        <v>0</v>
      </c>
      <c r="CK114" s="98">
        <f t="shared" si="3"/>
        <v>0</v>
      </c>
      <c r="CL114" s="98">
        <f t="shared" si="3"/>
        <v>0</v>
      </c>
      <c r="CM114" s="98">
        <f t="shared" si="3"/>
        <v>0</v>
      </c>
      <c r="CN114" s="98">
        <f t="shared" si="3"/>
        <v>0</v>
      </c>
      <c r="CO114" s="98">
        <f t="shared" si="3"/>
        <v>0</v>
      </c>
      <c r="CP114" s="98">
        <f t="shared" si="3"/>
        <v>0</v>
      </c>
      <c r="CQ114" s="98">
        <f t="shared" si="3"/>
        <v>29</v>
      </c>
      <c r="CR114" s="98">
        <f t="shared" si="3"/>
        <v>0</v>
      </c>
      <c r="CS114" s="98">
        <f t="shared" si="3"/>
        <v>0</v>
      </c>
      <c r="CT114" s="98">
        <f t="shared" si="3"/>
        <v>0</v>
      </c>
      <c r="CU114" s="98">
        <f t="shared" si="3"/>
        <v>0</v>
      </c>
      <c r="CV114" s="98">
        <f t="shared" si="3"/>
        <v>0</v>
      </c>
      <c r="CW114" s="98">
        <f t="shared" si="3"/>
        <v>0</v>
      </c>
      <c r="CX114" s="98">
        <f t="shared" si="3"/>
        <v>0</v>
      </c>
      <c r="CY114" s="98">
        <f t="shared" si="3"/>
        <v>0</v>
      </c>
      <c r="CZ114" s="98">
        <f t="shared" si="3"/>
        <v>0</v>
      </c>
      <c r="DA114" s="98">
        <f t="shared" si="3"/>
        <v>0</v>
      </c>
      <c r="DB114" s="98">
        <f t="shared" si="3"/>
        <v>0</v>
      </c>
      <c r="DC114" s="98">
        <f>SUM(DC75:DC113)</f>
        <v>0</v>
      </c>
    </row>
    <row r="115" spans="2:109" ht="137.25" customHeight="1" thickBot="1" x14ac:dyDescent="0.3">
      <c r="B115" s="292"/>
      <c r="C115" s="292"/>
      <c r="D115" s="291"/>
      <c r="E115" s="291"/>
      <c r="F115" s="291"/>
      <c r="G115" s="890"/>
      <c r="H115" s="22"/>
      <c r="I115" s="22"/>
      <c r="J115" s="22"/>
      <c r="K115" s="22"/>
      <c r="L115" s="22"/>
      <c r="M115" s="22"/>
      <c r="N115" s="22"/>
      <c r="O115" s="883"/>
      <c r="U115" s="67"/>
      <c r="AB115" s="67"/>
      <c r="AC115" s="67"/>
      <c r="AD115" s="67"/>
      <c r="AE115" s="67"/>
      <c r="BE115" s="77"/>
      <c r="BF115" s="77"/>
      <c r="BG115" s="77"/>
      <c r="BH115" s="77"/>
      <c r="BL115" s="47"/>
      <c r="BM115" s="932"/>
      <c r="BN115" s="574"/>
      <c r="BO115" s="99"/>
      <c r="BP115" s="99"/>
      <c r="BQ115" s="99"/>
      <c r="BR115" s="99"/>
      <c r="BS115" s="99"/>
      <c r="BT115" s="99"/>
      <c r="BU115" s="99"/>
      <c r="BV115" s="99"/>
      <c r="BW115" s="99"/>
      <c r="BX115" s="99"/>
      <c r="BY115" s="99"/>
      <c r="BZ115" s="99"/>
      <c r="CA115" s="99"/>
      <c r="CB115" s="99"/>
      <c r="CC115" s="99"/>
      <c r="CD115" s="99"/>
      <c r="CE115" s="99"/>
      <c r="CF115" s="99"/>
      <c r="CG115" s="99"/>
      <c r="CH115" s="99"/>
      <c r="CI115" s="99"/>
      <c r="CJ115" s="99"/>
      <c r="CK115" s="99"/>
      <c r="CL115" s="99"/>
      <c r="CM115" s="99"/>
      <c r="CN115" s="99"/>
      <c r="CO115" s="99"/>
      <c r="CP115" s="99"/>
      <c r="CQ115" s="99"/>
      <c r="CR115" s="99"/>
      <c r="CS115" s="99"/>
      <c r="CT115" s="99"/>
      <c r="CU115" s="99"/>
      <c r="CV115" s="99"/>
      <c r="CW115" s="99"/>
      <c r="CX115" s="99"/>
      <c r="CY115" s="99"/>
      <c r="CZ115" s="40"/>
      <c r="DA115" s="40"/>
      <c r="DB115" s="40"/>
    </row>
    <row r="116" spans="2:109" ht="54" customHeight="1" thickTop="1" thickBot="1" x14ac:dyDescent="0.3">
      <c r="B116" s="292"/>
      <c r="C116" s="292"/>
      <c r="D116" s="291"/>
      <c r="E116" s="291"/>
      <c r="F116" s="291"/>
      <c r="G116" s="890"/>
      <c r="H116" s="22"/>
      <c r="I116" s="22"/>
      <c r="J116" s="22"/>
      <c r="K116" s="22"/>
      <c r="L116" s="22"/>
      <c r="M116" s="22"/>
      <c r="N116" s="22"/>
      <c r="O116" s="883"/>
      <c r="U116" s="67"/>
      <c r="AB116" s="67"/>
      <c r="AC116" s="67"/>
      <c r="AD116" s="67"/>
      <c r="AE116" s="67"/>
      <c r="BE116" s="77"/>
      <c r="BF116" s="77"/>
      <c r="BG116" s="77"/>
      <c r="BH116" s="77"/>
      <c r="BL116" s="47"/>
      <c r="BM116" s="933" t="s">
        <v>110</v>
      </c>
      <c r="BN116" s="875" t="s">
        <v>164</v>
      </c>
      <c r="BO116" s="600" t="str">
        <f>IF(BO114=1,20,"")</f>
        <v/>
      </c>
      <c r="BP116" s="601" t="str">
        <f>IF(BP114=2,19,"")</f>
        <v/>
      </c>
      <c r="BQ116" s="601" t="str">
        <f>IF(BQ114=3,18,"")</f>
        <v/>
      </c>
      <c r="BR116" s="601" t="str">
        <f>IF(BR114=4,17,"")</f>
        <v/>
      </c>
      <c r="BS116" s="601" t="str">
        <f>IF(BS114=5,16,"")</f>
        <v/>
      </c>
      <c r="BT116" s="601" t="str">
        <f>IF(BT114=6,15,"")</f>
        <v/>
      </c>
      <c r="BU116" s="601" t="str">
        <f>IF(BU114=7,14,"")</f>
        <v/>
      </c>
      <c r="BV116" s="601" t="str">
        <f>IF(BV114=8,13,"")</f>
        <v/>
      </c>
      <c r="BW116" s="601" t="str">
        <f>IF(BW114=9,12,"")</f>
        <v/>
      </c>
      <c r="BX116" s="601">
        <f>IF(BX114=10,11,"")</f>
        <v>11</v>
      </c>
      <c r="BY116" s="601" t="str">
        <f>IF(BY114=11,10,"")</f>
        <v/>
      </c>
      <c r="BZ116" s="601" t="str">
        <f>IF(BZ114=12,9,"")</f>
        <v/>
      </c>
      <c r="CA116" s="864" t="str">
        <f>IF(CA114=13,"8 ADS-N","")</f>
        <v/>
      </c>
      <c r="CB116" s="863" t="str">
        <f>IF(CB114=14,7,"")</f>
        <v/>
      </c>
      <c r="CC116" s="601" t="str">
        <f>IF(CC114=15,6,"")</f>
        <v/>
      </c>
      <c r="CD116" s="601" t="str">
        <f>IF(CD114=16,5,"")</f>
        <v/>
      </c>
      <c r="CE116" s="601" t="str">
        <f>IF(CE114=17,4,"")</f>
        <v/>
      </c>
      <c r="CF116" s="601" t="str">
        <f>IF(CF114=18,3,"")</f>
        <v/>
      </c>
      <c r="CG116" s="601" t="str">
        <f>IF(CG114=19,2,"")</f>
        <v/>
      </c>
      <c r="CH116" s="601" t="str">
        <f>IF(CH114=20,1,"")</f>
        <v/>
      </c>
      <c r="CI116" s="602"/>
      <c r="CJ116" s="603" t="str">
        <f>IF(CJ114=22,1,"")</f>
        <v/>
      </c>
      <c r="CK116" s="603" t="str">
        <f>IF(CK114=23,2,"")</f>
        <v/>
      </c>
      <c r="CL116" s="603" t="str">
        <f>IF(CL114=24,3,"")</f>
        <v/>
      </c>
      <c r="CM116" s="603" t="str">
        <f>IF(CM114=25,4,"")</f>
        <v/>
      </c>
      <c r="CN116" s="603" t="str">
        <f>IF(CN114=26,5,"")</f>
        <v/>
      </c>
      <c r="CO116" s="603" t="str">
        <f>IF(CO114=27,6,"")</f>
        <v/>
      </c>
      <c r="CP116" s="603" t="str">
        <f>IF(CP114=28,7,"")</f>
        <v/>
      </c>
      <c r="CQ116" s="864" t="str">
        <f>IF(CQ114=29,"8  ADS-N ","")</f>
        <v xml:space="preserve">8  ADS-N </v>
      </c>
      <c r="CR116" s="865" t="str">
        <f>IF(CR114=30,9,"")</f>
        <v/>
      </c>
      <c r="CS116" s="603" t="str">
        <f>IF(CS114=31,10,"")</f>
        <v/>
      </c>
      <c r="CT116" s="603" t="str">
        <f>IF(CT114=32,11,"")</f>
        <v/>
      </c>
      <c r="CU116" s="603" t="str">
        <f>IF(CU114=33,12,"")</f>
        <v/>
      </c>
      <c r="CV116" s="603" t="str">
        <f>IF(CV114=34,13,"")</f>
        <v/>
      </c>
      <c r="CW116" s="603" t="str">
        <f>IF(CW114=35,14,"")</f>
        <v/>
      </c>
      <c r="CX116" s="603" t="str">
        <f>IF(CX114=36,15,"")</f>
        <v/>
      </c>
      <c r="CY116" s="603" t="str">
        <f>IF(CY114=37,16,"")</f>
        <v/>
      </c>
      <c r="CZ116" s="603" t="str">
        <f>IF(CZ114=38,17,"")</f>
        <v/>
      </c>
      <c r="DA116" s="603" t="str">
        <f>IF(DA114=39,18,"")</f>
        <v/>
      </c>
      <c r="DB116" s="603" t="str">
        <f>IF(DB114=40,19,"")</f>
        <v/>
      </c>
      <c r="DC116" s="604" t="str">
        <f>IF(DC114=41,20,"")</f>
        <v/>
      </c>
    </row>
    <row r="117" spans="2:109" ht="40.5" customHeight="1" thickBot="1" x14ac:dyDescent="0.35">
      <c r="B117" s="292"/>
      <c r="C117" s="292"/>
      <c r="D117" s="291"/>
      <c r="E117" s="291"/>
      <c r="F117" s="291"/>
      <c r="G117" s="890"/>
      <c r="H117" s="22"/>
      <c r="I117" s="22"/>
      <c r="J117" s="22"/>
      <c r="K117" s="22"/>
      <c r="L117" s="22"/>
      <c r="M117" s="22"/>
      <c r="N117" s="22"/>
      <c r="O117" s="883"/>
      <c r="P117" s="667">
        <v>6</v>
      </c>
      <c r="U117" s="67"/>
      <c r="AB117" s="67"/>
      <c r="AC117" s="67"/>
      <c r="AD117" s="67"/>
      <c r="AE117" s="67"/>
      <c r="BE117" s="77"/>
      <c r="BF117" s="77"/>
      <c r="BG117" s="77"/>
      <c r="BH117" s="77"/>
      <c r="BK117" s="958" t="b">
        <f>AND(BM117&gt;=10,$AZ$150&gt;=10,$BA$150&gt;=10,$AZ$175&gt;=10,$BA$175&gt;=10)</f>
        <v>1</v>
      </c>
      <c r="BL117" s="873" t="str">
        <f>IF(BK117=TRUE,"O K","OVERLOAD")</f>
        <v>O K</v>
      </c>
      <c r="BM117" s="947">
        <f>SUM(I132:M132)</f>
        <v>103.2487761459724</v>
      </c>
      <c r="BN117" s="786" t="s">
        <v>92</v>
      </c>
      <c r="BO117" s="780">
        <v>-10</v>
      </c>
      <c r="BP117" s="780">
        <v>-9</v>
      </c>
      <c r="BQ117" s="780">
        <v>-8</v>
      </c>
      <c r="BR117" s="780">
        <v>-7</v>
      </c>
      <c r="BS117" s="780">
        <v>-6</v>
      </c>
      <c r="BT117" s="780">
        <v>-5</v>
      </c>
      <c r="BU117" s="780">
        <v>-4</v>
      </c>
      <c r="BV117" s="780">
        <v>-3</v>
      </c>
      <c r="BW117" s="780">
        <v>-2</v>
      </c>
      <c r="BX117" s="780">
        <v>-1</v>
      </c>
      <c r="BY117" s="780">
        <v>0</v>
      </c>
      <c r="BZ117" s="780">
        <v>1</v>
      </c>
      <c r="CA117" s="780">
        <v>2</v>
      </c>
      <c r="CB117" s="780">
        <v>3</v>
      </c>
      <c r="CC117" s="780">
        <v>4</v>
      </c>
      <c r="CD117" s="780">
        <v>5</v>
      </c>
      <c r="CE117" s="780">
        <v>6</v>
      </c>
      <c r="CF117" s="780">
        <v>7</v>
      </c>
      <c r="CG117" s="780">
        <v>8</v>
      </c>
      <c r="CH117" s="780">
        <v>9</v>
      </c>
      <c r="CI117" s="780">
        <v>10</v>
      </c>
      <c r="CJ117" s="780">
        <v>11</v>
      </c>
      <c r="CK117" s="780">
        <v>12</v>
      </c>
      <c r="CL117" s="780">
        <v>13</v>
      </c>
      <c r="CM117" s="780">
        <v>14</v>
      </c>
      <c r="CN117" s="780">
        <v>15</v>
      </c>
      <c r="CO117" s="780">
        <v>16</v>
      </c>
      <c r="CP117" s="780">
        <v>17</v>
      </c>
      <c r="CQ117" s="780">
        <v>18</v>
      </c>
      <c r="CR117" s="780">
        <v>19</v>
      </c>
      <c r="CS117" s="780">
        <v>20</v>
      </c>
      <c r="CT117" s="780">
        <v>21</v>
      </c>
      <c r="CU117" s="780">
        <v>22</v>
      </c>
      <c r="CV117" s="780">
        <v>23</v>
      </c>
      <c r="CW117" s="780">
        <v>24</v>
      </c>
      <c r="CX117" s="780">
        <v>25</v>
      </c>
      <c r="CY117" s="780">
        <v>26</v>
      </c>
      <c r="CZ117" s="780">
        <v>27</v>
      </c>
      <c r="DA117" s="780">
        <v>28</v>
      </c>
      <c r="DB117" s="780">
        <v>29</v>
      </c>
      <c r="DC117" s="780">
        <v>30</v>
      </c>
    </row>
    <row r="118" spans="2:109" ht="21" hidden="1" customHeight="1" x14ac:dyDescent="0.25">
      <c r="B118" s="292"/>
      <c r="C118" s="292"/>
      <c r="D118" s="291"/>
      <c r="E118" s="291"/>
      <c r="F118" s="291"/>
      <c r="G118" s="890"/>
      <c r="H118" s="22"/>
      <c r="I118" s="22"/>
      <c r="J118" s="22"/>
      <c r="K118" s="22"/>
      <c r="L118" s="22"/>
      <c r="M118" s="22"/>
      <c r="N118" s="22"/>
      <c r="O118" s="883"/>
      <c r="U118" s="67"/>
      <c r="AB118" s="67"/>
      <c r="AC118" s="67"/>
      <c r="AD118" s="67"/>
      <c r="AE118" s="67"/>
      <c r="BE118" s="77"/>
      <c r="BF118" s="77"/>
      <c r="BG118" s="77"/>
      <c r="BH118" s="77"/>
      <c r="BK118" s="668"/>
      <c r="BL118" s="81"/>
      <c r="BM118" s="905"/>
      <c r="BN118" s="40"/>
      <c r="BO118" s="120">
        <v>1</v>
      </c>
      <c r="BP118" s="120">
        <v>2</v>
      </c>
      <c r="BQ118" s="120">
        <v>3</v>
      </c>
      <c r="BR118" s="120">
        <v>4</v>
      </c>
      <c r="BS118" s="120">
        <v>5</v>
      </c>
      <c r="BT118" s="120">
        <v>6</v>
      </c>
      <c r="BU118" s="120">
        <v>7</v>
      </c>
      <c r="BV118" s="120">
        <v>8</v>
      </c>
      <c r="BW118" s="120">
        <v>9</v>
      </c>
      <c r="BX118" s="120">
        <v>10</v>
      </c>
      <c r="BY118" s="120">
        <v>11</v>
      </c>
      <c r="BZ118" s="120">
        <v>12</v>
      </c>
      <c r="CA118" s="120">
        <v>13</v>
      </c>
      <c r="CB118" s="120">
        <v>14</v>
      </c>
      <c r="CC118" s="120">
        <v>15</v>
      </c>
      <c r="CD118" s="120">
        <v>16</v>
      </c>
      <c r="CE118" s="120">
        <v>17</v>
      </c>
      <c r="CF118" s="120">
        <v>18</v>
      </c>
      <c r="CG118" s="120">
        <v>19</v>
      </c>
      <c r="CH118" s="120">
        <v>20</v>
      </c>
      <c r="CI118" s="576">
        <v>21</v>
      </c>
      <c r="CJ118" s="120">
        <v>22</v>
      </c>
      <c r="CK118" s="120">
        <v>23</v>
      </c>
      <c r="CL118" s="120">
        <v>24</v>
      </c>
      <c r="CM118" s="120">
        <v>25</v>
      </c>
      <c r="CN118" s="120">
        <v>26</v>
      </c>
      <c r="CO118" s="120">
        <v>27</v>
      </c>
      <c r="CP118" s="120">
        <v>28</v>
      </c>
      <c r="CQ118" s="120">
        <v>29</v>
      </c>
      <c r="CR118" s="120">
        <v>30</v>
      </c>
      <c r="CS118" s="120">
        <v>31</v>
      </c>
      <c r="CT118" s="120">
        <v>32</v>
      </c>
      <c r="CU118" s="120">
        <v>33</v>
      </c>
      <c r="CV118" s="120">
        <v>34</v>
      </c>
      <c r="CW118" s="120">
        <v>35</v>
      </c>
      <c r="CX118" s="120">
        <v>36</v>
      </c>
      <c r="CY118" s="120">
        <v>37</v>
      </c>
      <c r="CZ118" s="120">
        <v>38</v>
      </c>
      <c r="DA118" s="120">
        <v>39</v>
      </c>
      <c r="DB118" s="120">
        <v>40</v>
      </c>
      <c r="DC118" s="120">
        <v>41</v>
      </c>
    </row>
    <row r="119" spans="2:109" ht="21" hidden="1" customHeight="1" x14ac:dyDescent="0.25">
      <c r="B119" s="292"/>
      <c r="C119" s="292"/>
      <c r="D119" s="291"/>
      <c r="E119" s="291"/>
      <c r="F119" s="291"/>
      <c r="G119" s="890"/>
      <c r="H119" s="22"/>
      <c r="I119" s="22"/>
      <c r="J119" s="22"/>
      <c r="K119" s="22"/>
      <c r="L119" s="22"/>
      <c r="M119" s="22"/>
      <c r="N119" s="22"/>
      <c r="O119" s="883"/>
      <c r="U119" s="67"/>
      <c r="AB119" s="67"/>
      <c r="AC119" s="67"/>
      <c r="AD119" s="67"/>
      <c r="AE119" s="67"/>
      <c r="BE119" s="77"/>
      <c r="BF119" s="77"/>
      <c r="BG119" s="77"/>
      <c r="BH119" s="77"/>
      <c r="BK119" s="668"/>
      <c r="BL119" s="81"/>
      <c r="BM119" s="905"/>
      <c r="BN119" s="38"/>
      <c r="BO119" s="38"/>
      <c r="BP119" s="38"/>
      <c r="BQ119" s="38"/>
      <c r="BR119" s="38"/>
      <c r="BS119" s="38"/>
      <c r="BT119" s="123"/>
      <c r="BU119" s="123"/>
      <c r="BV119" s="123"/>
      <c r="BW119" s="123"/>
      <c r="BX119" s="123"/>
      <c r="BY119" s="123"/>
      <c r="BZ119" s="123"/>
      <c r="CA119" s="123"/>
      <c r="CB119" s="123"/>
      <c r="CC119" s="123"/>
      <c r="CD119" s="123"/>
      <c r="CE119" s="123"/>
      <c r="CF119" s="123"/>
      <c r="CG119" s="123"/>
      <c r="CH119" s="40"/>
      <c r="CI119" s="40"/>
      <c r="CJ119" s="40"/>
      <c r="CK119" s="40"/>
      <c r="CL119" s="40"/>
      <c r="CM119" s="40"/>
      <c r="CN119" s="40"/>
      <c r="CO119" s="40"/>
      <c r="CP119" s="40"/>
      <c r="CQ119" s="40"/>
      <c r="CR119" s="40"/>
      <c r="CS119" s="40"/>
      <c r="CT119" s="40"/>
      <c r="CU119" s="40"/>
      <c r="CV119" s="40"/>
      <c r="CW119" s="40"/>
      <c r="CX119" s="40"/>
      <c r="CY119" s="40"/>
      <c r="CZ119" s="40"/>
      <c r="DA119" s="40"/>
      <c r="DB119" s="40"/>
    </row>
    <row r="120" spans="2:109" ht="21" hidden="1" customHeight="1" x14ac:dyDescent="0.25">
      <c r="B120" s="292"/>
      <c r="C120" s="292"/>
      <c r="D120" s="291"/>
      <c r="E120" s="291"/>
      <c r="F120" s="291"/>
      <c r="G120" s="890"/>
      <c r="H120" s="22"/>
      <c r="I120" s="22"/>
      <c r="J120" s="22"/>
      <c r="K120" s="22"/>
      <c r="L120" s="22"/>
      <c r="M120" s="22"/>
      <c r="N120" s="22"/>
      <c r="O120" s="883"/>
      <c r="U120" s="67"/>
      <c r="AB120" s="67"/>
      <c r="AC120" s="67"/>
      <c r="AD120" s="67"/>
      <c r="AE120" s="67"/>
      <c r="BE120" s="81"/>
      <c r="BF120" s="81"/>
      <c r="BG120" s="81"/>
      <c r="BH120" s="81"/>
      <c r="BK120" s="668"/>
      <c r="BL120" s="81"/>
      <c r="BM120" s="905"/>
      <c r="BN120" s="77"/>
      <c r="BO120" s="77"/>
      <c r="BP120" s="77"/>
      <c r="BQ120" s="77"/>
      <c r="BR120" s="77"/>
      <c r="BS120" s="77"/>
      <c r="BT120" s="124"/>
      <c r="BU120" s="124"/>
      <c r="BV120" s="124"/>
      <c r="BW120" s="124"/>
      <c r="BX120" s="124"/>
      <c r="BY120" s="124"/>
      <c r="BZ120" s="124"/>
      <c r="CA120" s="124"/>
      <c r="CB120" s="124"/>
      <c r="CC120" s="124"/>
      <c r="CD120" s="124"/>
      <c r="CE120" s="124"/>
      <c r="CF120" s="124"/>
      <c r="CG120" s="124"/>
    </row>
    <row r="121" spans="2:109" ht="21" hidden="1" customHeight="1" x14ac:dyDescent="0.2">
      <c r="B121" s="292"/>
      <c r="C121" s="292"/>
      <c r="D121" s="291"/>
      <c r="E121" s="291"/>
      <c r="F121" s="291"/>
      <c r="G121" s="890"/>
      <c r="H121" s="22"/>
      <c r="I121" s="22"/>
      <c r="J121" s="22"/>
      <c r="K121" s="22"/>
      <c r="L121" s="22"/>
      <c r="M121" s="22"/>
      <c r="N121" s="22"/>
      <c r="O121" s="883"/>
      <c r="U121" s="67"/>
      <c r="AB121" s="67"/>
      <c r="AC121" s="67"/>
      <c r="AD121" s="67"/>
      <c r="AE121" s="67"/>
      <c r="BE121" s="81"/>
      <c r="BF121" s="81"/>
      <c r="BG121" s="81"/>
      <c r="BH121" s="81"/>
      <c r="BK121" s="125" t="s">
        <v>55</v>
      </c>
      <c r="BL121" s="110"/>
      <c r="BM121" s="905"/>
      <c r="BN121" s="27"/>
      <c r="BQ121" s="77"/>
      <c r="BR121" s="77"/>
      <c r="BS121" s="77"/>
      <c r="BT121" s="124"/>
      <c r="BU121" s="124"/>
      <c r="BV121" s="124"/>
      <c r="BW121" s="124"/>
      <c r="BX121" s="124"/>
      <c r="BY121" s="124"/>
      <c r="BZ121" s="124"/>
      <c r="CA121" s="124"/>
      <c r="CB121" s="124"/>
      <c r="CC121" s="124"/>
      <c r="CD121" s="124"/>
      <c r="CE121" s="124"/>
      <c r="CF121" s="124"/>
      <c r="CG121" s="124"/>
      <c r="CP121" s="27"/>
      <c r="DE121" s="125" t="s">
        <v>54</v>
      </c>
    </row>
    <row r="122" spans="2:109" ht="21" hidden="1" customHeight="1" x14ac:dyDescent="0.2">
      <c r="B122" s="292"/>
      <c r="C122" s="292"/>
      <c r="D122" s="291"/>
      <c r="E122" s="291"/>
      <c r="F122" s="291"/>
      <c r="G122" s="890"/>
      <c r="H122" s="22"/>
      <c r="I122" s="22"/>
      <c r="J122" s="22"/>
      <c r="K122" s="22"/>
      <c r="L122" s="22"/>
      <c r="M122" s="22"/>
      <c r="N122" s="22"/>
      <c r="O122" s="883"/>
      <c r="U122" s="67"/>
      <c r="AB122" s="67"/>
      <c r="AC122" s="67"/>
      <c r="AD122" s="67"/>
      <c r="AE122" s="67"/>
      <c r="BE122" s="81"/>
      <c r="BF122" s="81"/>
      <c r="BG122" s="81"/>
      <c r="BH122" s="81"/>
      <c r="BK122" s="125">
        <f>-+CM202</f>
        <v>512.66353384369677</v>
      </c>
      <c r="BL122" s="110"/>
      <c r="BM122" s="905"/>
      <c r="BN122" s="27"/>
      <c r="BQ122" s="77"/>
      <c r="BR122" s="77"/>
      <c r="BS122" s="77"/>
      <c r="BT122" s="124"/>
      <c r="BU122" s="124"/>
      <c r="BV122" s="124"/>
      <c r="BW122" s="124"/>
      <c r="BX122" s="124"/>
      <c r="BY122" s="124"/>
      <c r="BZ122" s="124"/>
      <c r="CA122" s="124"/>
      <c r="CB122" s="124"/>
      <c r="CC122" s="124"/>
      <c r="CD122" s="124"/>
      <c r="CE122" s="124"/>
      <c r="CF122" s="124"/>
      <c r="CG122" s="124"/>
      <c r="CN122" s="133"/>
      <c r="CP122" s="27"/>
      <c r="DE122" s="125">
        <f>+-CM242</f>
        <v>-607.33646615630323</v>
      </c>
    </row>
    <row r="123" spans="2:109" ht="21" hidden="1" customHeight="1" x14ac:dyDescent="0.25">
      <c r="B123" s="292"/>
      <c r="C123" s="292"/>
      <c r="D123" s="291"/>
      <c r="E123" s="291"/>
      <c r="F123" s="291"/>
      <c r="G123" s="890"/>
      <c r="H123" s="22"/>
      <c r="I123" s="22"/>
      <c r="J123" s="22"/>
      <c r="K123" s="22"/>
      <c r="L123" s="22"/>
      <c r="M123" s="22"/>
      <c r="N123" s="22"/>
      <c r="O123" s="883"/>
      <c r="U123" s="67"/>
      <c r="AB123" s="67"/>
      <c r="AC123" s="67"/>
      <c r="AD123" s="67"/>
      <c r="AE123" s="67"/>
      <c r="BE123" s="81"/>
      <c r="BF123" s="81"/>
      <c r="BG123" s="81"/>
      <c r="BH123" s="81"/>
      <c r="BK123" s="668"/>
      <c r="BL123" s="81"/>
      <c r="BM123" s="905"/>
      <c r="BN123" s="77"/>
      <c r="BO123" s="77"/>
      <c r="BP123" s="77"/>
      <c r="BQ123" s="77"/>
      <c r="BR123" s="77"/>
      <c r="BS123" s="77"/>
      <c r="BT123" s="124"/>
      <c r="BU123" s="124"/>
      <c r="BV123" s="124"/>
      <c r="BW123" s="124"/>
      <c r="BX123" s="124"/>
      <c r="BY123" s="124"/>
      <c r="BZ123" s="124"/>
      <c r="CA123" s="124"/>
      <c r="CB123" s="124"/>
      <c r="CC123" s="124"/>
      <c r="CD123" s="124"/>
      <c r="CE123" s="124"/>
      <c r="CF123" s="124"/>
      <c r="CG123" s="124"/>
    </row>
    <row r="124" spans="2:109" ht="110" hidden="1" x14ac:dyDescent="0.45">
      <c r="B124" s="292"/>
      <c r="C124" s="292"/>
      <c r="D124" s="291"/>
      <c r="E124" s="291"/>
      <c r="F124" s="291"/>
      <c r="G124" s="890"/>
      <c r="H124" s="22"/>
      <c r="I124" s="837" t="s">
        <v>193</v>
      </c>
      <c r="J124" s="837" t="s">
        <v>194</v>
      </c>
      <c r="K124" s="838" t="s">
        <v>195</v>
      </c>
      <c r="L124" s="839" t="s">
        <v>196</v>
      </c>
      <c r="M124" s="840" t="s">
        <v>197</v>
      </c>
      <c r="N124" s="22"/>
      <c r="O124" s="883"/>
      <c r="U124" s="67"/>
      <c r="AB124" s="67"/>
      <c r="AC124" s="67"/>
      <c r="AD124" s="67"/>
      <c r="AE124" s="67"/>
      <c r="BE124" s="81"/>
      <c r="BF124" s="81"/>
      <c r="BG124" s="81"/>
      <c r="BH124" s="81"/>
      <c r="BK124" s="669"/>
      <c r="BL124" s="135"/>
      <c r="BM124" s="135"/>
      <c r="BN124" s="77"/>
      <c r="BO124" s="77"/>
      <c r="BP124" s="77"/>
      <c r="BQ124" s="77"/>
      <c r="BR124" s="77"/>
      <c r="BS124" s="77"/>
      <c r="BT124" s="124"/>
      <c r="BU124" s="124"/>
      <c r="BV124" s="124"/>
      <c r="BW124" s="124"/>
      <c r="BX124" s="124"/>
      <c r="BY124" s="124"/>
      <c r="BZ124" s="124"/>
      <c r="CA124" s="124"/>
      <c r="CB124" s="124"/>
      <c r="CC124" s="124"/>
      <c r="CD124" s="124"/>
      <c r="CE124" s="124"/>
      <c r="CF124" s="124"/>
      <c r="CG124" s="124"/>
    </row>
    <row r="125" spans="2:109" ht="90" hidden="1" thickBot="1" x14ac:dyDescent="0.5">
      <c r="C125" s="292"/>
      <c r="G125" s="890"/>
      <c r="H125" s="22"/>
      <c r="I125" s="836" t="s">
        <v>198</v>
      </c>
      <c r="J125" s="841" t="s">
        <v>199</v>
      </c>
      <c r="K125" s="842" t="s">
        <v>200</v>
      </c>
      <c r="L125" s="843" t="s">
        <v>200</v>
      </c>
      <c r="M125" s="844" t="s">
        <v>200</v>
      </c>
      <c r="N125" s="22"/>
      <c r="O125" s="883"/>
      <c r="U125" s="67"/>
      <c r="AB125" s="67"/>
      <c r="AC125" s="67"/>
      <c r="AD125" s="67"/>
      <c r="AE125" s="67"/>
      <c r="BE125" s="81"/>
      <c r="BF125" s="81"/>
      <c r="BG125" s="81"/>
      <c r="BH125" s="81"/>
      <c r="BK125" s="669"/>
      <c r="BL125" s="135"/>
      <c r="BM125" s="135"/>
      <c r="BN125" s="77"/>
      <c r="BO125" s="77"/>
      <c r="BP125" s="77"/>
      <c r="BQ125" s="77"/>
      <c r="BR125" s="77"/>
      <c r="BS125" s="77"/>
      <c r="BT125" s="124"/>
      <c r="BU125" s="124"/>
      <c r="BV125" s="124"/>
      <c r="BW125" s="124"/>
      <c r="BX125" s="124"/>
      <c r="BY125" s="124"/>
      <c r="BZ125" s="124"/>
      <c r="CA125" s="124"/>
      <c r="CB125" s="124"/>
      <c r="CC125" s="124"/>
      <c r="CD125" s="124"/>
      <c r="CE125" s="124"/>
      <c r="CF125" s="124"/>
      <c r="CG125" s="124"/>
    </row>
    <row r="126" spans="2:109" ht="43.5" hidden="1" customHeight="1" thickBot="1" x14ac:dyDescent="0.5">
      <c r="B126" s="1017"/>
      <c r="C126" s="1017"/>
      <c r="D126" s="1017"/>
      <c r="E126" s="1017"/>
      <c r="G126" s="890"/>
      <c r="H126" s="871" t="s">
        <v>201</v>
      </c>
      <c r="I126" s="858">
        <f>+MIN(K31:L32)</f>
        <v>47.945438291727797</v>
      </c>
      <c r="J126" s="858">
        <f>+MIN(J37:K38)</f>
        <v>73.639112222800634</v>
      </c>
      <c r="K126" s="860">
        <f>+MIN(J43:L44)</f>
        <v>103.2487761459724</v>
      </c>
      <c r="L126" s="861">
        <f>+MIN(J49:L50)</f>
        <v>32.042723631508679</v>
      </c>
      <c r="M126" s="862">
        <f>+MIN(J55:L56)</f>
        <v>114.81975967957275</v>
      </c>
      <c r="N126" s="22"/>
      <c r="O126" s="883"/>
      <c r="U126" s="67"/>
      <c r="AB126" s="67"/>
      <c r="AC126" s="67"/>
      <c r="AD126" s="67"/>
      <c r="AE126" s="67"/>
      <c r="BE126" s="81"/>
      <c r="BF126" s="81"/>
      <c r="BG126" s="81"/>
      <c r="BH126" s="81"/>
      <c r="BK126" s="669"/>
      <c r="BL126" s="135"/>
      <c r="BM126" s="135"/>
      <c r="BN126" s="77"/>
      <c r="BO126" s="77"/>
      <c r="BP126" s="77"/>
      <c r="BQ126" s="77"/>
      <c r="BR126" s="77"/>
      <c r="BS126" s="77"/>
      <c r="BT126" s="77"/>
      <c r="BU126" s="77"/>
      <c r="BV126" s="77"/>
      <c r="BW126" s="77"/>
      <c r="BX126" s="77"/>
      <c r="BY126" s="77"/>
      <c r="BZ126" s="77"/>
      <c r="CA126" s="77"/>
      <c r="CB126" s="77"/>
      <c r="CC126" s="77"/>
      <c r="CD126" s="77"/>
      <c r="CE126" s="77"/>
      <c r="CF126" s="77"/>
      <c r="CG126" s="77"/>
      <c r="CH126" s="77"/>
      <c r="CI126" s="77"/>
      <c r="CJ126" s="77"/>
      <c r="CK126" s="77"/>
      <c r="CL126" s="77"/>
      <c r="CM126" s="77"/>
      <c r="CN126" s="77"/>
      <c r="CO126" s="77"/>
      <c r="CP126" s="77"/>
      <c r="CQ126" s="77"/>
      <c r="CR126" s="77"/>
      <c r="CS126" s="77"/>
      <c r="CT126" s="77"/>
      <c r="CU126" s="77"/>
      <c r="CV126" s="77"/>
      <c r="CW126" s="77"/>
      <c r="CX126" s="77"/>
      <c r="CY126" s="77"/>
    </row>
    <row r="127" spans="2:109" ht="31" hidden="1" x14ac:dyDescent="0.45">
      <c r="B127" s="237"/>
      <c r="C127" s="294"/>
      <c r="D127" s="237"/>
      <c r="E127" s="237"/>
      <c r="F127" s="291"/>
      <c r="G127" s="845"/>
      <c r="H127" s="77"/>
      <c r="I127" s="77"/>
      <c r="J127" s="77"/>
      <c r="K127" s="77"/>
      <c r="L127" s="77"/>
      <c r="M127" s="77"/>
      <c r="N127" s="77"/>
      <c r="O127" s="846"/>
      <c r="U127" s="67"/>
      <c r="AB127" s="67"/>
      <c r="AC127" s="67"/>
      <c r="AD127" s="67"/>
      <c r="AE127" s="67"/>
      <c r="BE127" s="81"/>
      <c r="BF127" s="81"/>
      <c r="BG127" s="81"/>
      <c r="BH127" s="81"/>
      <c r="BK127" s="669"/>
      <c r="BL127" s="135"/>
      <c r="BM127" s="135"/>
      <c r="BO127">
        <v>1</v>
      </c>
      <c r="BP127">
        <v>2</v>
      </c>
      <c r="BQ127">
        <v>3</v>
      </c>
      <c r="BR127">
        <v>4</v>
      </c>
      <c r="BS127">
        <v>5</v>
      </c>
      <c r="BT127">
        <v>6</v>
      </c>
      <c r="BU127">
        <v>7</v>
      </c>
      <c r="BV127">
        <v>8</v>
      </c>
      <c r="BW127">
        <v>9</v>
      </c>
      <c r="BX127">
        <v>10</v>
      </c>
      <c r="BY127">
        <v>11</v>
      </c>
      <c r="BZ127">
        <v>12</v>
      </c>
      <c r="CA127">
        <v>13</v>
      </c>
      <c r="CB127">
        <v>14</v>
      </c>
      <c r="CC127">
        <v>15</v>
      </c>
      <c r="CD127">
        <v>16</v>
      </c>
      <c r="CE127">
        <v>17</v>
      </c>
      <c r="CF127">
        <v>18</v>
      </c>
      <c r="CG127">
        <v>19</v>
      </c>
      <c r="CH127">
        <v>20</v>
      </c>
      <c r="CI127">
        <v>21</v>
      </c>
      <c r="CJ127">
        <v>22</v>
      </c>
      <c r="CK127">
        <v>23</v>
      </c>
      <c r="CL127">
        <v>24</v>
      </c>
      <c r="CM127">
        <v>25</v>
      </c>
      <c r="CN127">
        <v>26</v>
      </c>
      <c r="CO127">
        <v>27</v>
      </c>
      <c r="CP127">
        <v>28</v>
      </c>
      <c r="CQ127">
        <v>29</v>
      </c>
      <c r="CR127">
        <v>30</v>
      </c>
      <c r="CS127">
        <v>31</v>
      </c>
      <c r="CT127">
        <v>32</v>
      </c>
      <c r="CU127">
        <v>33</v>
      </c>
      <c r="CV127">
        <v>34</v>
      </c>
      <c r="CW127">
        <v>35</v>
      </c>
      <c r="CX127">
        <v>36</v>
      </c>
      <c r="CY127">
        <v>37</v>
      </c>
      <c r="CZ127">
        <v>38</v>
      </c>
      <c r="DA127">
        <v>39</v>
      </c>
      <c r="DB127">
        <v>40</v>
      </c>
      <c r="DC127">
        <v>41</v>
      </c>
    </row>
    <row r="128" spans="2:109" ht="31" hidden="1" x14ac:dyDescent="0.45">
      <c r="B128" s="295"/>
      <c r="C128" s="294"/>
      <c r="D128" s="296"/>
      <c r="E128" s="242"/>
      <c r="F128" s="291"/>
      <c r="G128" s="890"/>
      <c r="H128" s="122"/>
      <c r="I128" s="122"/>
      <c r="J128" s="122"/>
      <c r="K128" s="122"/>
      <c r="L128" s="122"/>
      <c r="M128" s="122"/>
      <c r="N128" s="122"/>
      <c r="O128" s="847"/>
      <c r="U128" s="67"/>
      <c r="AB128" s="67"/>
      <c r="AC128" s="67"/>
      <c r="AD128" s="67"/>
      <c r="AE128" s="67"/>
      <c r="BE128" s="81"/>
      <c r="BF128" s="81"/>
      <c r="BG128" s="81"/>
      <c r="BH128" s="81"/>
      <c r="BK128" s="669"/>
      <c r="BL128" s="135"/>
      <c r="BM128" s="135"/>
    </row>
    <row r="129" spans="2:112" ht="31" hidden="1" x14ac:dyDescent="0.45">
      <c r="B129" s="294"/>
      <c r="C129" s="294"/>
      <c r="D129" s="47"/>
      <c r="E129" s="47"/>
      <c r="F129" s="291"/>
      <c r="G129" s="890"/>
      <c r="H129" s="22"/>
      <c r="I129" s="22"/>
      <c r="J129" s="22"/>
      <c r="K129" s="22"/>
      <c r="L129" s="22"/>
      <c r="M129" s="22"/>
      <c r="N129" s="22"/>
      <c r="O129" s="883"/>
      <c r="U129" s="67"/>
      <c r="AB129" s="67"/>
      <c r="AC129" s="67"/>
      <c r="AD129" s="67"/>
      <c r="AE129" s="67"/>
      <c r="BE129" s="81"/>
      <c r="BF129" s="81"/>
      <c r="BG129" s="81"/>
      <c r="BH129" s="81"/>
      <c r="BK129" s="669"/>
      <c r="BL129" s="135"/>
      <c r="BM129" s="135"/>
    </row>
    <row r="130" spans="2:112" ht="31" hidden="1" x14ac:dyDescent="0.45">
      <c r="B130" s="237"/>
      <c r="C130" s="294"/>
      <c r="D130" s="237"/>
      <c r="E130" s="7"/>
      <c r="F130" s="291"/>
      <c r="G130" s="890"/>
      <c r="H130" s="22"/>
      <c r="I130" s="848" t="s">
        <v>188</v>
      </c>
      <c r="J130" s="848" t="s">
        <v>183</v>
      </c>
      <c r="K130" s="872" t="s">
        <v>223</v>
      </c>
      <c r="L130" s="872" t="s">
        <v>223</v>
      </c>
      <c r="M130" s="22"/>
      <c r="N130" s="22"/>
      <c r="O130" s="883"/>
      <c r="U130" s="67"/>
      <c r="AB130" s="67"/>
      <c r="AC130" s="67"/>
      <c r="AD130" s="67"/>
      <c r="AE130" s="67"/>
      <c r="BE130" s="81"/>
      <c r="BF130" s="81"/>
      <c r="BG130" s="81"/>
      <c r="BH130" s="81"/>
      <c r="BK130" s="669"/>
      <c r="BL130" s="135"/>
      <c r="BM130" s="135"/>
    </row>
    <row r="131" spans="2:112" ht="31" hidden="1" x14ac:dyDescent="0.45">
      <c r="B131" s="292"/>
      <c r="C131" s="292"/>
      <c r="F131" s="291"/>
      <c r="G131" s="849"/>
      <c r="H131" s="130"/>
      <c r="I131" s="868">
        <f>COUNTIF(CJ114:DC114,"&gt;0")</f>
        <v>1</v>
      </c>
      <c r="J131" s="868">
        <f>COUNTIF(BO114:CH114,"&gt;0")</f>
        <v>1</v>
      </c>
      <c r="K131" s="868" t="b">
        <f>AND(IF(SUM(BO116:BZ116)&gt;0,1,0),IF(CQ116="8  ADS-N ",1,0))</f>
        <v>1</v>
      </c>
      <c r="L131" s="868" t="b">
        <f>AND(IF(SUM(CR116:DC116)&gt;0,1,0),IF(CA116="8 ADS-N",1,0))</f>
        <v>0</v>
      </c>
      <c r="M131" s="868" t="b">
        <f>AND(IF(CQ116="8  ADS-N ",1,0),IF(CA116="8 ADS-N",1,0))</f>
        <v>0</v>
      </c>
      <c r="N131" s="130"/>
      <c r="O131" s="850"/>
      <c r="U131" s="67"/>
      <c r="AB131" s="67"/>
      <c r="AC131" s="67"/>
      <c r="AD131" s="67"/>
      <c r="AE131" s="67"/>
      <c r="BF131" s="81"/>
      <c r="BG131" s="81"/>
      <c r="BH131" s="81"/>
      <c r="BK131" s="669"/>
      <c r="BL131" s="135"/>
      <c r="BM131" s="135"/>
    </row>
    <row r="132" spans="2:112" ht="32" hidden="1" thickBot="1" x14ac:dyDescent="0.5">
      <c r="B132" s="292"/>
      <c r="C132" s="292"/>
      <c r="G132" s="851"/>
      <c r="H132" s="852"/>
      <c r="I132" s="869">
        <f>IF(I131=2,I126,0)</f>
        <v>0</v>
      </c>
      <c r="J132" s="869">
        <f>IF(J131=2,J126,0)</f>
        <v>0</v>
      </c>
      <c r="K132" s="869">
        <f t="shared" ref="K132:M132" si="4">IF(K131=TRUE,K126,0)</f>
        <v>103.2487761459724</v>
      </c>
      <c r="L132" s="869">
        <f t="shared" si="4"/>
        <v>0</v>
      </c>
      <c r="M132" s="869">
        <f t="shared" si="4"/>
        <v>0</v>
      </c>
      <c r="N132" s="852"/>
      <c r="O132" s="853"/>
      <c r="U132" s="67"/>
      <c r="AB132" s="67"/>
      <c r="AC132" s="67"/>
      <c r="AD132" s="67"/>
      <c r="AE132" s="67"/>
      <c r="BE132" s="81"/>
      <c r="BF132" s="81"/>
      <c r="BG132" s="81"/>
      <c r="BH132" s="81"/>
      <c r="BK132" s="669"/>
      <c r="BL132" s="135"/>
      <c r="BM132" s="135"/>
    </row>
    <row r="133" spans="2:112" ht="31" hidden="1" x14ac:dyDescent="0.45">
      <c r="B133" s="292"/>
      <c r="C133" s="292"/>
      <c r="G133" s="291"/>
      <c r="U133" s="67"/>
      <c r="AB133" s="67"/>
      <c r="AC133" s="67"/>
      <c r="AD133" s="67"/>
      <c r="AE133" s="67"/>
      <c r="BF133" s="81"/>
      <c r="BG133" s="81"/>
      <c r="BH133" s="81"/>
      <c r="BK133" s="669"/>
      <c r="BL133" s="135"/>
      <c r="BM133" s="135"/>
    </row>
    <row r="134" spans="2:112" ht="31" hidden="1" x14ac:dyDescent="0.45">
      <c r="C134" s="67"/>
      <c r="G134" s="291"/>
      <c r="U134" s="67"/>
      <c r="AB134" s="67"/>
      <c r="AC134" s="67"/>
      <c r="AD134" s="67"/>
      <c r="AE134" s="67"/>
      <c r="BF134" s="81"/>
      <c r="BG134" s="81"/>
      <c r="BH134" s="81"/>
      <c r="BK134" s="669"/>
      <c r="BL134" s="135"/>
      <c r="BM134" s="135"/>
    </row>
    <row r="135" spans="2:112" hidden="1" x14ac:dyDescent="0.25">
      <c r="B135" s="297"/>
      <c r="C135" s="297"/>
      <c r="D135" s="298"/>
      <c r="E135" s="298"/>
      <c r="F135" s="298"/>
      <c r="G135" s="298"/>
      <c r="BE135" s="81"/>
      <c r="BF135" s="81"/>
      <c r="BG135" s="81"/>
      <c r="BH135" s="81"/>
    </row>
    <row r="136" spans="2:112" hidden="1" x14ac:dyDescent="0.25">
      <c r="BF136" s="81"/>
      <c r="BG136" s="81"/>
      <c r="BH136" s="81"/>
    </row>
    <row r="137" spans="2:112" hidden="1" x14ac:dyDescent="0.25">
      <c r="B137"/>
      <c r="BE137" s="81"/>
      <c r="BF137" s="81"/>
      <c r="BG137" s="81"/>
      <c r="BH137" s="81"/>
    </row>
    <row r="138" spans="2:112" hidden="1" x14ac:dyDescent="0.25">
      <c r="B138" s="297"/>
      <c r="C138" s="297"/>
      <c r="D138" s="298"/>
      <c r="E138" s="298"/>
      <c r="F138" s="298"/>
      <c r="G138" s="298"/>
      <c r="BE138" s="81"/>
      <c r="BF138" s="81"/>
      <c r="BG138" s="81"/>
      <c r="BH138" s="81"/>
    </row>
    <row r="139" spans="2:112" hidden="1" x14ac:dyDescent="0.25">
      <c r="B139" s="297"/>
      <c r="C139" s="297"/>
      <c r="D139" s="298"/>
      <c r="E139" s="298"/>
      <c r="F139" s="298"/>
      <c r="G139" s="298"/>
      <c r="BE139" s="81"/>
      <c r="BF139" s="81"/>
      <c r="BG139" s="81"/>
      <c r="BH139" s="81"/>
    </row>
    <row r="140" spans="2:112" ht="26" hidden="1" thickBot="1" x14ac:dyDescent="0.3">
      <c r="B140" s="297"/>
      <c r="C140" s="297"/>
      <c r="D140" s="298"/>
      <c r="E140" s="298"/>
      <c r="F140" s="298"/>
      <c r="G140" s="298"/>
      <c r="BE140" s="81"/>
      <c r="BF140" s="81"/>
      <c r="BG140" s="81"/>
      <c r="BH140" s="81"/>
    </row>
    <row r="141" spans="2:112" ht="51" customHeight="1" thickBot="1" x14ac:dyDescent="0.3">
      <c r="B141" s="299"/>
      <c r="D141" s="300" t="str">
        <f>IF(BK122&gt;0," ","change the angle of frame or of cabinets")</f>
        <v xml:space="preserve"> </v>
      </c>
      <c r="E141" s="129"/>
      <c r="F141" s="129"/>
      <c r="G141" s="129"/>
      <c r="BE141" s="81"/>
      <c r="BF141" s="81"/>
      <c r="BG141" s="81"/>
      <c r="BH141" s="81"/>
      <c r="CE141" s="667"/>
      <c r="CF141" s="667"/>
      <c r="CG141" s="667"/>
      <c r="CH141" s="667"/>
      <c r="CI141" s="667"/>
      <c r="CJ141" s="667"/>
      <c r="CK141" s="667"/>
      <c r="CL141" s="667"/>
      <c r="CM141" s="667"/>
      <c r="CN141" s="667"/>
      <c r="CO141" s="667"/>
      <c r="CP141" s="667"/>
      <c r="CQ141" s="667"/>
      <c r="CR141" s="667"/>
      <c r="CS141" s="667"/>
      <c r="CT141" s="667"/>
      <c r="CU141" s="667"/>
      <c r="CV141" s="667"/>
      <c r="CW141" s="667"/>
      <c r="CX141" s="667"/>
      <c r="CY141" s="667"/>
      <c r="CZ141" s="667"/>
      <c r="DA141" s="667"/>
      <c r="DB141" s="667"/>
      <c r="DC141" s="667"/>
      <c r="DD141" s="667"/>
      <c r="DE141" s="667"/>
      <c r="DF141" s="667"/>
      <c r="DG141" s="667"/>
      <c r="DH141" s="667"/>
    </row>
    <row r="142" spans="2:112" ht="51" customHeight="1" thickBot="1" x14ac:dyDescent="0.3">
      <c r="B142" s="1012" t="s">
        <v>119</v>
      </c>
      <c r="D142" s="300" t="str">
        <f>IF(DE122&lt;0," ","change the angle of frame or of cabinets")</f>
        <v xml:space="preserve"> </v>
      </c>
      <c r="E142" s="129"/>
      <c r="F142" s="129"/>
      <c r="G142" s="129"/>
      <c r="V142" s="301"/>
      <c r="W142" s="301"/>
      <c r="X142" s="301"/>
      <c r="Y142" s="301"/>
      <c r="Z142" s="301"/>
      <c r="AA142" s="301"/>
      <c r="AF142" s="293"/>
      <c r="AG142" s="293"/>
      <c r="AH142" s="293"/>
      <c r="AI142" s="293"/>
      <c r="AJ142" s="293"/>
      <c r="AK142" s="293"/>
      <c r="AL142" s="293"/>
      <c r="AM142" s="293"/>
      <c r="AN142" s="293"/>
      <c r="AO142" s="293"/>
      <c r="AP142" s="293"/>
      <c r="AQ142" s="293"/>
      <c r="AR142" s="293"/>
      <c r="AS142" s="293"/>
      <c r="AT142" s="293"/>
      <c r="AU142" s="293"/>
      <c r="AV142" s="293"/>
      <c r="AW142" s="293"/>
      <c r="AX142" s="293"/>
      <c r="AY142" s="293"/>
      <c r="AZ142" s="293"/>
      <c r="BA142" s="293"/>
      <c r="BB142" s="85"/>
      <c r="BE142" s="81"/>
      <c r="BF142" s="81"/>
      <c r="BG142" s="81"/>
      <c r="BH142" s="81"/>
      <c r="CE142" s="667"/>
      <c r="CF142" s="667"/>
      <c r="CG142" s="667"/>
      <c r="CH142" s="667"/>
      <c r="CQ142" s="667"/>
      <c r="CR142" s="667"/>
      <c r="CS142" s="667"/>
      <c r="CT142" s="667"/>
      <c r="CU142" s="667"/>
      <c r="CV142" s="667"/>
      <c r="CW142" s="667"/>
      <c r="CX142" s="667"/>
      <c r="CY142" s="667"/>
      <c r="CZ142" s="667"/>
      <c r="DA142" s="667"/>
      <c r="DB142" s="667"/>
      <c r="DC142" s="667"/>
      <c r="DD142" s="667"/>
      <c r="DE142" s="667"/>
      <c r="DF142" s="667"/>
      <c r="DG142" s="667"/>
      <c r="DH142" s="667"/>
    </row>
    <row r="143" spans="2:112" ht="51" customHeight="1" thickBot="1" x14ac:dyDescent="0.3">
      <c r="B143" s="1013"/>
      <c r="C143" s="577"/>
      <c r="D143" s="300" t="str">
        <f>IF(BK122&gt;(+COS(($B$144*-1)*3.14159265358979/180)*294)," ","USE EXBAR-N AT THE FRONT")</f>
        <v xml:space="preserve"> </v>
      </c>
      <c r="E143" s="129"/>
      <c r="F143" s="129"/>
      <c r="G143" s="129"/>
      <c r="BE143" s="81"/>
      <c r="BF143" s="81"/>
      <c r="BG143" s="81"/>
      <c r="BH143" s="81"/>
      <c r="CE143" s="667"/>
      <c r="CF143" s="667"/>
      <c r="CG143" s="667"/>
      <c r="CH143" s="667"/>
      <c r="CQ143" s="667"/>
      <c r="CR143" s="667"/>
      <c r="CS143" s="667"/>
      <c r="CT143" s="667"/>
      <c r="CU143" s="667"/>
      <c r="CV143" s="667"/>
      <c r="CW143" s="667"/>
      <c r="CX143" s="667"/>
      <c r="CY143" s="667"/>
      <c r="CZ143" s="667"/>
      <c r="DA143" s="667"/>
      <c r="DB143" s="667"/>
      <c r="DC143" s="667"/>
      <c r="DD143" s="667"/>
      <c r="DE143" s="667"/>
      <c r="DF143" s="667"/>
      <c r="DG143" s="667"/>
      <c r="DH143" s="667"/>
    </row>
    <row r="144" spans="2:112" ht="51" customHeight="1" thickBot="1" x14ac:dyDescent="0.35">
      <c r="B144" s="3">
        <v>0</v>
      </c>
      <c r="C144" s="577"/>
      <c r="D144" s="243" t="str">
        <f>IF(DE122&lt;-(+COS(($B$144*-1)*3.14159265358979/180)*266)," ","USE EXBAR-N AT THE BACK")</f>
        <v xml:space="preserve"> </v>
      </c>
      <c r="E144" s="129"/>
      <c r="F144" s="129"/>
      <c r="G144" s="129"/>
      <c r="AK144" s="468" t="s">
        <v>106</v>
      </c>
      <c r="AL144" s="484"/>
      <c r="AM144" s="484"/>
      <c r="AN144" s="484"/>
      <c r="AO144" s="469" t="s">
        <v>107</v>
      </c>
      <c r="BE144" s="81"/>
      <c r="BF144" s="81"/>
      <c r="BG144" s="81"/>
      <c r="BH144" s="81"/>
      <c r="CE144" s="667"/>
      <c r="CF144" s="667"/>
      <c r="CG144" s="667"/>
      <c r="CH144" s="667"/>
      <c r="CQ144" s="667"/>
      <c r="CR144" s="667"/>
      <c r="CS144" s="667"/>
      <c r="CT144" s="667"/>
      <c r="CU144" s="667"/>
      <c r="CV144" s="667"/>
      <c r="CW144" s="667"/>
      <c r="CX144" s="667"/>
      <c r="CY144" s="667"/>
      <c r="CZ144" s="667"/>
      <c r="DA144" s="667"/>
      <c r="DB144" s="667"/>
      <c r="DC144" s="667"/>
      <c r="DD144" s="667"/>
      <c r="DE144" s="667"/>
      <c r="DF144" s="667"/>
      <c r="DG144" s="667"/>
      <c r="DH144" s="667"/>
    </row>
    <row r="145" spans="2:112" ht="21.75" customHeight="1" thickBot="1" x14ac:dyDescent="0.35">
      <c r="AK145" s="437" t="s">
        <v>87</v>
      </c>
      <c r="AL145" s="663" t="s">
        <v>88</v>
      </c>
      <c r="AM145" s="663" t="s">
        <v>89</v>
      </c>
      <c r="AN145" s="623" t="s">
        <v>108</v>
      </c>
      <c r="AO145" s="666" t="s">
        <v>91</v>
      </c>
      <c r="BE145" s="81"/>
      <c r="BF145" s="81"/>
      <c r="BG145" s="81"/>
      <c r="BH145" s="81"/>
      <c r="CE145" s="667"/>
      <c r="CF145" s="667"/>
      <c r="CG145" s="667"/>
      <c r="CH145" s="667"/>
      <c r="CQ145" s="667"/>
      <c r="CR145" s="667"/>
      <c r="CS145" s="667"/>
      <c r="CT145" s="667"/>
      <c r="CU145" s="667"/>
      <c r="CV145" s="667"/>
      <c r="CW145" s="667"/>
      <c r="CX145" s="667"/>
      <c r="CY145" s="667"/>
      <c r="CZ145" s="667"/>
      <c r="DA145" s="667"/>
      <c r="DB145" s="667"/>
      <c r="DC145" s="667"/>
      <c r="DD145" s="667"/>
      <c r="DE145" s="667"/>
      <c r="DF145" s="667"/>
      <c r="DG145" s="667"/>
      <c r="DH145" s="667"/>
    </row>
    <row r="146" spans="2:112" ht="67.5" customHeight="1" thickBot="1" x14ac:dyDescent="0.35">
      <c r="B146" s="302" t="s">
        <v>30</v>
      </c>
      <c r="C146" s="303"/>
      <c r="D146" s="17"/>
      <c r="E146" s="17"/>
      <c r="F146" s="17"/>
      <c r="G146" s="17"/>
      <c r="T146" s="110"/>
      <c r="AK146" s="437">
        <v>3.3679226</v>
      </c>
      <c r="AL146" s="663">
        <f>+$B$144-AK146</f>
        <v>-3.3679226</v>
      </c>
      <c r="AM146" s="664">
        <f>COS(AL146*3.14159265358979/180)</f>
        <v>0.99827287452202351</v>
      </c>
      <c r="AN146" s="625">
        <f>+AM146*273.3307633</f>
        <v>272.85868677478982</v>
      </c>
      <c r="AO146" s="665">
        <f>+((AO150*(AQ150-7.5))+(AN146*9.4)+(AO168*9.4))/(AQ150+9.4)</f>
        <v>212.66355602221117</v>
      </c>
      <c r="AP146" s="960" t="s">
        <v>230</v>
      </c>
      <c r="BE146" s="81"/>
      <c r="BF146" s="81"/>
      <c r="BG146" s="81"/>
      <c r="BH146" s="81"/>
      <c r="CE146" s="667"/>
      <c r="CF146" s="667"/>
      <c r="CG146" s="667"/>
      <c r="CH146" s="667"/>
      <c r="CQ146" s="667"/>
      <c r="CR146" s="667"/>
      <c r="CS146" s="667"/>
      <c r="CT146" s="667"/>
      <c r="CU146" s="667"/>
      <c r="CV146" s="667"/>
      <c r="CW146" s="667"/>
      <c r="CX146" s="667"/>
      <c r="CY146" s="667"/>
      <c r="CZ146" s="667"/>
      <c r="DA146" s="667"/>
      <c r="DB146" s="667"/>
      <c r="DC146" s="667"/>
      <c r="DD146" s="667"/>
      <c r="DE146" s="667"/>
      <c r="DF146" s="667"/>
      <c r="DG146" s="667"/>
      <c r="DH146" s="667"/>
    </row>
    <row r="147" spans="2:112" ht="40" thickBot="1" x14ac:dyDescent="0.3">
      <c r="B147" s="11">
        <v>1</v>
      </c>
      <c r="C147" s="137"/>
      <c r="D147" s="304" t="s">
        <v>120</v>
      </c>
      <c r="E147" s="679"/>
      <c r="F147" s="234"/>
      <c r="G147" s="234"/>
      <c r="H147" s="244" t="s">
        <v>62</v>
      </c>
      <c r="I147" s="244" t="s">
        <v>63</v>
      </c>
      <c r="J147" s="244" t="s">
        <v>64</v>
      </c>
      <c r="K147"/>
      <c r="L147"/>
      <c r="M147"/>
      <c r="N147"/>
      <c r="O147"/>
      <c r="P147" s="244" t="s">
        <v>65</v>
      </c>
      <c r="Q147" s="244" t="s">
        <v>66</v>
      </c>
      <c r="R147" s="234"/>
      <c r="S147" s="244" t="s">
        <v>67</v>
      </c>
      <c r="T147" s="305"/>
      <c r="W147" s="1016" t="s">
        <v>68</v>
      </c>
      <c r="X147" s="1016"/>
      <c r="Y147" s="1016"/>
      <c r="Z147" s="1016"/>
      <c r="AA147" s="1016"/>
      <c r="AY147" s="306"/>
      <c r="AZ147" s="1014" t="s">
        <v>50</v>
      </c>
      <c r="BA147" s="1015"/>
      <c r="BE147" s="81"/>
      <c r="BF147" s="81"/>
      <c r="BG147" s="81"/>
      <c r="BH147" s="81"/>
      <c r="CE147" s="667"/>
      <c r="CF147" s="667"/>
      <c r="CG147" s="667"/>
      <c r="CH147" s="667"/>
      <c r="CQ147" s="667"/>
      <c r="CR147" s="667"/>
      <c r="CS147" s="667"/>
      <c r="CT147" s="667"/>
      <c r="CU147" s="667"/>
      <c r="CV147" s="667"/>
      <c r="CW147" s="667"/>
      <c r="CX147" s="667"/>
      <c r="CY147" s="667"/>
      <c r="CZ147" s="667"/>
      <c r="DA147" s="667"/>
      <c r="DB147" s="667"/>
      <c r="DC147" s="667"/>
      <c r="DD147" s="667"/>
      <c r="DE147" s="667"/>
      <c r="DF147" s="667"/>
      <c r="DG147" s="667"/>
      <c r="DH147" s="667"/>
    </row>
    <row r="148" spans="2:112" ht="27" hidden="1" customHeight="1" thickBot="1" x14ac:dyDescent="0.3">
      <c r="C148" s="307"/>
      <c r="D148" s="308" t="s">
        <v>13</v>
      </c>
      <c r="H148" s="257" t="s">
        <v>4</v>
      </c>
      <c r="I148" s="257" t="s">
        <v>1</v>
      </c>
      <c r="J148" s="278" t="s">
        <v>60</v>
      </c>
      <c r="K148" s="226" t="s">
        <v>2</v>
      </c>
      <c r="L148" s="226" t="s">
        <v>3</v>
      </c>
      <c r="M148" s="226" t="s">
        <v>8</v>
      </c>
      <c r="N148" s="226" t="s">
        <v>5</v>
      </c>
      <c r="O148" s="226" t="s">
        <v>6</v>
      </c>
      <c r="P148" s="226" t="s">
        <v>7</v>
      </c>
      <c r="Q148" s="226" t="s">
        <v>9</v>
      </c>
      <c r="R148" s="257" t="s">
        <v>10</v>
      </c>
      <c r="S148" s="226" t="s">
        <v>11</v>
      </c>
      <c r="T148" s="309" t="s">
        <v>12</v>
      </c>
      <c r="W148" s="660" t="s">
        <v>133</v>
      </c>
      <c r="X148" s="226" t="s">
        <v>69</v>
      </c>
      <c r="Y148" s="660" t="s">
        <v>134</v>
      </c>
      <c r="Z148" s="310" t="s">
        <v>70</v>
      </c>
      <c r="AA148" s="310" t="s">
        <v>71</v>
      </c>
      <c r="AC148" s="226" t="s">
        <v>72</v>
      </c>
      <c r="AD148" s="226"/>
      <c r="AE148" s="226"/>
      <c r="AF148" s="311"/>
      <c r="AG148" s="311"/>
      <c r="AH148" s="311"/>
      <c r="AI148" s="311"/>
      <c r="AJ148" s="311"/>
      <c r="AK148" s="311"/>
      <c r="AL148" s="311"/>
      <c r="AM148" s="311"/>
      <c r="AN148" s="311"/>
      <c r="AO148" s="311"/>
      <c r="AP148" s="311"/>
      <c r="AQ148" s="40" t="s">
        <v>137</v>
      </c>
      <c r="AR148" s="311"/>
      <c r="AS148" s="311"/>
      <c r="AT148" s="311"/>
      <c r="AU148" s="311"/>
      <c r="AV148" s="311"/>
      <c r="AW148" s="311"/>
      <c r="AX148" s="306"/>
      <c r="AY148" s="306"/>
      <c r="AZ148" s="311"/>
      <c r="BA148" s="311"/>
      <c r="BB148" s="151"/>
      <c r="BE148" s="81"/>
      <c r="BF148" s="81"/>
      <c r="BG148" s="81"/>
      <c r="BH148" s="81"/>
      <c r="CE148" s="667"/>
      <c r="CF148" s="667"/>
      <c r="CG148" s="667"/>
      <c r="CH148" s="667"/>
      <c r="CQ148" s="667"/>
      <c r="CR148" s="667"/>
      <c r="CS148" s="667"/>
      <c r="CT148" s="667"/>
      <c r="CU148" s="667"/>
      <c r="CV148" s="667"/>
      <c r="CW148" s="667"/>
      <c r="CX148" s="667"/>
      <c r="CY148" s="667"/>
      <c r="CZ148" s="667"/>
      <c r="DA148" s="667"/>
      <c r="DB148" s="667"/>
      <c r="DC148" s="667"/>
      <c r="DD148" s="667"/>
      <c r="DE148" s="667"/>
      <c r="DF148" s="667"/>
      <c r="DG148" s="667"/>
      <c r="DH148" s="667"/>
    </row>
    <row r="149" spans="2:112" ht="39" customHeight="1" thickBot="1" x14ac:dyDescent="0.3">
      <c r="B149" s="312"/>
      <c r="C149" s="313"/>
      <c r="D149" s="250" t="s">
        <v>22</v>
      </c>
      <c r="E149" s="234"/>
      <c r="F149" s="234"/>
      <c r="G149" s="160"/>
      <c r="H149" s="257"/>
      <c r="I149" s="257"/>
      <c r="J149" s="278"/>
      <c r="K149" s="226"/>
      <c r="L149" s="226"/>
      <c r="M149" s="226"/>
      <c r="N149" s="226"/>
      <c r="O149" s="226"/>
      <c r="P149" s="226"/>
      <c r="Q149" s="226"/>
      <c r="R149" s="257"/>
      <c r="S149" s="226"/>
      <c r="T149" s="309"/>
      <c r="V149" s="311"/>
      <c r="W149" s="661"/>
      <c r="X149" s="311"/>
      <c r="Y149" s="661"/>
      <c r="Z149" s="311"/>
      <c r="AA149" s="311"/>
      <c r="AB149" s="311"/>
      <c r="AC149" s="314">
        <f>SUM(AC150:AC161)</f>
        <v>236.60761114734083</v>
      </c>
      <c r="AD149" s="315"/>
      <c r="AE149" s="315"/>
      <c r="AF149" s="311" t="s">
        <v>38</v>
      </c>
      <c r="AG149" s="316" t="s">
        <v>31</v>
      </c>
      <c r="AH149" s="316"/>
      <c r="AI149" s="266" t="s">
        <v>124</v>
      </c>
      <c r="AJ149" s="317" t="s">
        <v>32</v>
      </c>
      <c r="AK149" s="268" t="s">
        <v>33</v>
      </c>
      <c r="AL149" s="269" t="s">
        <v>125</v>
      </c>
      <c r="AM149" s="318" t="s">
        <v>34</v>
      </c>
      <c r="AN149" s="268" t="s">
        <v>35</v>
      </c>
      <c r="AO149" s="319" t="s">
        <v>47</v>
      </c>
      <c r="AP149" s="268" t="s">
        <v>135</v>
      </c>
      <c r="AQ149" s="319" t="s">
        <v>136</v>
      </c>
      <c r="AR149" s="311" t="s">
        <v>46</v>
      </c>
      <c r="AS149" s="311" t="s">
        <v>39</v>
      </c>
      <c r="AT149" s="319" t="s">
        <v>138</v>
      </c>
      <c r="AU149" s="311" t="s">
        <v>48</v>
      </c>
      <c r="AV149" s="320" t="s">
        <v>41</v>
      </c>
      <c r="AW149" s="320" t="s">
        <v>42</v>
      </c>
      <c r="AX149" s="321" t="s">
        <v>23</v>
      </c>
      <c r="AY149" s="321" t="s">
        <v>24</v>
      </c>
      <c r="AZ149" s="322" t="s">
        <v>23</v>
      </c>
      <c r="BA149" s="322" t="s">
        <v>24</v>
      </c>
      <c r="BC149" s="196"/>
      <c r="BE149" s="81"/>
      <c r="BF149" s="81"/>
      <c r="BG149" s="81"/>
      <c r="BH149" s="81"/>
      <c r="CE149" s="667"/>
      <c r="CF149" s="667"/>
      <c r="CG149" s="667"/>
      <c r="CH149" s="667"/>
      <c r="CQ149" s="667"/>
      <c r="CR149" s="667"/>
      <c r="CS149" s="667"/>
      <c r="CT149" s="667"/>
      <c r="CU149" s="667"/>
      <c r="CV149" s="667"/>
      <c r="CW149" s="667"/>
      <c r="CX149" s="667"/>
      <c r="CY149" s="667"/>
      <c r="CZ149" s="667"/>
      <c r="DA149" s="667"/>
      <c r="DB149" s="667"/>
      <c r="DC149" s="667"/>
      <c r="DD149" s="667"/>
      <c r="DE149" s="667"/>
      <c r="DF149" s="667"/>
      <c r="DG149" s="667"/>
      <c r="DH149" s="667"/>
    </row>
    <row r="150" spans="2:112" ht="25" customHeight="1" thickBot="1" x14ac:dyDescent="0.3">
      <c r="B150" s="175">
        <v>1</v>
      </c>
      <c r="C150" s="176">
        <f>+(B144*-1)+D150</f>
        <v>0</v>
      </c>
      <c r="D150" s="10">
        <v>0</v>
      </c>
      <c r="E150" s="323" t="s">
        <v>123</v>
      </c>
      <c r="F150" s="200"/>
      <c r="G150" s="200"/>
      <c r="H150" s="626">
        <v>316.69135080000001</v>
      </c>
      <c r="I150" s="626">
        <v>41.658166299999998</v>
      </c>
      <c r="J150" s="244">
        <f>+I150-C150</f>
        <v>41.658166299999998</v>
      </c>
      <c r="K150" s="200"/>
      <c r="L150" s="200"/>
      <c r="M150" s="200"/>
      <c r="N150" s="200"/>
      <c r="O150" s="200"/>
      <c r="P150" s="244">
        <f>COS(J150*3.14159265358979/180)</f>
        <v>0.74712369172584558</v>
      </c>
      <c r="Q150" s="244">
        <f>+P150*H150</f>
        <v>236.60761114734083</v>
      </c>
      <c r="R150" s="278">
        <v>236.60761120000001</v>
      </c>
      <c r="S150" s="244">
        <f>+Q150</f>
        <v>236.60761114734083</v>
      </c>
      <c r="T150" s="200">
        <f t="shared" ref="T150:T161" si="5">+S150</f>
        <v>236.60761114734083</v>
      </c>
      <c r="U150" s="200"/>
      <c r="V150" s="200">
        <f t="shared" ref="V150:V161" si="6">IF(B150&lt;($B$147+1),T150,0)</f>
        <v>236.60761114734083</v>
      </c>
      <c r="W150" s="662">
        <v>41.658166299999998</v>
      </c>
      <c r="X150" s="200">
        <f>+W150+AH162</f>
        <v>41.658166299999998</v>
      </c>
      <c r="Y150" s="662">
        <v>316.69135080000001</v>
      </c>
      <c r="Z150" s="324">
        <f>+COS(X150*3.14159265358979/180)*Y150</f>
        <v>236.60761114734083</v>
      </c>
      <c r="AA150" s="325">
        <f>+AC149-Z150</f>
        <v>0</v>
      </c>
      <c r="AB150" s="200"/>
      <c r="AC150" s="326">
        <f>IF(AD150=1,AF150)</f>
        <v>236.60761114734083</v>
      </c>
      <c r="AD150" s="326">
        <f t="shared" ref="AD150:AD161" si="7">MAX(AE$150:AE$161)</f>
        <v>1</v>
      </c>
      <c r="AE150" s="326">
        <f>IF(V150=0,0,1)</f>
        <v>1</v>
      </c>
      <c r="AF150" s="327">
        <f>SUM(V150:V161)/($B$147)</f>
        <v>236.60761114734083</v>
      </c>
      <c r="AG150" s="328">
        <f>+D150+C150</f>
        <v>0</v>
      </c>
      <c r="AH150" s="329">
        <f t="shared" ref="AH150:AH161" si="8">IF(B150&lt;($B$147+1),AG150)</f>
        <v>0</v>
      </c>
      <c r="AI150" s="281">
        <f>48.3418337+AG150</f>
        <v>48.341833700000002</v>
      </c>
      <c r="AJ150" s="330">
        <f>SIN(AI150*3.14159265358979/180)</f>
        <v>0.74712369172584447</v>
      </c>
      <c r="AK150" s="283">
        <f>+AJ150*316.6913508</f>
        <v>236.60761114734046</v>
      </c>
      <c r="AL150" s="281">
        <f>55.9091199-AG150</f>
        <v>55.9091199</v>
      </c>
      <c r="AM150" s="331">
        <f>SIN(AL150*3.14159265358979/180)</f>
        <v>0.82814956232072179</v>
      </c>
      <c r="AN150" s="283">
        <f>+AM150*375.5484699</f>
        <v>311.01030097790175</v>
      </c>
      <c r="AO150" s="332">
        <f t="shared" ref="AO150:AO161" si="9">+((AF150*AP150)+($AP$175*($AF$175+$AA$150)))/AQ150</f>
        <v>180.66919738490537</v>
      </c>
      <c r="AP150" s="283">
        <f>33*B147</f>
        <v>33</v>
      </c>
      <c r="AQ150" s="332">
        <f t="shared" ref="AQ150:AQ161" si="10">+AP150+$AP$175+7.5</f>
        <v>55.5</v>
      </c>
      <c r="AR150" s="333">
        <f>+AN150+AK150</f>
        <v>547.61791212524224</v>
      </c>
      <c r="AS150" s="334">
        <f>+V150-AN150</f>
        <v>-74.402689830560917</v>
      </c>
      <c r="AT150" s="335">
        <f>+AO150-AS150</f>
        <v>255.07188721546629</v>
      </c>
      <c r="AU150" s="334">
        <f>+AF150-AS150</f>
        <v>311.01030097790175</v>
      </c>
      <c r="AV150" s="336">
        <f>+((AR150-AT150)/AR150)*AQ150</f>
        <v>29.648965132424784</v>
      </c>
      <c r="AW150" s="336">
        <f>+(AT150/AR150)*AQ150</f>
        <v>25.851034867575219</v>
      </c>
      <c r="AX150" s="337">
        <f t="shared" ref="AX150:AX161" si="11">2*$C$19/AV150</f>
        <v>202.36794010183726</v>
      </c>
      <c r="AY150" s="337">
        <f t="shared" ref="AY150:AY161" si="12">2*$D$19/AW150</f>
        <v>232.09902546399641</v>
      </c>
      <c r="AZ150" s="338">
        <f>ABS(AX150)</f>
        <v>202.36794010183726</v>
      </c>
      <c r="BA150" s="338">
        <f>ABS(AY150)</f>
        <v>232.09902546399641</v>
      </c>
      <c r="BB150" s="51"/>
      <c r="BC150" s="196"/>
      <c r="BE150" s="81"/>
      <c r="BF150" s="81"/>
      <c r="BG150" s="81"/>
      <c r="BH150" s="81"/>
      <c r="CE150" s="667"/>
      <c r="CF150" s="667"/>
      <c r="CG150" s="667"/>
      <c r="CH150" s="667"/>
      <c r="CQ150" s="667"/>
      <c r="CR150" s="667"/>
      <c r="CS150" s="667"/>
      <c r="CT150" s="667"/>
      <c r="CU150" s="667"/>
      <c r="CV150" s="667"/>
      <c r="CW150" s="667"/>
      <c r="CX150" s="667"/>
      <c r="CY150" s="667"/>
      <c r="CZ150" s="667"/>
      <c r="DA150" s="667"/>
      <c r="DB150" s="667"/>
      <c r="DC150" s="667"/>
      <c r="DD150" s="667"/>
      <c r="DE150" s="667"/>
      <c r="DF150" s="667"/>
      <c r="DG150" s="667"/>
      <c r="DH150" s="667"/>
    </row>
    <row r="151" spans="2:112" ht="25" customHeight="1" thickBot="1" x14ac:dyDescent="0.3">
      <c r="B151" s="197">
        <v>2</v>
      </c>
      <c r="C151" s="198"/>
      <c r="D151" s="10">
        <v>0</v>
      </c>
      <c r="E151" s="177" t="s">
        <v>123</v>
      </c>
      <c r="F151" s="178"/>
      <c r="G151" s="178"/>
      <c r="H151" s="659">
        <v>375.54846989999999</v>
      </c>
      <c r="I151" s="659">
        <v>68.183381800000006</v>
      </c>
      <c r="J151" s="178">
        <f>+I151+D151</f>
        <v>68.183381800000006</v>
      </c>
      <c r="K151" s="178">
        <f t="shared" ref="K151:K161" si="13">+J151/2</f>
        <v>34.091690900000003</v>
      </c>
      <c r="L151" s="178">
        <f t="shared" ref="L151:L161" si="14">SIN(K151*3.14159265358979/180)</f>
        <v>0.56051890240384605</v>
      </c>
      <c r="M151" s="178">
        <f t="shared" ref="M151:M161" si="15">+L151*H151</f>
        <v>210.50201614779181</v>
      </c>
      <c r="N151" s="178">
        <f t="shared" ref="N151:N161" si="16">+M151*2</f>
        <v>421.00403229558361</v>
      </c>
      <c r="O151" s="178">
        <f>+C150+(D151/2)</f>
        <v>0</v>
      </c>
      <c r="P151" s="178">
        <f t="shared" ref="P151:P161" si="17">SIN(O151*3.14159265358979/180)</f>
        <v>0</v>
      </c>
      <c r="Q151" s="178">
        <f t="shared" ref="Q151:Q161" si="18">+P151*N151</f>
        <v>0</v>
      </c>
      <c r="R151" s="178">
        <f t="shared" ref="R151:R161" si="19">+T150</f>
        <v>236.60761114734083</v>
      </c>
      <c r="S151" s="178">
        <f>+R151+Q151</f>
        <v>236.60761114734083</v>
      </c>
      <c r="T151" s="178">
        <f t="shared" si="5"/>
        <v>236.60761114734083</v>
      </c>
      <c r="U151" s="178"/>
      <c r="V151" s="178">
        <f t="shared" si="6"/>
        <v>0</v>
      </c>
      <c r="W151" s="178"/>
      <c r="X151" s="178"/>
      <c r="Y151" s="178"/>
      <c r="Z151" s="178"/>
      <c r="AA151" s="178"/>
      <c r="AB151" s="178"/>
      <c r="AC151" s="326" t="b">
        <f>IF(AD151=2,AF151)</f>
        <v>0</v>
      </c>
      <c r="AD151" s="326">
        <f t="shared" si="7"/>
        <v>1</v>
      </c>
      <c r="AE151" s="326">
        <f>IF(V151=0,0,2)</f>
        <v>0</v>
      </c>
      <c r="AF151" s="327" t="e">
        <f>SUM(V151:V161)/($B$147-B150)</f>
        <v>#DIV/0!</v>
      </c>
      <c r="AG151" s="339">
        <f>SUM(D151)+$C$150</f>
        <v>0</v>
      </c>
      <c r="AH151" s="329" t="b">
        <f t="shared" si="8"/>
        <v>0</v>
      </c>
      <c r="AI151" s="281">
        <f t="shared" ref="AI151:AI161" si="20">48.3418337+AG151</f>
        <v>48.341833700000002</v>
      </c>
      <c r="AJ151" s="330">
        <f>SIN(AI151*3.14159265358979/180)</f>
        <v>0.74712369172584447</v>
      </c>
      <c r="AK151" s="283">
        <f t="shared" ref="AK151:AK161" si="21">+AJ151*316.6913508</f>
        <v>236.60761114734046</v>
      </c>
      <c r="AL151" s="281">
        <f t="shared" ref="AL151:AL161" si="22">55.9091199-AG151</f>
        <v>55.9091199</v>
      </c>
      <c r="AM151" s="331">
        <f t="shared" ref="AM151:AM161" si="23">SIN(AL151*3.14159265358979/180)</f>
        <v>0.82814956232072179</v>
      </c>
      <c r="AN151" s="283">
        <f t="shared" ref="AN151:AN161" si="24">+AM151*375.5484699</f>
        <v>311.01030097790175</v>
      </c>
      <c r="AO151" s="332" t="e">
        <f t="shared" si="9"/>
        <v>#DIV/0!</v>
      </c>
      <c r="AP151" s="283">
        <f>33*($B$147-B150)</f>
        <v>0</v>
      </c>
      <c r="AQ151" s="332">
        <f t="shared" si="10"/>
        <v>22.5</v>
      </c>
      <c r="AR151" s="333">
        <f t="shared" ref="AR151:AR161" si="25">+AN151+AK151</f>
        <v>547.61791212524224</v>
      </c>
      <c r="AS151" s="334">
        <f>+V151-AN151</f>
        <v>-311.01030097790175</v>
      </c>
      <c r="AT151" s="335" t="e">
        <f t="shared" ref="AT151:AT161" si="26">+AO151-AS151</f>
        <v>#DIV/0!</v>
      </c>
      <c r="AU151" s="334" t="e">
        <f>+AF151-AS151</f>
        <v>#DIV/0!</v>
      </c>
      <c r="AV151" s="336" t="e">
        <f t="shared" ref="AV151:AV161" si="27">+((AR151-AT151)/AR151)*AQ151</f>
        <v>#DIV/0!</v>
      </c>
      <c r="AW151" s="336" t="e">
        <f t="shared" ref="AW151:AW161" si="28">+(AT151/AR151)*AQ151</f>
        <v>#DIV/0!</v>
      </c>
      <c r="AX151" s="337" t="e">
        <f t="shared" si="11"/>
        <v>#DIV/0!</v>
      </c>
      <c r="AY151" s="337" t="e">
        <f t="shared" si="12"/>
        <v>#DIV/0!</v>
      </c>
      <c r="AZ151" s="340" t="e">
        <f t="shared" ref="AZ151:AZ161" si="29">ABS(AX151)</f>
        <v>#DIV/0!</v>
      </c>
      <c r="BA151" s="340" t="e">
        <f t="shared" ref="BA151:BA161" si="30">ABS(AY151)</f>
        <v>#DIV/0!</v>
      </c>
      <c r="BC151" s="196"/>
      <c r="BE151" s="81"/>
      <c r="BF151" s="81"/>
      <c r="BG151" s="81"/>
      <c r="BH151" s="81"/>
      <c r="CE151" s="667"/>
      <c r="CF151" s="667"/>
      <c r="CG151" s="667"/>
      <c r="CH151" s="667"/>
      <c r="CQ151" s="667"/>
      <c r="CR151" s="667"/>
      <c r="CS151" s="667"/>
      <c r="CT151" s="667"/>
      <c r="CU151" s="667"/>
      <c r="CV151" s="667"/>
      <c r="CW151" s="667"/>
      <c r="CX151" s="667"/>
      <c r="CY151" s="667"/>
      <c r="CZ151" s="667"/>
      <c r="DA151" s="667"/>
      <c r="DB151" s="667"/>
      <c r="DC151" s="667"/>
      <c r="DD151" s="667"/>
      <c r="DE151" s="667"/>
      <c r="DF151" s="667"/>
      <c r="DG151" s="667"/>
      <c r="DH151" s="667"/>
    </row>
    <row r="152" spans="2:112" ht="25" customHeight="1" thickBot="1" x14ac:dyDescent="0.3">
      <c r="B152" s="197">
        <v>3</v>
      </c>
      <c r="C152" s="198"/>
      <c r="D152" s="10">
        <v>0</v>
      </c>
      <c r="E152" s="177" t="s">
        <v>123</v>
      </c>
      <c r="F152" s="178"/>
      <c r="G152" s="178"/>
      <c r="H152" s="659">
        <v>375.54846989999999</v>
      </c>
      <c r="I152" s="659">
        <v>68.183381800000006</v>
      </c>
      <c r="J152" s="178">
        <f t="shared" ref="J152:J161" si="31">+I152+D152</f>
        <v>68.183381800000006</v>
      </c>
      <c r="K152" s="178">
        <f t="shared" si="13"/>
        <v>34.091690900000003</v>
      </c>
      <c r="L152" s="178">
        <f t="shared" si="14"/>
        <v>0.56051890240384605</v>
      </c>
      <c r="M152" s="178">
        <f t="shared" si="15"/>
        <v>210.50201614779181</v>
      </c>
      <c r="N152" s="178">
        <f t="shared" si="16"/>
        <v>421.00403229558361</v>
      </c>
      <c r="O152" s="178">
        <f>+C150+D151+(D152/2)</f>
        <v>0</v>
      </c>
      <c r="P152" s="178">
        <f t="shared" si="17"/>
        <v>0</v>
      </c>
      <c r="Q152" s="178">
        <f t="shared" si="18"/>
        <v>0</v>
      </c>
      <c r="R152" s="178">
        <f t="shared" si="19"/>
        <v>236.60761114734083</v>
      </c>
      <c r="S152" s="178">
        <f t="shared" ref="S152:S161" si="32">+S151+Q152</f>
        <v>236.60761114734083</v>
      </c>
      <c r="T152" s="178">
        <f t="shared" si="5"/>
        <v>236.60761114734083</v>
      </c>
      <c r="U152" s="178"/>
      <c r="V152" s="178">
        <f t="shared" si="6"/>
        <v>0</v>
      </c>
      <c r="W152" s="178"/>
      <c r="X152" s="178"/>
      <c r="Y152" s="178"/>
      <c r="Z152" s="178"/>
      <c r="AA152" s="178"/>
      <c r="AB152" s="178"/>
      <c r="AC152" s="326" t="b">
        <f>IF(AD152=3,AF152)</f>
        <v>0</v>
      </c>
      <c r="AD152" s="326">
        <f t="shared" si="7"/>
        <v>1</v>
      </c>
      <c r="AE152" s="326">
        <f>IF(V152=0,0,3)</f>
        <v>0</v>
      </c>
      <c r="AF152" s="327">
        <f>SUM(V152:V161)/($B$147-B151)</f>
        <v>0</v>
      </c>
      <c r="AG152" s="339">
        <f>SUM(D151:D152)+$C$150</f>
        <v>0</v>
      </c>
      <c r="AH152" s="329" t="b">
        <f t="shared" si="8"/>
        <v>0</v>
      </c>
      <c r="AI152" s="281">
        <f t="shared" si="20"/>
        <v>48.341833700000002</v>
      </c>
      <c r="AJ152" s="330">
        <f t="shared" ref="AJ152:AJ161" si="33">SIN(AI152*3.14159265358979/180)</f>
        <v>0.74712369172584447</v>
      </c>
      <c r="AK152" s="283">
        <f t="shared" si="21"/>
        <v>236.60761114734046</v>
      </c>
      <c r="AL152" s="281">
        <f t="shared" si="22"/>
        <v>55.9091199</v>
      </c>
      <c r="AM152" s="331">
        <f t="shared" si="23"/>
        <v>0.82814956232072179</v>
      </c>
      <c r="AN152" s="283">
        <f t="shared" si="24"/>
        <v>311.01030097790175</v>
      </c>
      <c r="AO152" s="332">
        <f t="shared" si="9"/>
        <v>-211.34183685714282</v>
      </c>
      <c r="AP152" s="283">
        <f t="shared" ref="AP152:AP161" si="34">33*($B$147-B151)</f>
        <v>-33</v>
      </c>
      <c r="AQ152" s="332">
        <f t="shared" si="10"/>
        <v>-10.5</v>
      </c>
      <c r="AR152" s="333">
        <f t="shared" si="25"/>
        <v>547.61791212524224</v>
      </c>
      <c r="AS152" s="334">
        <f>+V152-AN152</f>
        <v>-311.01030097790175</v>
      </c>
      <c r="AT152" s="335">
        <f t="shared" si="26"/>
        <v>99.668464120758927</v>
      </c>
      <c r="AU152" s="334">
        <f>+AF152-AS152</f>
        <v>311.01030097790175</v>
      </c>
      <c r="AV152" s="336">
        <f t="shared" si="27"/>
        <v>-8.5889615732134299</v>
      </c>
      <c r="AW152" s="336">
        <f t="shared" si="28"/>
        <v>-1.9110384267865694</v>
      </c>
      <c r="AX152" s="337">
        <f t="shared" si="11"/>
        <v>-698.57106110619043</v>
      </c>
      <c r="AY152" s="337">
        <f t="shared" si="12"/>
        <v>-3139.6542926083707</v>
      </c>
      <c r="AZ152" s="340">
        <f t="shared" si="29"/>
        <v>698.57106110619043</v>
      </c>
      <c r="BA152" s="340">
        <f t="shared" si="30"/>
        <v>3139.6542926083707</v>
      </c>
      <c r="BC152" s="196"/>
      <c r="BE152" s="81"/>
      <c r="BF152" s="81"/>
      <c r="BG152" s="81"/>
      <c r="BH152" s="81"/>
      <c r="CE152" s="667"/>
      <c r="CF152" s="667"/>
      <c r="CG152" s="667"/>
      <c r="CH152" s="667"/>
      <c r="CQ152" s="667"/>
      <c r="CR152" s="667"/>
      <c r="CS152" s="667"/>
      <c r="CT152" s="667"/>
      <c r="CU152" s="667"/>
      <c r="CV152" s="667"/>
      <c r="CW152" s="667"/>
      <c r="CX152" s="667"/>
      <c r="CY152" s="667"/>
      <c r="CZ152" s="667"/>
      <c r="DA152" s="667"/>
      <c r="DB152" s="667"/>
      <c r="DC152" s="667"/>
      <c r="DD152" s="667"/>
      <c r="DE152" s="667"/>
      <c r="DF152" s="667"/>
      <c r="DG152" s="667"/>
      <c r="DH152" s="667"/>
    </row>
    <row r="153" spans="2:112" ht="25" customHeight="1" thickBot="1" x14ac:dyDescent="0.3">
      <c r="B153" s="197">
        <v>4</v>
      </c>
      <c r="C153" s="198"/>
      <c r="D153" s="10">
        <v>0</v>
      </c>
      <c r="E153" s="177" t="s">
        <v>123</v>
      </c>
      <c r="F153" s="178"/>
      <c r="G153" s="178"/>
      <c r="H153" s="659">
        <v>375.54846989999999</v>
      </c>
      <c r="I153" s="659">
        <v>68.183381800000006</v>
      </c>
      <c r="J153" s="178">
        <f t="shared" si="31"/>
        <v>68.183381800000006</v>
      </c>
      <c r="K153" s="178">
        <f t="shared" si="13"/>
        <v>34.091690900000003</v>
      </c>
      <c r="L153" s="178">
        <f t="shared" si="14"/>
        <v>0.56051890240384605</v>
      </c>
      <c r="M153" s="178">
        <f t="shared" si="15"/>
        <v>210.50201614779181</v>
      </c>
      <c r="N153" s="178">
        <f t="shared" si="16"/>
        <v>421.00403229558361</v>
      </c>
      <c r="O153" s="178">
        <f>+C150+D151+D152+(D153/2)</f>
        <v>0</v>
      </c>
      <c r="P153" s="178">
        <f t="shared" si="17"/>
        <v>0</v>
      </c>
      <c r="Q153" s="178">
        <f t="shared" si="18"/>
        <v>0</v>
      </c>
      <c r="R153" s="178">
        <f t="shared" si="19"/>
        <v>236.60761114734083</v>
      </c>
      <c r="S153" s="178">
        <f t="shared" si="32"/>
        <v>236.60761114734083</v>
      </c>
      <c r="T153" s="178">
        <f t="shared" si="5"/>
        <v>236.60761114734083</v>
      </c>
      <c r="U153" s="178"/>
      <c r="V153" s="178">
        <f t="shared" si="6"/>
        <v>0</v>
      </c>
      <c r="W153" s="178"/>
      <c r="X153" s="178"/>
      <c r="Y153" s="178"/>
      <c r="Z153" s="178"/>
      <c r="AA153" s="178"/>
      <c r="AB153" s="178"/>
      <c r="AC153" s="326" t="b">
        <f>IF(AD153=4,AF153)</f>
        <v>0</v>
      </c>
      <c r="AD153" s="326">
        <f t="shared" si="7"/>
        <v>1</v>
      </c>
      <c r="AE153" s="326">
        <f>IF(V153=0,0,4)</f>
        <v>0</v>
      </c>
      <c r="AF153" s="327">
        <f>SUM(V153:V161)/($B$147-B152)</f>
        <v>0</v>
      </c>
      <c r="AG153" s="339">
        <f>SUM(D151:D153)+$C$150</f>
        <v>0</v>
      </c>
      <c r="AH153" s="329" t="b">
        <f t="shared" si="8"/>
        <v>0</v>
      </c>
      <c r="AI153" s="281">
        <f t="shared" si="20"/>
        <v>48.341833700000002</v>
      </c>
      <c r="AJ153" s="330">
        <f t="shared" si="33"/>
        <v>0.74712369172584447</v>
      </c>
      <c r="AK153" s="283">
        <f t="shared" si="21"/>
        <v>236.60761114734046</v>
      </c>
      <c r="AL153" s="281">
        <f t="shared" si="22"/>
        <v>55.9091199</v>
      </c>
      <c r="AM153" s="331">
        <f t="shared" si="23"/>
        <v>0.82814956232072179</v>
      </c>
      <c r="AN153" s="283">
        <f t="shared" si="24"/>
        <v>311.01030097790175</v>
      </c>
      <c r="AO153" s="332">
        <f t="shared" si="9"/>
        <v>-51.013546827586204</v>
      </c>
      <c r="AP153" s="283">
        <f t="shared" si="34"/>
        <v>-66</v>
      </c>
      <c r="AQ153" s="332">
        <f t="shared" si="10"/>
        <v>-43.5</v>
      </c>
      <c r="AR153" s="333">
        <f t="shared" si="25"/>
        <v>547.61791212524224</v>
      </c>
      <c r="AS153" s="334">
        <f>+V153-AN153</f>
        <v>-311.01030097790175</v>
      </c>
      <c r="AT153" s="335">
        <f t="shared" si="26"/>
        <v>259.99675415031555</v>
      </c>
      <c r="AU153" s="334">
        <f t="shared" ref="AU153:AU161" si="35">+AF153-AS153</f>
        <v>311.01030097790175</v>
      </c>
      <c r="AV153" s="336">
        <f t="shared" si="27"/>
        <v>-22.847171531248016</v>
      </c>
      <c r="AW153" s="336">
        <f t="shared" si="28"/>
        <v>-20.652828468751988</v>
      </c>
      <c r="AX153" s="337">
        <f t="shared" si="11"/>
        <v>-262.61456442403892</v>
      </c>
      <c r="AY153" s="337">
        <f t="shared" si="12"/>
        <v>-290.51710805994838</v>
      </c>
      <c r="AZ153" s="340">
        <f t="shared" si="29"/>
        <v>262.61456442403892</v>
      </c>
      <c r="BA153" s="340">
        <f t="shared" si="30"/>
        <v>290.51710805994838</v>
      </c>
      <c r="BC153" s="196"/>
      <c r="BE153" s="81"/>
      <c r="BF153" s="81"/>
      <c r="BG153" s="81"/>
      <c r="BH153" s="81"/>
      <c r="CE153" s="667"/>
      <c r="CF153" s="667"/>
      <c r="CG153" s="667"/>
      <c r="CH153" s="667"/>
      <c r="CQ153" s="667"/>
      <c r="CR153" s="667"/>
      <c r="CS153" s="667"/>
      <c r="CT153" s="667"/>
      <c r="CU153" s="667"/>
      <c r="CV153" s="667"/>
      <c r="CW153" s="667"/>
      <c r="CX153" s="667"/>
      <c r="CY153" s="667"/>
      <c r="CZ153" s="667"/>
      <c r="DA153" s="667"/>
      <c r="DB153" s="667"/>
      <c r="DC153" s="667"/>
      <c r="DD153" s="667"/>
      <c r="DE153" s="667"/>
      <c r="DF153" s="667"/>
      <c r="DG153" s="667"/>
      <c r="DH153" s="667"/>
    </row>
    <row r="154" spans="2:112" ht="25" customHeight="1" thickBot="1" x14ac:dyDescent="0.3">
      <c r="B154" s="197">
        <v>5</v>
      </c>
      <c r="C154" s="198"/>
      <c r="D154" s="10">
        <v>0</v>
      </c>
      <c r="E154" s="177" t="s">
        <v>123</v>
      </c>
      <c r="F154" s="178"/>
      <c r="G154" s="178"/>
      <c r="H154" s="659">
        <v>375.54846989999999</v>
      </c>
      <c r="I154" s="659">
        <v>68.183381800000006</v>
      </c>
      <c r="J154" s="178">
        <f t="shared" si="31"/>
        <v>68.183381800000006</v>
      </c>
      <c r="K154" s="178">
        <f t="shared" si="13"/>
        <v>34.091690900000003</v>
      </c>
      <c r="L154" s="178">
        <f t="shared" si="14"/>
        <v>0.56051890240384605</v>
      </c>
      <c r="M154" s="178">
        <f t="shared" si="15"/>
        <v>210.50201614779181</v>
      </c>
      <c r="N154" s="178">
        <f t="shared" si="16"/>
        <v>421.00403229558361</v>
      </c>
      <c r="O154" s="178">
        <f>+C150+D151+D152+D153+(D154/2)</f>
        <v>0</v>
      </c>
      <c r="P154" s="178">
        <f t="shared" si="17"/>
        <v>0</v>
      </c>
      <c r="Q154" s="178">
        <f t="shared" si="18"/>
        <v>0</v>
      </c>
      <c r="R154" s="178">
        <f t="shared" si="19"/>
        <v>236.60761114734083</v>
      </c>
      <c r="S154" s="178">
        <f t="shared" si="32"/>
        <v>236.60761114734083</v>
      </c>
      <c r="T154" s="178">
        <f t="shared" si="5"/>
        <v>236.60761114734083</v>
      </c>
      <c r="U154" s="178"/>
      <c r="V154" s="178">
        <f t="shared" si="6"/>
        <v>0</v>
      </c>
      <c r="W154" s="178"/>
      <c r="X154" s="178"/>
      <c r="Y154" s="178"/>
      <c r="Z154" s="178"/>
      <c r="AA154" s="178"/>
      <c r="AB154" s="178"/>
      <c r="AC154" s="326" t="b">
        <f>IF(AD154=5,AF154)</f>
        <v>0</v>
      </c>
      <c r="AD154" s="326">
        <f t="shared" si="7"/>
        <v>1</v>
      </c>
      <c r="AE154" s="326">
        <f>IF(V154=0,0,5)</f>
        <v>0</v>
      </c>
      <c r="AF154" s="327">
        <f>SUM(V154:V161)/($B$147-B153)</f>
        <v>0</v>
      </c>
      <c r="AG154" s="339">
        <f>SUM(D151:D154)+$C$150</f>
        <v>0</v>
      </c>
      <c r="AH154" s="329" t="b">
        <f t="shared" si="8"/>
        <v>0</v>
      </c>
      <c r="AI154" s="281">
        <f t="shared" si="20"/>
        <v>48.341833700000002</v>
      </c>
      <c r="AJ154" s="330">
        <f t="shared" si="33"/>
        <v>0.74712369172584447</v>
      </c>
      <c r="AK154" s="283">
        <f t="shared" si="21"/>
        <v>236.60761114734046</v>
      </c>
      <c r="AL154" s="281">
        <f t="shared" si="22"/>
        <v>55.9091199</v>
      </c>
      <c r="AM154" s="331">
        <f t="shared" si="23"/>
        <v>0.82814956232072179</v>
      </c>
      <c r="AN154" s="283">
        <f t="shared" si="24"/>
        <v>311.01030097790175</v>
      </c>
      <c r="AO154" s="332">
        <f t="shared" si="9"/>
        <v>-29.007703098039212</v>
      </c>
      <c r="AP154" s="283">
        <f t="shared" si="34"/>
        <v>-99</v>
      </c>
      <c r="AQ154" s="332">
        <f t="shared" si="10"/>
        <v>-76.5</v>
      </c>
      <c r="AR154" s="333">
        <f t="shared" si="25"/>
        <v>547.61791212524224</v>
      </c>
      <c r="AS154" s="334">
        <f t="shared" ref="AS154:AS161" si="36">+V154-AN154</f>
        <v>-311.01030097790175</v>
      </c>
      <c r="AT154" s="335">
        <f t="shared" si="26"/>
        <v>282.00259787986255</v>
      </c>
      <c r="AU154" s="334">
        <f t="shared" si="35"/>
        <v>311.01030097790175</v>
      </c>
      <c r="AV154" s="336">
        <f t="shared" si="27"/>
        <v>-37.105381489282593</v>
      </c>
      <c r="AW154" s="336">
        <f t="shared" si="28"/>
        <v>-39.394618510717407</v>
      </c>
      <c r="AX154" s="337">
        <f t="shared" si="11"/>
        <v>-161.70161198135159</v>
      </c>
      <c r="AY154" s="337">
        <f t="shared" si="12"/>
        <v>-152.30506670264327</v>
      </c>
      <c r="AZ154" s="340">
        <f t="shared" si="29"/>
        <v>161.70161198135159</v>
      </c>
      <c r="BA154" s="340">
        <f t="shared" si="30"/>
        <v>152.30506670264327</v>
      </c>
      <c r="BC154" s="196"/>
      <c r="BE154" s="81"/>
      <c r="BF154" s="81"/>
      <c r="BG154" s="81"/>
      <c r="BH154" s="81"/>
      <c r="CE154" s="667"/>
      <c r="CF154" s="667"/>
      <c r="CG154" s="667"/>
      <c r="CH154" s="667"/>
      <c r="CQ154" s="667"/>
      <c r="CR154" s="667"/>
      <c r="CS154" s="667"/>
      <c r="CT154" s="667"/>
      <c r="CU154" s="667"/>
      <c r="CV154" s="667"/>
      <c r="CW154" s="667"/>
      <c r="CX154" s="667"/>
      <c r="CY154" s="667"/>
      <c r="CZ154" s="667"/>
      <c r="DA154" s="667"/>
      <c r="DB154" s="667"/>
      <c r="DC154" s="667"/>
      <c r="DD154" s="667"/>
      <c r="DE154" s="667"/>
      <c r="DF154" s="667"/>
      <c r="DG154" s="667"/>
      <c r="DH154" s="667"/>
    </row>
    <row r="155" spans="2:112" ht="25" customHeight="1" thickBot="1" x14ac:dyDescent="0.3">
      <c r="B155" s="197">
        <v>6</v>
      </c>
      <c r="C155" s="198"/>
      <c r="D155" s="10">
        <v>0</v>
      </c>
      <c r="E155" s="177" t="s">
        <v>123</v>
      </c>
      <c r="F155" s="178"/>
      <c r="G155" s="178"/>
      <c r="H155" s="659">
        <v>375.54846989999999</v>
      </c>
      <c r="I155" s="659">
        <v>68.183381800000006</v>
      </c>
      <c r="J155" s="178">
        <f t="shared" si="31"/>
        <v>68.183381800000006</v>
      </c>
      <c r="K155" s="178">
        <f t="shared" si="13"/>
        <v>34.091690900000003</v>
      </c>
      <c r="L155" s="178">
        <f t="shared" si="14"/>
        <v>0.56051890240384605</v>
      </c>
      <c r="M155" s="178">
        <f t="shared" si="15"/>
        <v>210.50201614779181</v>
      </c>
      <c r="N155" s="178">
        <f t="shared" si="16"/>
        <v>421.00403229558361</v>
      </c>
      <c r="O155" s="178">
        <f>+C150+D151+D152+D153+D154+(D155/2)</f>
        <v>0</v>
      </c>
      <c r="P155" s="178">
        <f t="shared" si="17"/>
        <v>0</v>
      </c>
      <c r="Q155" s="178">
        <f t="shared" si="18"/>
        <v>0</v>
      </c>
      <c r="R155" s="178">
        <f t="shared" si="19"/>
        <v>236.60761114734083</v>
      </c>
      <c r="S155" s="178">
        <f t="shared" si="32"/>
        <v>236.60761114734083</v>
      </c>
      <c r="T155" s="178">
        <f t="shared" si="5"/>
        <v>236.60761114734083</v>
      </c>
      <c r="U155" s="178"/>
      <c r="V155" s="178">
        <f t="shared" si="6"/>
        <v>0</v>
      </c>
      <c r="W155" s="178"/>
      <c r="X155" s="178"/>
      <c r="Y155" s="178"/>
      <c r="Z155" s="178"/>
      <c r="AA155" s="178"/>
      <c r="AB155" s="178"/>
      <c r="AC155" s="326" t="b">
        <f>IF(AD155=6,AF155)</f>
        <v>0</v>
      </c>
      <c r="AD155" s="326">
        <f t="shared" si="7"/>
        <v>1</v>
      </c>
      <c r="AE155" s="326">
        <f>IF(V155=0,0,6)</f>
        <v>0</v>
      </c>
      <c r="AF155" s="327">
        <f>SUM(V155:V161)/($B$147-B154)</f>
        <v>0</v>
      </c>
      <c r="AG155" s="339">
        <f>SUM(D151:D155)+$C$150</f>
        <v>0</v>
      </c>
      <c r="AH155" s="329" t="b">
        <f t="shared" si="8"/>
        <v>0</v>
      </c>
      <c r="AI155" s="281">
        <f t="shared" si="20"/>
        <v>48.341833700000002</v>
      </c>
      <c r="AJ155" s="330">
        <f t="shared" si="33"/>
        <v>0.74712369172584447</v>
      </c>
      <c r="AK155" s="283">
        <f t="shared" si="21"/>
        <v>236.60761114734046</v>
      </c>
      <c r="AL155" s="281">
        <f t="shared" si="22"/>
        <v>55.9091199</v>
      </c>
      <c r="AM155" s="331">
        <f t="shared" si="23"/>
        <v>0.82814956232072179</v>
      </c>
      <c r="AN155" s="283">
        <f t="shared" si="24"/>
        <v>311.01030097790175</v>
      </c>
      <c r="AO155" s="332">
        <f t="shared" si="9"/>
        <v>-20.265655589041096</v>
      </c>
      <c r="AP155" s="283">
        <f t="shared" si="34"/>
        <v>-132</v>
      </c>
      <c r="AQ155" s="332">
        <f t="shared" si="10"/>
        <v>-109.5</v>
      </c>
      <c r="AR155" s="333">
        <f t="shared" si="25"/>
        <v>547.61791212524224</v>
      </c>
      <c r="AS155" s="334">
        <f t="shared" si="36"/>
        <v>-311.01030097790175</v>
      </c>
      <c r="AT155" s="335">
        <f t="shared" si="26"/>
        <v>290.74464538886065</v>
      </c>
      <c r="AU155" s="334">
        <f t="shared" si="35"/>
        <v>311.01030097790175</v>
      </c>
      <c r="AV155" s="336">
        <f t="shared" si="27"/>
        <v>-51.363591447317177</v>
      </c>
      <c r="AW155" s="336">
        <f t="shared" si="28"/>
        <v>-58.136408552682823</v>
      </c>
      <c r="AX155" s="337">
        <f t="shared" si="11"/>
        <v>-116.81426144342156</v>
      </c>
      <c r="AY155" s="337">
        <f t="shared" si="12"/>
        <v>-103.20554966106722</v>
      </c>
      <c r="AZ155" s="340">
        <f t="shared" si="29"/>
        <v>116.81426144342156</v>
      </c>
      <c r="BA155" s="340">
        <f t="shared" si="30"/>
        <v>103.20554966106722</v>
      </c>
      <c r="BC155" s="196"/>
      <c r="BE155" s="81"/>
      <c r="BF155" s="81"/>
      <c r="BG155" s="81"/>
      <c r="BH155" s="81"/>
      <c r="CE155" s="667"/>
      <c r="CF155" s="667"/>
      <c r="CG155" s="667"/>
      <c r="CH155" s="667"/>
      <c r="CQ155" s="667"/>
      <c r="CR155" s="667"/>
      <c r="CS155" s="667"/>
      <c r="CT155" s="667"/>
      <c r="CU155" s="667"/>
      <c r="CV155" s="667"/>
      <c r="CW155" s="667"/>
      <c r="CX155" s="667"/>
      <c r="CY155" s="667"/>
      <c r="CZ155" s="667"/>
      <c r="DA155" s="667"/>
      <c r="DB155" s="667"/>
      <c r="DC155" s="667"/>
      <c r="DD155" s="667"/>
      <c r="DE155" s="667"/>
      <c r="DF155" s="667"/>
      <c r="DG155" s="667"/>
      <c r="DH155" s="667"/>
    </row>
    <row r="156" spans="2:112" ht="25" customHeight="1" thickBot="1" x14ac:dyDescent="0.3">
      <c r="B156" s="197">
        <v>7</v>
      </c>
      <c r="C156" s="198"/>
      <c r="D156" s="10">
        <v>0</v>
      </c>
      <c r="E156" s="177" t="s">
        <v>123</v>
      </c>
      <c r="F156" s="178"/>
      <c r="G156" s="178"/>
      <c r="H156" s="659">
        <v>375.54846989999999</v>
      </c>
      <c r="I156" s="659">
        <v>68.183381800000006</v>
      </c>
      <c r="J156" s="178">
        <f t="shared" si="31"/>
        <v>68.183381800000006</v>
      </c>
      <c r="K156" s="178">
        <f t="shared" si="13"/>
        <v>34.091690900000003</v>
      </c>
      <c r="L156" s="178">
        <f t="shared" si="14"/>
        <v>0.56051890240384605</v>
      </c>
      <c r="M156" s="178">
        <f t="shared" si="15"/>
        <v>210.50201614779181</v>
      </c>
      <c r="N156" s="178">
        <f t="shared" si="16"/>
        <v>421.00403229558361</v>
      </c>
      <c r="O156" s="178">
        <f>+C150+D151+D152+D153+D154+D155+(D156/2)</f>
        <v>0</v>
      </c>
      <c r="P156" s="178">
        <f t="shared" si="17"/>
        <v>0</v>
      </c>
      <c r="Q156" s="178">
        <f t="shared" si="18"/>
        <v>0</v>
      </c>
      <c r="R156" s="178">
        <f t="shared" si="19"/>
        <v>236.60761114734083</v>
      </c>
      <c r="S156" s="178">
        <f t="shared" si="32"/>
        <v>236.60761114734083</v>
      </c>
      <c r="T156" s="178">
        <f t="shared" si="5"/>
        <v>236.60761114734083</v>
      </c>
      <c r="U156" s="178"/>
      <c r="V156" s="178">
        <f t="shared" si="6"/>
        <v>0</v>
      </c>
      <c r="W156" s="178"/>
      <c r="X156" s="178"/>
      <c r="Y156" s="178"/>
      <c r="Z156" s="178"/>
      <c r="AA156" s="178"/>
      <c r="AB156" s="178"/>
      <c r="AC156" s="326" t="b">
        <f>IF(AD156=7,AF156)</f>
        <v>0</v>
      </c>
      <c r="AD156" s="326">
        <f t="shared" si="7"/>
        <v>1</v>
      </c>
      <c r="AE156" s="326">
        <f>IF(V156=0,0,7)</f>
        <v>0</v>
      </c>
      <c r="AF156" s="327">
        <f>SUM(V156:V161)/($B$147-B155)</f>
        <v>0</v>
      </c>
      <c r="AG156" s="339">
        <f>SUM(D151:D156)+$C$150</f>
        <v>0</v>
      </c>
      <c r="AH156" s="329" t="b">
        <f t="shared" si="8"/>
        <v>0</v>
      </c>
      <c r="AI156" s="281">
        <f t="shared" si="20"/>
        <v>48.341833700000002</v>
      </c>
      <c r="AJ156" s="330">
        <f t="shared" si="33"/>
        <v>0.74712369172584447</v>
      </c>
      <c r="AK156" s="283">
        <f t="shared" si="21"/>
        <v>236.60761114734046</v>
      </c>
      <c r="AL156" s="281">
        <f t="shared" si="22"/>
        <v>55.9091199</v>
      </c>
      <c r="AM156" s="331">
        <f t="shared" si="23"/>
        <v>0.82814956232072179</v>
      </c>
      <c r="AN156" s="283">
        <f t="shared" si="24"/>
        <v>311.01030097790175</v>
      </c>
      <c r="AO156" s="332">
        <f t="shared" si="9"/>
        <v>-15.572556399999998</v>
      </c>
      <c r="AP156" s="283">
        <f t="shared" si="34"/>
        <v>-165</v>
      </c>
      <c r="AQ156" s="332">
        <f t="shared" si="10"/>
        <v>-142.5</v>
      </c>
      <c r="AR156" s="333">
        <f t="shared" si="25"/>
        <v>547.61791212524224</v>
      </c>
      <c r="AS156" s="334">
        <f t="shared" si="36"/>
        <v>-311.01030097790175</v>
      </c>
      <c r="AT156" s="335">
        <f t="shared" si="26"/>
        <v>295.43774457790175</v>
      </c>
      <c r="AU156" s="334">
        <f t="shared" si="35"/>
        <v>311.01030097790175</v>
      </c>
      <c r="AV156" s="336">
        <f t="shared" si="27"/>
        <v>-65.621801405351761</v>
      </c>
      <c r="AW156" s="336">
        <f t="shared" si="28"/>
        <v>-76.878198594648239</v>
      </c>
      <c r="AX156" s="337">
        <f t="shared" si="11"/>
        <v>-91.433027919143228</v>
      </c>
      <c r="AY156" s="337">
        <f t="shared" si="12"/>
        <v>-78.045533189921557</v>
      </c>
      <c r="AZ156" s="340">
        <f t="shared" si="29"/>
        <v>91.433027919143228</v>
      </c>
      <c r="BA156" s="340">
        <f t="shared" si="30"/>
        <v>78.045533189921557</v>
      </c>
      <c r="BC156" s="196"/>
      <c r="BE156" s="81"/>
      <c r="BF156" s="81"/>
      <c r="BG156" s="81"/>
      <c r="BH156" s="81"/>
      <c r="CE156" s="667"/>
      <c r="CF156" s="667"/>
      <c r="CG156" s="667"/>
      <c r="CH156" s="667"/>
      <c r="CQ156" s="667"/>
      <c r="CR156" s="667"/>
      <c r="CS156" s="667"/>
      <c r="CT156" s="667"/>
      <c r="CU156" s="667"/>
      <c r="CV156" s="667"/>
      <c r="CW156" s="667"/>
      <c r="CX156" s="667"/>
      <c r="CY156" s="667"/>
      <c r="CZ156" s="667"/>
      <c r="DA156" s="667"/>
      <c r="DB156" s="667"/>
      <c r="DC156" s="667"/>
      <c r="DD156" s="667"/>
      <c r="DE156" s="667"/>
      <c r="DF156" s="667"/>
      <c r="DG156" s="667"/>
      <c r="DH156" s="667"/>
    </row>
    <row r="157" spans="2:112" ht="25" customHeight="1" thickBot="1" x14ac:dyDescent="0.3">
      <c r="B157" s="197">
        <v>8</v>
      </c>
      <c r="C157" s="198"/>
      <c r="D157" s="10">
        <v>0</v>
      </c>
      <c r="E157" s="177" t="s">
        <v>123</v>
      </c>
      <c r="F157" s="178"/>
      <c r="G157" s="178"/>
      <c r="H157" s="659">
        <v>375.54846989999999</v>
      </c>
      <c r="I157" s="659">
        <v>68.183381800000006</v>
      </c>
      <c r="J157" s="178">
        <f t="shared" si="31"/>
        <v>68.183381800000006</v>
      </c>
      <c r="K157" s="178">
        <f t="shared" si="13"/>
        <v>34.091690900000003</v>
      </c>
      <c r="L157" s="178">
        <f t="shared" si="14"/>
        <v>0.56051890240384605</v>
      </c>
      <c r="M157" s="178">
        <f t="shared" si="15"/>
        <v>210.50201614779181</v>
      </c>
      <c r="N157" s="178">
        <f t="shared" si="16"/>
        <v>421.00403229558361</v>
      </c>
      <c r="O157" s="178">
        <f>+C150+D151+D152+D153+D154+D155+D156+(D157/2)</f>
        <v>0</v>
      </c>
      <c r="P157" s="178">
        <f t="shared" si="17"/>
        <v>0</v>
      </c>
      <c r="Q157" s="178">
        <f t="shared" si="18"/>
        <v>0</v>
      </c>
      <c r="R157" s="178">
        <f t="shared" si="19"/>
        <v>236.60761114734083</v>
      </c>
      <c r="S157" s="178">
        <f t="shared" si="32"/>
        <v>236.60761114734083</v>
      </c>
      <c r="T157" s="178">
        <f t="shared" si="5"/>
        <v>236.60761114734083</v>
      </c>
      <c r="U157" s="178"/>
      <c r="V157" s="178">
        <f t="shared" si="6"/>
        <v>0</v>
      </c>
      <c r="W157" s="178"/>
      <c r="X157" s="178"/>
      <c r="Y157" s="178"/>
      <c r="Z157" s="178"/>
      <c r="AA157" s="178"/>
      <c r="AB157" s="178"/>
      <c r="AC157" s="326" t="b">
        <f>IF(AD157=8,AF157)</f>
        <v>0</v>
      </c>
      <c r="AD157" s="326">
        <f t="shared" si="7"/>
        <v>1</v>
      </c>
      <c r="AE157" s="326">
        <f>IF(V157=0,0,8)</f>
        <v>0</v>
      </c>
      <c r="AF157" s="327">
        <f>SUM(V157:V161)/($B$147-B156)</f>
        <v>0</v>
      </c>
      <c r="AG157" s="339">
        <f>SUM(D151:D157)+$C$150</f>
        <v>0</v>
      </c>
      <c r="AH157" s="329" t="b">
        <f t="shared" si="8"/>
        <v>0</v>
      </c>
      <c r="AI157" s="281">
        <f t="shared" si="20"/>
        <v>48.341833700000002</v>
      </c>
      <c r="AJ157" s="330">
        <f t="shared" si="33"/>
        <v>0.74712369172584447</v>
      </c>
      <c r="AK157" s="283">
        <f t="shared" si="21"/>
        <v>236.60761114734046</v>
      </c>
      <c r="AL157" s="281">
        <f t="shared" si="22"/>
        <v>55.9091199</v>
      </c>
      <c r="AM157" s="331">
        <f t="shared" si="23"/>
        <v>0.82814956232072179</v>
      </c>
      <c r="AN157" s="283">
        <f t="shared" si="24"/>
        <v>311.01030097790175</v>
      </c>
      <c r="AO157" s="332">
        <f t="shared" si="9"/>
        <v>-12.644383401709401</v>
      </c>
      <c r="AP157" s="283">
        <f t="shared" si="34"/>
        <v>-198</v>
      </c>
      <c r="AQ157" s="332">
        <f t="shared" si="10"/>
        <v>-175.5</v>
      </c>
      <c r="AR157" s="333">
        <f t="shared" si="25"/>
        <v>547.61791212524224</v>
      </c>
      <c r="AS157" s="334">
        <f t="shared" si="36"/>
        <v>-311.01030097790175</v>
      </c>
      <c r="AT157" s="335">
        <f t="shared" si="26"/>
        <v>298.36591757619237</v>
      </c>
      <c r="AU157" s="334">
        <f t="shared" si="35"/>
        <v>311.01030097790175</v>
      </c>
      <c r="AV157" s="336">
        <f t="shared" si="27"/>
        <v>-79.880011363386345</v>
      </c>
      <c r="AW157" s="336">
        <f t="shared" si="28"/>
        <v>-95.61998863661367</v>
      </c>
      <c r="AX157" s="337">
        <f t="shared" si="11"/>
        <v>-75.112658318300504</v>
      </c>
      <c r="AY157" s="337">
        <f t="shared" si="12"/>
        <v>-62.748386457165417</v>
      </c>
      <c r="AZ157" s="340">
        <f t="shared" si="29"/>
        <v>75.112658318300504</v>
      </c>
      <c r="BA157" s="340">
        <f t="shared" si="30"/>
        <v>62.748386457165417</v>
      </c>
      <c r="BC157" s="196"/>
      <c r="BE157" s="81"/>
      <c r="BF157" s="81"/>
      <c r="BG157" s="81"/>
      <c r="BH157" s="81"/>
      <c r="CE157" s="667"/>
      <c r="CF157" s="667"/>
      <c r="CG157" s="667"/>
      <c r="CH157" s="667"/>
      <c r="CQ157" s="667"/>
      <c r="CR157" s="667"/>
      <c r="CS157" s="667"/>
      <c r="CT157" s="667"/>
      <c r="CU157" s="667"/>
      <c r="CV157" s="667"/>
      <c r="CW157" s="667"/>
      <c r="CX157" s="667"/>
      <c r="CY157" s="667"/>
      <c r="CZ157" s="667"/>
      <c r="DA157" s="667"/>
      <c r="DB157" s="667"/>
      <c r="DC157" s="667"/>
      <c r="DD157" s="667"/>
      <c r="DE157" s="667"/>
      <c r="DF157" s="667"/>
      <c r="DG157" s="667"/>
      <c r="DH157" s="667"/>
    </row>
    <row r="158" spans="2:112" ht="25" customHeight="1" thickBot="1" x14ac:dyDescent="0.5">
      <c r="B158" s="197">
        <v>9</v>
      </c>
      <c r="C158" s="198"/>
      <c r="D158" s="10">
        <v>0</v>
      </c>
      <c r="E158" s="177" t="s">
        <v>123</v>
      </c>
      <c r="F158" s="178"/>
      <c r="G158" s="178"/>
      <c r="H158" s="659">
        <v>375.54846989999999</v>
      </c>
      <c r="I158" s="659">
        <v>68.183381800000006</v>
      </c>
      <c r="J158" s="178">
        <f t="shared" si="31"/>
        <v>68.183381800000006</v>
      </c>
      <c r="K158" s="178">
        <f t="shared" si="13"/>
        <v>34.091690900000003</v>
      </c>
      <c r="L158" s="178">
        <f t="shared" si="14"/>
        <v>0.56051890240384605</v>
      </c>
      <c r="M158" s="178">
        <f t="shared" si="15"/>
        <v>210.50201614779181</v>
      </c>
      <c r="N158" s="178">
        <f t="shared" si="16"/>
        <v>421.00403229558361</v>
      </c>
      <c r="O158" s="178">
        <f>+C150+D151+D152+D153+D154+D155+D156+D157+(D158/2)</f>
        <v>0</v>
      </c>
      <c r="P158" s="178">
        <f t="shared" si="17"/>
        <v>0</v>
      </c>
      <c r="Q158" s="178">
        <f t="shared" si="18"/>
        <v>0</v>
      </c>
      <c r="R158" s="178">
        <f t="shared" si="19"/>
        <v>236.60761114734083</v>
      </c>
      <c r="S158" s="178">
        <f t="shared" si="32"/>
        <v>236.60761114734083</v>
      </c>
      <c r="T158" s="178">
        <f t="shared" si="5"/>
        <v>236.60761114734083</v>
      </c>
      <c r="U158" s="178"/>
      <c r="V158" s="178">
        <f t="shared" si="6"/>
        <v>0</v>
      </c>
      <c r="W158" s="178"/>
      <c r="X158" s="178"/>
      <c r="Y158" s="178"/>
      <c r="Z158" s="178"/>
      <c r="AA158" s="178"/>
      <c r="AB158" s="178"/>
      <c r="AC158" s="326" t="b">
        <f>IF(AD158=9,AF158)</f>
        <v>0</v>
      </c>
      <c r="AD158" s="326">
        <f t="shared" si="7"/>
        <v>1</v>
      </c>
      <c r="AE158" s="326">
        <f>IF(V158=0,0,9)</f>
        <v>0</v>
      </c>
      <c r="AF158" s="327">
        <f>SUM(V158:V161)/($B$147-B157)</f>
        <v>0</v>
      </c>
      <c r="AG158" s="339">
        <f>SUM(D151:D158)+$C$150</f>
        <v>0</v>
      </c>
      <c r="AH158" s="329" t="b">
        <f t="shared" si="8"/>
        <v>0</v>
      </c>
      <c r="AI158" s="281">
        <f t="shared" si="20"/>
        <v>48.341833700000002</v>
      </c>
      <c r="AJ158" s="330">
        <f t="shared" si="33"/>
        <v>0.74712369172584447</v>
      </c>
      <c r="AK158" s="283">
        <f t="shared" si="21"/>
        <v>236.60761114734046</v>
      </c>
      <c r="AL158" s="281">
        <f t="shared" si="22"/>
        <v>55.9091199</v>
      </c>
      <c r="AM158" s="331">
        <f t="shared" si="23"/>
        <v>0.82814956232072179</v>
      </c>
      <c r="AN158" s="283">
        <f t="shared" si="24"/>
        <v>311.01030097790175</v>
      </c>
      <c r="AO158" s="332">
        <f t="shared" si="9"/>
        <v>-10.643114086330934</v>
      </c>
      <c r="AP158" s="283">
        <f t="shared" si="34"/>
        <v>-231</v>
      </c>
      <c r="AQ158" s="332">
        <f t="shared" si="10"/>
        <v>-208.5</v>
      </c>
      <c r="AR158" s="333">
        <f t="shared" si="25"/>
        <v>547.61791212524224</v>
      </c>
      <c r="AS158" s="334">
        <f t="shared" si="36"/>
        <v>-311.01030097790175</v>
      </c>
      <c r="AT158" s="335">
        <f t="shared" si="26"/>
        <v>300.36718689157084</v>
      </c>
      <c r="AU158" s="334">
        <f t="shared" si="35"/>
        <v>311.01030097790175</v>
      </c>
      <c r="AV158" s="336">
        <f t="shared" si="27"/>
        <v>-94.138221321420914</v>
      </c>
      <c r="AW158" s="336">
        <f t="shared" si="28"/>
        <v>-114.36177867857909</v>
      </c>
      <c r="AX158" s="337">
        <f t="shared" si="11"/>
        <v>-63.736067197550874</v>
      </c>
      <c r="AY158" s="337">
        <f t="shared" si="12"/>
        <v>-52.465081160230767</v>
      </c>
      <c r="AZ158" s="340">
        <f t="shared" si="29"/>
        <v>63.736067197550874</v>
      </c>
      <c r="BA158" s="340">
        <f t="shared" si="30"/>
        <v>52.465081160230767</v>
      </c>
      <c r="BC158" s="196"/>
      <c r="BE158" s="81"/>
      <c r="BF158" s="81"/>
      <c r="BG158" s="81"/>
      <c r="BH158" s="81"/>
      <c r="BK158" s="669"/>
      <c r="BL158" s="135"/>
      <c r="BM158" s="135"/>
      <c r="CE158" s="667"/>
      <c r="CF158" s="667"/>
      <c r="CG158" s="667"/>
      <c r="CH158" s="667"/>
      <c r="CQ158" s="667"/>
      <c r="CR158" s="667"/>
      <c r="CS158" s="667"/>
      <c r="CT158" s="667"/>
      <c r="CU158" s="667"/>
      <c r="CV158" s="667"/>
      <c r="CW158" s="667"/>
      <c r="CX158" s="667"/>
      <c r="CY158" s="667"/>
      <c r="CZ158" s="667"/>
      <c r="DA158" s="667"/>
      <c r="DB158" s="667"/>
      <c r="DC158" s="667"/>
      <c r="DD158" s="667"/>
      <c r="DE158" s="667"/>
      <c r="DF158" s="667"/>
      <c r="DG158" s="667"/>
      <c r="DH158" s="667"/>
    </row>
    <row r="159" spans="2:112" ht="25" customHeight="1" thickBot="1" x14ac:dyDescent="0.5">
      <c r="B159" s="197">
        <v>10</v>
      </c>
      <c r="C159" s="198"/>
      <c r="D159" s="10">
        <v>0</v>
      </c>
      <c r="E159" s="177" t="s">
        <v>123</v>
      </c>
      <c r="F159" s="178"/>
      <c r="G159" s="178"/>
      <c r="H159" s="659">
        <v>375.54846989999999</v>
      </c>
      <c r="I159" s="659">
        <v>68.183381800000006</v>
      </c>
      <c r="J159" s="178">
        <f t="shared" si="31"/>
        <v>68.183381800000006</v>
      </c>
      <c r="K159" s="178">
        <f t="shared" si="13"/>
        <v>34.091690900000003</v>
      </c>
      <c r="L159" s="178">
        <f t="shared" si="14"/>
        <v>0.56051890240384605</v>
      </c>
      <c r="M159" s="178">
        <f t="shared" si="15"/>
        <v>210.50201614779181</v>
      </c>
      <c r="N159" s="178">
        <f t="shared" si="16"/>
        <v>421.00403229558361</v>
      </c>
      <c r="O159" s="178">
        <f>+C150+D151+D152+D153+D154+D155+D156+D157+D158+(D159/2)</f>
        <v>0</v>
      </c>
      <c r="P159" s="178">
        <f t="shared" si="17"/>
        <v>0</v>
      </c>
      <c r="Q159" s="178">
        <f t="shared" si="18"/>
        <v>0</v>
      </c>
      <c r="R159" s="178">
        <f t="shared" si="19"/>
        <v>236.60761114734083</v>
      </c>
      <c r="S159" s="178">
        <f t="shared" si="32"/>
        <v>236.60761114734083</v>
      </c>
      <c r="T159" s="178">
        <f t="shared" si="5"/>
        <v>236.60761114734083</v>
      </c>
      <c r="U159" s="178"/>
      <c r="V159" s="178">
        <f t="shared" si="6"/>
        <v>0</v>
      </c>
      <c r="W159" s="178"/>
      <c r="X159" s="178"/>
      <c r="Y159" s="178"/>
      <c r="Z159" s="178"/>
      <c r="AA159" s="178"/>
      <c r="AB159" s="178"/>
      <c r="AC159" s="326" t="b">
        <f>IF(AD159=10,AF159)</f>
        <v>0</v>
      </c>
      <c r="AD159" s="326">
        <f t="shared" si="7"/>
        <v>1</v>
      </c>
      <c r="AE159" s="326">
        <f>IF(V159=0,0,10)</f>
        <v>0</v>
      </c>
      <c r="AF159" s="327">
        <f>SUM(V159:V161)/($B$147-B158)</f>
        <v>0</v>
      </c>
      <c r="AG159" s="339">
        <f>SUM(D151:D159)+$C$150</f>
        <v>0</v>
      </c>
      <c r="AH159" s="329" t="b">
        <f t="shared" si="8"/>
        <v>0</v>
      </c>
      <c r="AI159" s="281">
        <f t="shared" si="20"/>
        <v>48.341833700000002</v>
      </c>
      <c r="AJ159" s="330">
        <f t="shared" si="33"/>
        <v>0.74712369172584447</v>
      </c>
      <c r="AK159" s="283">
        <f t="shared" si="21"/>
        <v>236.60761114734046</v>
      </c>
      <c r="AL159" s="281">
        <f t="shared" si="22"/>
        <v>55.9091199</v>
      </c>
      <c r="AM159" s="331">
        <f t="shared" si="23"/>
        <v>0.82814956232072179</v>
      </c>
      <c r="AN159" s="283">
        <f t="shared" si="24"/>
        <v>311.01030097790175</v>
      </c>
      <c r="AO159" s="332">
        <f t="shared" si="9"/>
        <v>-9.1887755155279489</v>
      </c>
      <c r="AP159" s="283">
        <f t="shared" si="34"/>
        <v>-264</v>
      </c>
      <c r="AQ159" s="332">
        <f t="shared" si="10"/>
        <v>-241.5</v>
      </c>
      <c r="AR159" s="333">
        <f t="shared" si="25"/>
        <v>547.61791212524224</v>
      </c>
      <c r="AS159" s="334">
        <f t="shared" si="36"/>
        <v>-311.01030097790175</v>
      </c>
      <c r="AT159" s="335">
        <f t="shared" si="26"/>
        <v>301.82152546237381</v>
      </c>
      <c r="AU159" s="334">
        <f t="shared" si="35"/>
        <v>311.01030097790175</v>
      </c>
      <c r="AV159" s="336">
        <f t="shared" si="27"/>
        <v>-108.39643127945551</v>
      </c>
      <c r="AW159" s="336">
        <f t="shared" si="28"/>
        <v>-133.10356872054447</v>
      </c>
      <c r="AX159" s="337">
        <f t="shared" si="11"/>
        <v>-55.352375804065666</v>
      </c>
      <c r="AY159" s="337">
        <f t="shared" si="12"/>
        <v>-45.077679416674442</v>
      </c>
      <c r="AZ159" s="340">
        <f t="shared" si="29"/>
        <v>55.352375804065666</v>
      </c>
      <c r="BA159" s="340">
        <f t="shared" si="30"/>
        <v>45.077679416674442</v>
      </c>
      <c r="BC159" s="196"/>
      <c r="BE159" s="81"/>
      <c r="BF159" s="81"/>
      <c r="BG159" s="81"/>
      <c r="BH159" s="81"/>
      <c r="BK159" s="669"/>
      <c r="BL159" s="135"/>
      <c r="BM159" s="135"/>
      <c r="CE159" s="667"/>
      <c r="CF159" s="667"/>
      <c r="CG159" s="667"/>
      <c r="CH159" s="667"/>
      <c r="CQ159" s="667"/>
      <c r="CR159" s="667"/>
      <c r="CS159" s="667"/>
      <c r="CT159" s="667"/>
      <c r="CU159" s="667"/>
      <c r="CV159" s="667"/>
      <c r="CW159" s="667"/>
      <c r="CX159" s="667"/>
      <c r="CY159" s="667"/>
      <c r="CZ159" s="667"/>
      <c r="DA159" s="667"/>
      <c r="DB159" s="667"/>
      <c r="DC159" s="667"/>
      <c r="DD159" s="667"/>
      <c r="DE159" s="667"/>
      <c r="DF159" s="667"/>
      <c r="DG159" s="667"/>
      <c r="DH159" s="667"/>
    </row>
    <row r="160" spans="2:112" ht="25" customHeight="1" thickBot="1" x14ac:dyDescent="0.5">
      <c r="B160" s="197">
        <v>11</v>
      </c>
      <c r="C160" s="198"/>
      <c r="D160" s="10">
        <v>0</v>
      </c>
      <c r="E160" s="177" t="s">
        <v>123</v>
      </c>
      <c r="F160" s="178"/>
      <c r="G160" s="178"/>
      <c r="H160" s="659">
        <v>375.54846989999999</v>
      </c>
      <c r="I160" s="659">
        <v>68.183381800000006</v>
      </c>
      <c r="J160" s="178">
        <f t="shared" si="31"/>
        <v>68.183381800000006</v>
      </c>
      <c r="K160" s="178">
        <f t="shared" si="13"/>
        <v>34.091690900000003</v>
      </c>
      <c r="L160" s="178">
        <f t="shared" si="14"/>
        <v>0.56051890240384605</v>
      </c>
      <c r="M160" s="178">
        <f t="shared" si="15"/>
        <v>210.50201614779181</v>
      </c>
      <c r="N160" s="178">
        <f t="shared" si="16"/>
        <v>421.00403229558361</v>
      </c>
      <c r="O160" s="178">
        <f>+C150+D151+D152+D153+D154+D155+D156+D157+D158+D159+(D160/2)</f>
        <v>0</v>
      </c>
      <c r="P160" s="178">
        <f t="shared" si="17"/>
        <v>0</v>
      </c>
      <c r="Q160" s="178">
        <f t="shared" si="18"/>
        <v>0</v>
      </c>
      <c r="R160" s="178">
        <f t="shared" si="19"/>
        <v>236.60761114734083</v>
      </c>
      <c r="S160" s="178">
        <f t="shared" si="32"/>
        <v>236.60761114734083</v>
      </c>
      <c r="T160" s="178">
        <f t="shared" si="5"/>
        <v>236.60761114734083</v>
      </c>
      <c r="U160" s="178"/>
      <c r="V160" s="178">
        <f t="shared" si="6"/>
        <v>0</v>
      </c>
      <c r="W160" s="178"/>
      <c r="X160" s="178"/>
      <c r="Y160" s="178"/>
      <c r="Z160" s="178"/>
      <c r="AA160" s="178"/>
      <c r="AB160" s="178"/>
      <c r="AC160" s="326" t="b">
        <f>IF(AD160=11,AF160)</f>
        <v>0</v>
      </c>
      <c r="AD160" s="326">
        <f t="shared" si="7"/>
        <v>1</v>
      </c>
      <c r="AE160" s="326">
        <f>IF(V160=0,0,11)</f>
        <v>0</v>
      </c>
      <c r="AF160" s="327">
        <f>SUM(V160:V161)/($B$147-B159)</f>
        <v>0</v>
      </c>
      <c r="AG160" s="339">
        <f>SUM(D151:D160)+$C$150</f>
        <v>0</v>
      </c>
      <c r="AH160" s="329" t="b">
        <f t="shared" si="8"/>
        <v>0</v>
      </c>
      <c r="AI160" s="281">
        <f t="shared" si="20"/>
        <v>48.341833700000002</v>
      </c>
      <c r="AJ160" s="330">
        <f t="shared" si="33"/>
        <v>0.74712369172584447</v>
      </c>
      <c r="AK160" s="283">
        <f t="shared" si="21"/>
        <v>236.60761114734046</v>
      </c>
      <c r="AL160" s="281">
        <f t="shared" si="22"/>
        <v>55.9091199</v>
      </c>
      <c r="AM160" s="331">
        <f t="shared" si="23"/>
        <v>0.82814956232072179</v>
      </c>
      <c r="AN160" s="283">
        <f t="shared" si="24"/>
        <v>311.01030097790175</v>
      </c>
      <c r="AO160" s="332">
        <f t="shared" si="9"/>
        <v>-8.0841139781420761</v>
      </c>
      <c r="AP160" s="283">
        <f t="shared" si="34"/>
        <v>-297</v>
      </c>
      <c r="AQ160" s="332">
        <f t="shared" si="10"/>
        <v>-274.5</v>
      </c>
      <c r="AR160" s="333">
        <f t="shared" si="25"/>
        <v>547.61791212524224</v>
      </c>
      <c r="AS160" s="334">
        <f t="shared" si="36"/>
        <v>-311.01030097790175</v>
      </c>
      <c r="AT160" s="335">
        <f t="shared" si="26"/>
        <v>302.92618699975969</v>
      </c>
      <c r="AU160" s="334">
        <f t="shared" si="35"/>
        <v>311.01030097790175</v>
      </c>
      <c r="AV160" s="336">
        <f t="shared" si="27"/>
        <v>-122.65464123749008</v>
      </c>
      <c r="AW160" s="336">
        <f t="shared" si="28"/>
        <v>-151.8453587625099</v>
      </c>
      <c r="AX160" s="337">
        <f t="shared" si="11"/>
        <v>-48.917839059856675</v>
      </c>
      <c r="AY160" s="337">
        <f t="shared" si="12"/>
        <v>-39.513884710721754</v>
      </c>
      <c r="AZ160" s="340">
        <f t="shared" si="29"/>
        <v>48.917839059856675</v>
      </c>
      <c r="BA160" s="340">
        <f t="shared" si="30"/>
        <v>39.513884710721754</v>
      </c>
      <c r="BC160" s="196"/>
      <c r="BE160" s="81"/>
      <c r="BF160" s="81"/>
      <c r="BG160" s="81"/>
      <c r="BH160" s="81"/>
      <c r="BK160" s="669"/>
      <c r="BL160" s="135"/>
      <c r="BM160" s="135"/>
      <c r="CE160" s="667"/>
      <c r="CF160" s="667"/>
      <c r="CG160" s="667"/>
      <c r="CH160" s="667"/>
      <c r="CQ160" s="667"/>
      <c r="CR160" s="667"/>
      <c r="CS160" s="667"/>
      <c r="CT160" s="667"/>
      <c r="CU160" s="667"/>
      <c r="CV160" s="667"/>
      <c r="CW160" s="667"/>
      <c r="CX160" s="667"/>
      <c r="CY160" s="667"/>
      <c r="CZ160" s="667"/>
      <c r="DA160" s="667"/>
      <c r="DB160" s="667"/>
      <c r="DC160" s="667"/>
      <c r="DD160" s="667"/>
      <c r="DE160" s="667"/>
      <c r="DF160" s="667"/>
      <c r="DG160" s="667"/>
      <c r="DH160" s="667"/>
    </row>
    <row r="161" spans="2:112" ht="25" customHeight="1" thickBot="1" x14ac:dyDescent="0.5">
      <c r="B161" s="197">
        <v>12</v>
      </c>
      <c r="C161" s="198"/>
      <c r="D161" s="10">
        <v>0</v>
      </c>
      <c r="E161" s="177" t="s">
        <v>123</v>
      </c>
      <c r="F161" s="178"/>
      <c r="G161" s="178"/>
      <c r="H161" s="659">
        <v>375.54846989999999</v>
      </c>
      <c r="I161" s="659">
        <v>68.183381800000006</v>
      </c>
      <c r="J161" s="178">
        <f t="shared" si="31"/>
        <v>68.183381800000006</v>
      </c>
      <c r="K161" s="178">
        <f t="shared" si="13"/>
        <v>34.091690900000003</v>
      </c>
      <c r="L161" s="178">
        <f t="shared" si="14"/>
        <v>0.56051890240384605</v>
      </c>
      <c r="M161" s="178">
        <f t="shared" si="15"/>
        <v>210.50201614779181</v>
      </c>
      <c r="N161" s="178">
        <f t="shared" si="16"/>
        <v>421.00403229558361</v>
      </c>
      <c r="O161" s="178">
        <f>+C150+D151+D152+D153+D154+D155+D156+D157+D158+D159+D160+(D161/2)</f>
        <v>0</v>
      </c>
      <c r="P161" s="178">
        <f t="shared" si="17"/>
        <v>0</v>
      </c>
      <c r="Q161" s="178">
        <f t="shared" si="18"/>
        <v>0</v>
      </c>
      <c r="R161" s="178">
        <f t="shared" si="19"/>
        <v>236.60761114734083</v>
      </c>
      <c r="S161" s="178">
        <f t="shared" si="32"/>
        <v>236.60761114734083</v>
      </c>
      <c r="T161" s="178">
        <f t="shared" si="5"/>
        <v>236.60761114734083</v>
      </c>
      <c r="U161" s="178"/>
      <c r="V161" s="178">
        <f t="shared" si="6"/>
        <v>0</v>
      </c>
      <c r="W161" s="178"/>
      <c r="X161" s="178"/>
      <c r="Y161" s="178"/>
      <c r="Z161" s="178"/>
      <c r="AA161" s="178"/>
      <c r="AB161" s="178"/>
      <c r="AC161" s="326" t="b">
        <f>IF(AD161=12,AF161)</f>
        <v>0</v>
      </c>
      <c r="AD161" s="326">
        <f t="shared" si="7"/>
        <v>1</v>
      </c>
      <c r="AE161" s="326">
        <f>IF(V161=0,0,12)</f>
        <v>0</v>
      </c>
      <c r="AF161" s="327">
        <f>SUM(V161)/($B$147-B160)</f>
        <v>0</v>
      </c>
      <c r="AG161" s="339">
        <f>SUM(D151:D161)+$C$150</f>
        <v>0</v>
      </c>
      <c r="AH161" s="329" t="b">
        <f t="shared" si="8"/>
        <v>0</v>
      </c>
      <c r="AI161" s="281">
        <f t="shared" si="20"/>
        <v>48.341833700000002</v>
      </c>
      <c r="AJ161" s="330">
        <f t="shared" si="33"/>
        <v>0.74712369172584447</v>
      </c>
      <c r="AK161" s="283">
        <f t="shared" si="21"/>
        <v>236.60761114734046</v>
      </c>
      <c r="AL161" s="281">
        <f t="shared" si="22"/>
        <v>55.9091199</v>
      </c>
      <c r="AM161" s="331">
        <f t="shared" si="23"/>
        <v>0.82814956232072179</v>
      </c>
      <c r="AN161" s="283">
        <f t="shared" si="24"/>
        <v>311.01030097790175</v>
      </c>
      <c r="AO161" s="332">
        <f t="shared" si="9"/>
        <v>-7.216550526829268</v>
      </c>
      <c r="AP161" s="283">
        <f t="shared" si="34"/>
        <v>-330</v>
      </c>
      <c r="AQ161" s="332">
        <f t="shared" si="10"/>
        <v>-307.5</v>
      </c>
      <c r="AR161" s="333">
        <f t="shared" si="25"/>
        <v>547.61791212524224</v>
      </c>
      <c r="AS161" s="334">
        <f t="shared" si="36"/>
        <v>-311.01030097790175</v>
      </c>
      <c r="AT161" s="335">
        <f t="shared" si="26"/>
        <v>303.79375045107247</v>
      </c>
      <c r="AU161" s="334">
        <f t="shared" si="35"/>
        <v>311.01030097790175</v>
      </c>
      <c r="AV161" s="336">
        <f t="shared" si="27"/>
        <v>-136.91285119552469</v>
      </c>
      <c r="AW161" s="336">
        <f t="shared" si="28"/>
        <v>-170.58714880447533</v>
      </c>
      <c r="AX161" s="337">
        <f t="shared" si="11"/>
        <v>-43.823497557810875</v>
      </c>
      <c r="AY161" s="337">
        <f t="shared" si="12"/>
        <v>-35.172637810349464</v>
      </c>
      <c r="AZ161" s="340">
        <f t="shared" si="29"/>
        <v>43.823497557810875</v>
      </c>
      <c r="BA161" s="340">
        <f t="shared" si="30"/>
        <v>35.172637810349464</v>
      </c>
      <c r="BC161" s="196"/>
      <c r="BE161" s="81"/>
      <c r="BF161" s="81"/>
      <c r="BG161" s="81"/>
      <c r="BH161" s="81"/>
      <c r="BK161" s="669"/>
      <c r="BL161" s="135"/>
      <c r="BM161" s="135"/>
      <c r="CE161" s="667"/>
      <c r="CF161" s="667"/>
      <c r="CG161" s="667"/>
      <c r="CH161" s="667"/>
      <c r="CQ161" s="667"/>
      <c r="CR161" s="667"/>
      <c r="CS161" s="667"/>
      <c r="CT161" s="667"/>
      <c r="CU161" s="667"/>
      <c r="CV161" s="667"/>
      <c r="CW161" s="667"/>
      <c r="CX161" s="667"/>
      <c r="CY161" s="667"/>
      <c r="CZ161" s="667"/>
      <c r="DA161" s="667"/>
      <c r="DB161" s="667"/>
      <c r="DC161" s="667"/>
      <c r="DD161" s="667"/>
      <c r="DE161" s="667"/>
      <c r="DF161" s="667"/>
      <c r="DG161" s="667"/>
      <c r="DH161" s="667"/>
    </row>
    <row r="162" spans="2:112" ht="22.5" hidden="1" customHeight="1" thickBot="1" x14ac:dyDescent="0.5">
      <c r="U162" s="196"/>
      <c r="AG162" s="341" t="s">
        <v>61</v>
      </c>
      <c r="AH162" s="342">
        <f>MAX(AH150:AH161)</f>
        <v>0</v>
      </c>
      <c r="BC162" s="196"/>
      <c r="BE162" s="81"/>
      <c r="BF162" s="81"/>
      <c r="BG162" s="81"/>
      <c r="BH162" s="81"/>
      <c r="BK162" s="669"/>
      <c r="BL162" s="135"/>
      <c r="BM162" s="135"/>
      <c r="CE162" s="667"/>
      <c r="CF162" s="667"/>
      <c r="CG162" s="667"/>
      <c r="CH162" s="667"/>
      <c r="CQ162" s="667"/>
      <c r="CR162" s="667"/>
      <c r="CS162" s="667"/>
      <c r="CT162" s="667"/>
      <c r="CU162" s="667"/>
      <c r="CV162" s="667"/>
      <c r="CW162" s="667"/>
      <c r="CX162" s="667"/>
      <c r="CY162" s="667"/>
      <c r="CZ162" s="667"/>
      <c r="DA162" s="667"/>
      <c r="DB162" s="667"/>
      <c r="DC162" s="667"/>
      <c r="DD162" s="667"/>
      <c r="DE162" s="667"/>
      <c r="DF162" s="667"/>
      <c r="DG162" s="667"/>
      <c r="DH162" s="667"/>
    </row>
    <row r="163" spans="2:112" ht="32" hidden="1" thickBot="1" x14ac:dyDescent="0.5">
      <c r="U163" s="196"/>
      <c r="AG163" s="470"/>
      <c r="AH163" s="329"/>
      <c r="AK163" s="494" t="s">
        <v>142</v>
      </c>
      <c r="AL163" s="495"/>
      <c r="AM163" s="495"/>
      <c r="AN163" s="495"/>
      <c r="AO163" s="496"/>
      <c r="BC163" s="196"/>
      <c r="BE163" s="81"/>
      <c r="BF163" s="81"/>
      <c r="BG163" s="81"/>
      <c r="BH163" s="81"/>
      <c r="BK163" s="669"/>
      <c r="BL163" s="135"/>
      <c r="BM163" s="135"/>
      <c r="CE163" s="667"/>
      <c r="CF163" s="667"/>
      <c r="CG163" s="667"/>
      <c r="CH163" s="667"/>
      <c r="CQ163" s="667"/>
      <c r="CR163" s="667"/>
      <c r="CS163" s="667"/>
      <c r="CT163" s="667"/>
      <c r="CU163" s="667"/>
      <c r="CV163" s="667"/>
      <c r="CW163" s="667"/>
      <c r="CX163" s="667"/>
      <c r="CY163" s="667"/>
      <c r="CZ163" s="667"/>
      <c r="DA163" s="667"/>
      <c r="DB163" s="667"/>
      <c r="DC163" s="667"/>
      <c r="DD163" s="667"/>
      <c r="DE163" s="667"/>
      <c r="DF163" s="667"/>
      <c r="DG163" s="667"/>
      <c r="DH163" s="667"/>
    </row>
    <row r="164" spans="2:112" ht="48" hidden="1" thickBot="1" x14ac:dyDescent="0.5">
      <c r="U164" s="196"/>
      <c r="AG164" s="470"/>
      <c r="AH164" s="329"/>
      <c r="AK164" s="437" t="s">
        <v>87</v>
      </c>
      <c r="AL164" s="473" t="s">
        <v>88</v>
      </c>
      <c r="AM164" s="473" t="s">
        <v>89</v>
      </c>
      <c r="AN164" s="623" t="s">
        <v>108</v>
      </c>
      <c r="AO164" s="475"/>
      <c r="BC164" s="196"/>
      <c r="BE164" s="81"/>
      <c r="BF164" s="81"/>
      <c r="BG164" s="81"/>
      <c r="BH164" s="81"/>
      <c r="BK164" s="669"/>
      <c r="BL164" s="135"/>
      <c r="BM164" s="135"/>
      <c r="CE164" s="667"/>
      <c r="CF164" s="667"/>
      <c r="CG164" s="667"/>
      <c r="CH164" s="667"/>
      <c r="CQ164" s="667"/>
      <c r="CR164" s="667"/>
      <c r="CS164" s="667"/>
      <c r="CT164" s="667"/>
      <c r="CU164" s="667"/>
      <c r="CV164" s="667"/>
      <c r="CW164" s="667"/>
      <c r="CX164" s="667"/>
      <c r="CY164" s="667"/>
      <c r="CZ164" s="667"/>
      <c r="DA164" s="667"/>
      <c r="DB164" s="667"/>
      <c r="DC164" s="667"/>
      <c r="DD164" s="667"/>
      <c r="DE164" s="667"/>
      <c r="DF164" s="667"/>
      <c r="DG164" s="667"/>
      <c r="DH164" s="667"/>
    </row>
    <row r="165" spans="2:112" ht="32" hidden="1" thickBot="1" x14ac:dyDescent="0.5">
      <c r="U165" s="196"/>
      <c r="AG165" s="470"/>
      <c r="AH165" s="329"/>
      <c r="AK165" s="437">
        <v>3.3679226</v>
      </c>
      <c r="AL165" s="477">
        <f>+($AH$162*-1)-AK165</f>
        <v>-3.3679226</v>
      </c>
      <c r="AM165" s="478">
        <f>COS(AL165*3.14159265358979/180)</f>
        <v>0.99827287452202351</v>
      </c>
      <c r="AN165" s="625">
        <f>+AM165*273.3307633</f>
        <v>272.85868677478982</v>
      </c>
      <c r="AO165" s="479"/>
      <c r="BC165" s="196"/>
      <c r="BE165" s="81"/>
      <c r="BF165" s="81"/>
      <c r="BG165" s="81"/>
      <c r="BH165" s="81"/>
      <c r="BK165" s="669"/>
      <c r="BL165" s="135"/>
      <c r="BM165" s="135"/>
      <c r="CE165" s="667"/>
      <c r="CF165" s="667"/>
      <c r="CG165" s="667"/>
      <c r="CH165" s="667"/>
      <c r="CQ165" s="667"/>
      <c r="CR165" s="667"/>
      <c r="CS165" s="667"/>
      <c r="CT165" s="667"/>
      <c r="CU165" s="667"/>
      <c r="CV165" s="667"/>
      <c r="CW165" s="667"/>
      <c r="CX165" s="667"/>
      <c r="CY165" s="667"/>
      <c r="CZ165" s="667"/>
      <c r="DA165" s="667"/>
      <c r="DB165" s="667"/>
      <c r="DC165" s="667"/>
      <c r="DD165" s="667"/>
      <c r="DE165" s="667"/>
      <c r="DF165" s="667"/>
      <c r="DG165" s="667"/>
      <c r="DH165" s="667"/>
    </row>
    <row r="166" spans="2:112" ht="32" hidden="1" thickBot="1" x14ac:dyDescent="0.5">
      <c r="U166" s="196"/>
      <c r="AG166" s="470"/>
      <c r="AH166" s="329"/>
      <c r="AK166" s="493" t="s">
        <v>139</v>
      </c>
      <c r="AL166" s="497"/>
      <c r="AM166" s="497"/>
      <c r="AN166" s="497"/>
      <c r="AO166" s="498"/>
      <c r="BC166" s="196"/>
      <c r="BE166" s="81"/>
      <c r="BF166" s="81"/>
      <c r="BG166" s="81"/>
      <c r="BH166" s="81"/>
      <c r="BK166" s="669"/>
      <c r="BL166" s="135"/>
      <c r="BM166" s="135"/>
      <c r="CE166" s="667"/>
      <c r="CF166" s="667"/>
      <c r="CG166" s="667"/>
      <c r="CH166" s="667"/>
      <c r="CQ166" s="667"/>
      <c r="CR166" s="667"/>
      <c r="CS166" s="667"/>
      <c r="CT166" s="667"/>
      <c r="CU166" s="667"/>
      <c r="CV166" s="667"/>
      <c r="CW166" s="667"/>
      <c r="CX166" s="667"/>
      <c r="CY166" s="667"/>
      <c r="CZ166" s="667"/>
      <c r="DA166" s="667"/>
      <c r="DB166" s="667"/>
      <c r="DC166" s="667"/>
      <c r="DD166" s="667"/>
      <c r="DE166" s="667"/>
      <c r="DF166" s="667"/>
      <c r="DG166" s="667"/>
      <c r="DH166" s="667"/>
    </row>
    <row r="167" spans="2:112" ht="97.5" hidden="1" customHeight="1" x14ac:dyDescent="0.45">
      <c r="B167" s="251"/>
      <c r="U167" s="196"/>
      <c r="AK167" s="499"/>
      <c r="AL167" s="473" t="s">
        <v>95</v>
      </c>
      <c r="AM167" s="473" t="s">
        <v>94</v>
      </c>
      <c r="AN167" s="474" t="s">
        <v>140</v>
      </c>
      <c r="AO167" s="492" t="s">
        <v>93</v>
      </c>
      <c r="BC167" s="196"/>
      <c r="BE167" s="81"/>
      <c r="BF167" s="81"/>
      <c r="BG167" s="81"/>
      <c r="BH167" s="81"/>
      <c r="BI167" s="81"/>
      <c r="BK167" s="669"/>
      <c r="BL167" s="135"/>
      <c r="BM167" s="135"/>
      <c r="CE167" s="667"/>
      <c r="CF167" s="667"/>
      <c r="CG167" s="667"/>
      <c r="CH167" s="667"/>
      <c r="CQ167" s="667"/>
      <c r="CR167" s="667"/>
      <c r="CS167" s="667"/>
      <c r="CT167" s="667"/>
      <c r="CU167" s="667"/>
      <c r="CV167" s="667"/>
      <c r="CW167" s="667"/>
      <c r="CX167" s="667"/>
      <c r="CY167" s="667"/>
      <c r="CZ167" s="667"/>
      <c r="DA167" s="667"/>
      <c r="DB167" s="667"/>
      <c r="DC167" s="667"/>
      <c r="DD167" s="667"/>
      <c r="DE167" s="667"/>
      <c r="DF167" s="667"/>
      <c r="DG167" s="667"/>
      <c r="DH167" s="668"/>
    </row>
    <row r="168" spans="2:112" ht="32" hidden="1" thickBot="1" x14ac:dyDescent="0.5">
      <c r="B168" s="251"/>
      <c r="AB168" s="306"/>
      <c r="AC168" s="306"/>
      <c r="AD168" s="306"/>
      <c r="AE168" s="306"/>
      <c r="AK168" s="500"/>
      <c r="AL168" s="480">
        <f>+AH162</f>
        <v>0</v>
      </c>
      <c r="AM168" s="481">
        <f>SIN(AL168*3.14159265358979/180)</f>
        <v>0</v>
      </c>
      <c r="AN168" s="482">
        <f>+AM168*((+B147*421)+69+69)</f>
        <v>0</v>
      </c>
      <c r="AO168" s="483">
        <f>+AN165+AN168</f>
        <v>272.85868677478982</v>
      </c>
      <c r="BE168" s="81"/>
      <c r="BF168" s="81"/>
      <c r="BG168" s="81"/>
      <c r="BH168" s="81"/>
      <c r="BI168" s="81"/>
      <c r="BK168" s="669"/>
      <c r="BL168" s="135"/>
      <c r="BM168" s="135"/>
      <c r="CE168" s="667"/>
      <c r="CF168" s="667"/>
      <c r="CG168" s="667"/>
      <c r="CH168" s="667"/>
      <c r="CQ168" s="667"/>
      <c r="CR168" s="667"/>
      <c r="CS168" s="667"/>
      <c r="CT168" s="667"/>
      <c r="CU168" s="667"/>
      <c r="CV168" s="667"/>
      <c r="CW168" s="667"/>
      <c r="CX168" s="667"/>
      <c r="CY168" s="667"/>
      <c r="CZ168" s="667"/>
      <c r="DA168" s="667"/>
      <c r="DB168" s="667"/>
      <c r="DC168" s="667"/>
      <c r="DD168" s="667"/>
      <c r="DE168" s="667"/>
      <c r="DF168" s="667"/>
      <c r="DG168" s="668"/>
      <c r="DH168" s="668"/>
    </row>
    <row r="169" spans="2:112" ht="31" hidden="1" x14ac:dyDescent="0.45"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110"/>
      <c r="AH169" s="110"/>
      <c r="AI169" s="110"/>
      <c r="AJ169" s="110"/>
      <c r="AK169" s="110"/>
      <c r="AL169" s="110"/>
      <c r="AM169" s="110"/>
      <c r="AN169" s="110"/>
      <c r="AO169" s="110"/>
      <c r="AP169" s="110"/>
      <c r="AQ169" s="110"/>
      <c r="AR169" s="110"/>
      <c r="AS169" s="110"/>
      <c r="AT169" s="110"/>
      <c r="AU169" s="110"/>
      <c r="AV169" s="110"/>
      <c r="AW169" s="110"/>
      <c r="AX169" s="110"/>
      <c r="AY169" s="110"/>
      <c r="AZ169" s="110"/>
      <c r="BA169" s="110"/>
      <c r="BB169" s="77"/>
      <c r="BE169" s="81"/>
      <c r="BF169" s="81"/>
      <c r="BG169" s="81"/>
      <c r="BH169" s="81"/>
      <c r="BI169" s="81"/>
      <c r="BK169" s="669"/>
      <c r="BL169" s="135"/>
      <c r="BM169" s="135"/>
      <c r="CE169" s="667"/>
      <c r="CF169" s="667"/>
      <c r="CG169" s="667"/>
      <c r="CH169" s="667"/>
      <c r="CQ169" s="667"/>
      <c r="CR169" s="667"/>
      <c r="CS169" s="667"/>
      <c r="CT169" s="667"/>
      <c r="CU169" s="667"/>
      <c r="CV169" s="667"/>
      <c r="CW169" s="667"/>
      <c r="CX169" s="667"/>
      <c r="CY169" s="667"/>
      <c r="CZ169" s="667"/>
      <c r="DA169" s="667"/>
      <c r="DB169" s="667"/>
      <c r="DC169" s="667"/>
      <c r="DD169" s="667"/>
      <c r="DE169" s="667"/>
      <c r="DF169" s="667"/>
      <c r="DG169" s="668"/>
      <c r="DH169" s="668"/>
    </row>
    <row r="170" spans="2:112" ht="32" thickBot="1" x14ac:dyDescent="0.5">
      <c r="V170" s="110"/>
      <c r="W170" s="110"/>
      <c r="X170" s="110"/>
      <c r="Y170" s="110"/>
      <c r="Z170" s="110"/>
      <c r="AA170" s="110"/>
      <c r="AB170" s="110"/>
      <c r="AC170" s="110"/>
      <c r="AD170" s="110"/>
      <c r="AE170" s="110"/>
      <c r="AF170" s="110"/>
      <c r="AG170" s="110"/>
      <c r="AH170" s="110"/>
      <c r="AI170" s="110"/>
      <c r="AJ170" s="110"/>
      <c r="AK170" s="110"/>
      <c r="AL170" s="110"/>
      <c r="AM170" s="110"/>
      <c r="AN170" s="110"/>
      <c r="AO170" s="110"/>
      <c r="AP170" s="110"/>
      <c r="AQ170" s="110"/>
      <c r="AR170" s="110"/>
      <c r="AS170" s="110"/>
      <c r="AT170" s="110"/>
      <c r="AU170" s="110"/>
      <c r="AV170" s="110"/>
      <c r="AW170" s="110"/>
      <c r="AX170" s="110"/>
      <c r="AY170" s="110"/>
      <c r="AZ170" s="110"/>
      <c r="BA170" s="110"/>
      <c r="BB170" s="77"/>
      <c r="BE170" s="81"/>
      <c r="BF170" s="81"/>
      <c r="BG170" s="81"/>
      <c r="BH170" s="81"/>
      <c r="BI170" s="81"/>
      <c r="BK170" s="669"/>
      <c r="BL170" s="135"/>
      <c r="BM170" s="135"/>
      <c r="CE170" s="667"/>
      <c r="CF170" s="667"/>
      <c r="CG170" s="667"/>
      <c r="CH170" s="667"/>
      <c r="CQ170" s="667"/>
      <c r="CR170" s="667"/>
      <c r="CS170" s="667"/>
      <c r="CT170" s="667"/>
      <c r="CU170" s="667"/>
      <c r="CV170" s="667"/>
      <c r="CW170" s="667"/>
      <c r="CX170" s="667"/>
      <c r="CY170" s="667"/>
      <c r="CZ170" s="667"/>
      <c r="DA170" s="667"/>
      <c r="DB170" s="667"/>
      <c r="DC170" s="667"/>
      <c r="DD170" s="667"/>
      <c r="DE170" s="667"/>
      <c r="DF170" s="667"/>
      <c r="DG170" s="668"/>
      <c r="DH170" s="668"/>
    </row>
    <row r="171" spans="2:112" ht="63" customHeight="1" thickBot="1" x14ac:dyDescent="0.5">
      <c r="B171" s="247" t="s">
        <v>86</v>
      </c>
      <c r="C171" s="343"/>
      <c r="D171" s="344"/>
      <c r="E171" s="17"/>
      <c r="F171" s="17"/>
      <c r="G171" s="17"/>
      <c r="H171" s="345"/>
      <c r="I171" s="345"/>
      <c r="J171" s="345"/>
      <c r="K171" s="345"/>
      <c r="L171" s="345"/>
      <c r="M171" s="345"/>
      <c r="N171" s="345"/>
      <c r="O171" s="345"/>
      <c r="P171" s="345"/>
      <c r="Q171" s="345"/>
      <c r="R171" s="345"/>
      <c r="S171" s="346" t="s">
        <v>141</v>
      </c>
      <c r="T171" s="660">
        <f>SUM(V175:V198)/B172</f>
        <v>147.93928579999999</v>
      </c>
      <c r="U171" s="133"/>
      <c r="V171" s="110"/>
      <c r="W171" s="110"/>
      <c r="X171" s="110"/>
      <c r="Y171" s="110"/>
      <c r="Z171" s="110"/>
      <c r="AA171" s="110"/>
      <c r="AB171" s="110"/>
      <c r="AC171" s="110"/>
      <c r="AD171" s="110"/>
      <c r="AE171" s="110"/>
      <c r="AF171" s="110"/>
      <c r="AG171" s="110"/>
      <c r="AH171" s="110"/>
      <c r="AI171" s="110"/>
      <c r="AJ171" s="110"/>
      <c r="AK171" s="110"/>
      <c r="AL171" s="110"/>
      <c r="AM171" s="110"/>
      <c r="AN171" s="110"/>
      <c r="AO171" s="110"/>
      <c r="AP171" s="110"/>
      <c r="AQ171" s="110"/>
      <c r="AR171" s="110"/>
      <c r="AS171" s="110"/>
      <c r="AT171" s="110"/>
      <c r="AU171" s="110"/>
      <c r="AV171" s="110"/>
      <c r="AW171" s="110"/>
      <c r="AX171" s="110"/>
      <c r="AY171" s="110"/>
      <c r="AZ171" s="110"/>
      <c r="BA171" s="110"/>
      <c r="BB171" s="77"/>
      <c r="BC171" s="347"/>
      <c r="BD171" s="347"/>
      <c r="BE171" s="81"/>
      <c r="BF171" s="81"/>
      <c r="BG171" s="81"/>
      <c r="BH171" s="81"/>
      <c r="BI171" s="81"/>
      <c r="BK171" s="669"/>
      <c r="BL171" s="135"/>
      <c r="BM171" s="135"/>
      <c r="CE171" s="667"/>
      <c r="CF171" s="667"/>
      <c r="CG171" s="667"/>
      <c r="CH171" s="667"/>
      <c r="CQ171" s="667"/>
      <c r="CR171" s="667"/>
      <c r="CS171" s="667"/>
      <c r="CT171" s="667"/>
      <c r="CU171" s="667"/>
      <c r="CV171" s="667"/>
      <c r="CW171" s="667"/>
      <c r="CX171" s="667"/>
      <c r="CY171" s="667"/>
      <c r="CZ171" s="667"/>
      <c r="DA171" s="667"/>
      <c r="DB171" s="667"/>
      <c r="DC171" s="667"/>
      <c r="DD171" s="667"/>
      <c r="DE171" s="667"/>
      <c r="DF171" s="667"/>
      <c r="DG171" s="668"/>
      <c r="DH171" s="668"/>
    </row>
    <row r="172" spans="2:112" ht="33.75" customHeight="1" thickBot="1" x14ac:dyDescent="0.3">
      <c r="B172" s="11">
        <v>1</v>
      </c>
      <c r="C172" s="377"/>
      <c r="D172" s="304" t="s">
        <v>101</v>
      </c>
      <c r="E172" s="234"/>
      <c r="F172" s="234"/>
      <c r="G172" s="234"/>
      <c r="H172" s="348"/>
      <c r="I172" s="349"/>
      <c r="J172" s="349"/>
      <c r="K172" s="349"/>
      <c r="L172" s="349"/>
      <c r="M172" s="349"/>
      <c r="N172" s="349"/>
      <c r="O172" s="349"/>
      <c r="P172" s="349"/>
      <c r="Q172" s="349"/>
      <c r="R172" s="349"/>
      <c r="S172" s="350"/>
      <c r="T172" s="351"/>
      <c r="U172" s="293"/>
      <c r="V172" s="352"/>
      <c r="W172" s="352"/>
      <c r="X172" s="352"/>
      <c r="Y172" s="352"/>
      <c r="Z172" s="352"/>
      <c r="AA172" s="352"/>
      <c r="AB172" s="352"/>
      <c r="AC172" s="352"/>
      <c r="AD172" s="352"/>
      <c r="AE172" s="352"/>
      <c r="AF172" s="352"/>
      <c r="AG172" s="352"/>
      <c r="AH172" s="352"/>
      <c r="AI172" s="352"/>
      <c r="AJ172" s="352"/>
      <c r="AK172" s="352"/>
      <c r="AL172" s="352"/>
      <c r="AM172" s="352"/>
      <c r="AN172" s="352"/>
      <c r="AO172" s="352"/>
      <c r="AP172" s="352"/>
      <c r="AQ172" s="352"/>
      <c r="AR172" s="352"/>
      <c r="AS172" s="352"/>
      <c r="AT172" s="352"/>
      <c r="AU172" s="352"/>
      <c r="AV172" s="352"/>
      <c r="AW172" s="352"/>
      <c r="AX172" s="352"/>
      <c r="AY172" s="352"/>
      <c r="AZ172" s="1014" t="s">
        <v>50</v>
      </c>
      <c r="BA172" s="1015"/>
      <c r="BB172" s="138"/>
      <c r="BC172" s="86"/>
      <c r="BD172" s="86"/>
      <c r="BE172" s="81"/>
      <c r="BF172" s="81"/>
      <c r="BG172" s="81"/>
      <c r="BH172" s="81"/>
      <c r="BI172" s="81"/>
      <c r="CE172" s="667"/>
      <c r="CF172" s="667"/>
      <c r="CG172" s="667"/>
      <c r="CH172" s="667"/>
      <c r="CQ172" s="667"/>
      <c r="CR172" s="667"/>
      <c r="CS172" s="667"/>
      <c r="CT172" s="667"/>
      <c r="CU172" s="667"/>
      <c r="CV172" s="667"/>
      <c r="CW172" s="667"/>
      <c r="CX172" s="667"/>
      <c r="CY172" s="667"/>
      <c r="CZ172" s="667"/>
      <c r="DA172" s="667"/>
      <c r="DB172" s="667"/>
      <c r="DC172" s="667"/>
      <c r="DD172" s="667"/>
      <c r="DE172" s="667"/>
      <c r="DF172" s="667"/>
      <c r="DG172" s="668"/>
      <c r="DH172" s="668"/>
    </row>
    <row r="173" spans="2:112" ht="27" hidden="1" customHeight="1" thickBot="1" x14ac:dyDescent="0.3">
      <c r="C173" s="307"/>
      <c r="D173" s="255" t="s">
        <v>13</v>
      </c>
      <c r="H173" s="353" t="s">
        <v>4</v>
      </c>
      <c r="I173" s="353" t="s">
        <v>1</v>
      </c>
      <c r="J173" s="345" t="s">
        <v>0</v>
      </c>
      <c r="K173" s="345" t="s">
        <v>2</v>
      </c>
      <c r="L173" s="345" t="s">
        <v>3</v>
      </c>
      <c r="M173" s="345" t="s">
        <v>8</v>
      </c>
      <c r="N173" s="345" t="s">
        <v>5</v>
      </c>
      <c r="O173" s="345" t="s">
        <v>6</v>
      </c>
      <c r="P173" s="345" t="s">
        <v>7</v>
      </c>
      <c r="Q173" s="345" t="s">
        <v>9</v>
      </c>
      <c r="R173" s="354" t="s">
        <v>10</v>
      </c>
      <c r="S173" s="345" t="s">
        <v>11</v>
      </c>
      <c r="T173" s="355" t="s">
        <v>12</v>
      </c>
      <c r="V173" s="311"/>
      <c r="W173" s="311"/>
      <c r="X173" s="311"/>
      <c r="Y173" s="311"/>
      <c r="Z173" s="311"/>
      <c r="AA173" s="311"/>
      <c r="AB173" s="311"/>
      <c r="AC173" s="311"/>
      <c r="AD173" s="311"/>
      <c r="AE173" s="311"/>
      <c r="AF173" s="311"/>
      <c r="AG173" s="311"/>
      <c r="AH173" s="311"/>
      <c r="AI173" s="311"/>
      <c r="AJ173" s="311"/>
      <c r="AK173" s="311"/>
      <c r="AL173" s="311"/>
      <c r="AM173" s="311"/>
      <c r="AN173" s="311"/>
      <c r="AO173" s="311"/>
      <c r="AP173" s="311"/>
      <c r="AQ173" s="311"/>
      <c r="AR173" s="311"/>
      <c r="AS173" s="311"/>
      <c r="AT173" s="311"/>
      <c r="AU173" s="311"/>
      <c r="AV173" s="311"/>
      <c r="AW173" s="311"/>
      <c r="AX173" s="306"/>
      <c r="AY173" s="311"/>
      <c r="AZ173" s="311"/>
      <c r="BA173" s="311"/>
      <c r="BB173" s="151"/>
      <c r="BC173" s="148"/>
      <c r="BE173" s="81"/>
      <c r="BF173" s="81"/>
      <c r="BG173" s="81"/>
      <c r="BH173" s="81"/>
      <c r="BI173" s="81"/>
      <c r="CE173" s="667"/>
      <c r="CF173" s="667"/>
      <c r="CG173" s="667"/>
      <c r="CH173" s="667"/>
      <c r="CQ173" s="667"/>
      <c r="CR173" s="667"/>
      <c r="CS173" s="667"/>
      <c r="CT173" s="667"/>
      <c r="CU173" s="667"/>
      <c r="CV173" s="667"/>
      <c r="CW173" s="667"/>
      <c r="CX173" s="667"/>
      <c r="CY173" s="667"/>
      <c r="CZ173" s="667"/>
      <c r="DA173" s="667"/>
      <c r="DB173" s="667"/>
      <c r="DC173" s="667"/>
      <c r="DD173" s="667"/>
      <c r="DE173" s="667"/>
      <c r="DF173" s="667"/>
      <c r="DG173" s="668"/>
      <c r="DH173" s="668"/>
    </row>
    <row r="174" spans="2:112" ht="46.5" customHeight="1" thickBot="1" x14ac:dyDescent="0.3">
      <c r="B174" s="312"/>
      <c r="C174" s="313"/>
      <c r="D174" s="250" t="s">
        <v>22</v>
      </c>
      <c r="E174" s="679"/>
      <c r="F174" s="356"/>
      <c r="G174" s="160"/>
      <c r="H174" s="357"/>
      <c r="I174" s="358"/>
      <c r="R174" s="354"/>
      <c r="T174" s="359"/>
      <c r="V174" s="311"/>
      <c r="W174" s="311"/>
      <c r="X174" s="311"/>
      <c r="Y174" s="311"/>
      <c r="Z174" s="311"/>
      <c r="AA174" s="311"/>
      <c r="AB174" s="311"/>
      <c r="AC174" s="311"/>
      <c r="AD174" s="311"/>
      <c r="AE174" s="311"/>
      <c r="AF174" s="311" t="s">
        <v>38</v>
      </c>
      <c r="AG174" s="316" t="s">
        <v>31</v>
      </c>
      <c r="AH174" s="316"/>
      <c r="AI174" s="165" t="s">
        <v>104</v>
      </c>
      <c r="AJ174" s="317" t="s">
        <v>32</v>
      </c>
      <c r="AK174" s="167" t="s">
        <v>33</v>
      </c>
      <c r="AL174" s="165" t="s">
        <v>105</v>
      </c>
      <c r="AM174" s="318" t="s">
        <v>34</v>
      </c>
      <c r="AN174" s="169" t="s">
        <v>35</v>
      </c>
      <c r="AO174" s="318"/>
      <c r="AP174" s="360" t="s">
        <v>36</v>
      </c>
      <c r="AQ174" s="311"/>
      <c r="AR174" s="311" t="s">
        <v>37</v>
      </c>
      <c r="AS174" s="311" t="s">
        <v>39</v>
      </c>
      <c r="AT174" s="311"/>
      <c r="AU174" s="311" t="s">
        <v>40</v>
      </c>
      <c r="AV174" s="320" t="s">
        <v>41</v>
      </c>
      <c r="AW174" s="320" t="s">
        <v>42</v>
      </c>
      <c r="AX174" s="321" t="s">
        <v>23</v>
      </c>
      <c r="AY174" s="321" t="s">
        <v>24</v>
      </c>
      <c r="AZ174" s="322" t="s">
        <v>23</v>
      </c>
      <c r="BA174" s="322" t="s">
        <v>24</v>
      </c>
      <c r="BC174" s="148"/>
      <c r="BE174" s="81"/>
      <c r="BF174" s="81"/>
      <c r="BG174" s="81"/>
      <c r="BH174" s="81"/>
      <c r="BI174" s="81"/>
      <c r="CE174" s="667"/>
      <c r="CF174" s="667"/>
      <c r="CG174" s="667"/>
      <c r="CH174" s="667"/>
      <c r="CQ174" s="667"/>
      <c r="CR174" s="667"/>
      <c r="CS174" s="667"/>
      <c r="CT174" s="667"/>
      <c r="CU174" s="667"/>
      <c r="CV174" s="667"/>
      <c r="CW174" s="667"/>
      <c r="CX174" s="667"/>
      <c r="CY174" s="667"/>
      <c r="CZ174" s="667"/>
      <c r="DA174" s="667"/>
      <c r="DB174" s="667"/>
      <c r="DC174" s="667"/>
      <c r="DD174" s="667"/>
      <c r="DE174" s="667"/>
      <c r="DF174" s="667"/>
      <c r="DG174" s="668"/>
      <c r="DH174" s="668"/>
    </row>
    <row r="175" spans="2:112" ht="25" customHeight="1" thickBot="1" x14ac:dyDescent="0.3">
      <c r="B175" s="175">
        <v>1</v>
      </c>
      <c r="C175" s="176">
        <f>+AH162+D175</f>
        <v>0</v>
      </c>
      <c r="D175" s="10">
        <v>0</v>
      </c>
      <c r="E175" s="177" t="s">
        <v>103</v>
      </c>
      <c r="F175" s="178"/>
      <c r="G175" s="178">
        <f>+D175</f>
        <v>0</v>
      </c>
      <c r="H175" s="179">
        <v>176.8294247</v>
      </c>
      <c r="I175" s="180">
        <v>66.429896499999998</v>
      </c>
      <c r="J175" s="361">
        <f>+I175-C175</f>
        <v>66.429896499999998</v>
      </c>
      <c r="K175" s="361">
        <f>+J175/2</f>
        <v>33.214948249999999</v>
      </c>
      <c r="L175" s="361">
        <f t="shared" ref="L175:L194" si="37">SIN(K175*3.14159265358979/180)</f>
        <v>0.54778151346749804</v>
      </c>
      <c r="M175" s="361">
        <f t="shared" ref="M175:M194" si="38">+L175*H175</f>
        <v>96.863889887752975</v>
      </c>
      <c r="N175" s="361">
        <f t="shared" ref="N175:N194" si="39">+M175*2</f>
        <v>193.72777977550595</v>
      </c>
      <c r="O175" s="361">
        <f>+C175/2</f>
        <v>0</v>
      </c>
      <c r="P175" s="361">
        <f t="shared" ref="P175:P194" si="40">SIN(O175*3.14159265358979/180)</f>
        <v>0</v>
      </c>
      <c r="Q175" s="361">
        <f t="shared" ref="Q175:Q194" si="41">+P175*N175</f>
        <v>0</v>
      </c>
      <c r="R175" s="181">
        <v>147.93928579999999</v>
      </c>
      <c r="S175" s="361">
        <f>+R175+Q175</f>
        <v>147.93928579999999</v>
      </c>
      <c r="T175" s="362">
        <f t="shared" ref="T175:T194" si="42">+S175</f>
        <v>147.93928579999999</v>
      </c>
      <c r="V175" s="327">
        <f t="shared" ref="V175:V198" si="43">IF(B175&lt;($B$172+1),T175,0)</f>
        <v>147.93928579999999</v>
      </c>
      <c r="W175" s="327"/>
      <c r="X175" s="327"/>
      <c r="Y175" s="327"/>
      <c r="Z175" s="327"/>
      <c r="AA175" s="327"/>
      <c r="AB175" s="363" t="str">
        <f t="shared" ref="AB175:AB198" si="44">IF(AY175&lt;0,"use the ground stack hole"," ")</f>
        <v xml:space="preserve"> </v>
      </c>
      <c r="AC175" s="364"/>
      <c r="AD175" s="364"/>
      <c r="AE175" s="364"/>
      <c r="AF175" s="327">
        <f>SUM(V175:V198)/($B$172)</f>
        <v>147.93928579999999</v>
      </c>
      <c r="AG175" s="339">
        <f>C175</f>
        <v>0</v>
      </c>
      <c r="AH175" s="339"/>
      <c r="AI175" s="185">
        <f>74.8522391-AG175</f>
        <v>74.852239100000006</v>
      </c>
      <c r="AJ175" s="330">
        <f t="shared" ref="AJ175:AJ198" si="45">SIN(AI175*3.14159265358979/180)</f>
        <v>0.96525514282827984</v>
      </c>
      <c r="AK175" s="187">
        <f>+AJ175*193.2389666</f>
        <v>186.5249063054722</v>
      </c>
      <c r="AL175" s="185">
        <f>56.7850518+AG175</f>
        <v>56.785051799999998</v>
      </c>
      <c r="AM175" s="331">
        <f>SIN(AL175*3.14159265358979/180)</f>
        <v>0.83662142830740083</v>
      </c>
      <c r="AN175" s="189">
        <f>+AM175*176.8294247</f>
        <v>147.93928585928998</v>
      </c>
      <c r="AO175" s="365"/>
      <c r="AP175" s="366">
        <f>15*B172</f>
        <v>15</v>
      </c>
      <c r="AQ175" s="333"/>
      <c r="AR175" s="333">
        <f>+AN175+AK175</f>
        <v>334.46419216476215</v>
      </c>
      <c r="AS175" s="334">
        <f>+V175-AN175</f>
        <v>-5.9289988030286622E-8</v>
      </c>
      <c r="AT175" s="334"/>
      <c r="AU175" s="334">
        <f>+AF175-AS175</f>
        <v>147.93928585928998</v>
      </c>
      <c r="AV175" s="336">
        <f>+((AR175-AU175)/AR175)*AP175</f>
        <v>8.3652410635450245</v>
      </c>
      <c r="AW175" s="336">
        <f>+(AU175/AR175)*AP175</f>
        <v>6.6347589364549746</v>
      </c>
      <c r="AX175" s="337">
        <f>2*$C$18/AV175</f>
        <v>956.33825005513438</v>
      </c>
      <c r="AY175" s="337">
        <f>$D$18/AW175</f>
        <v>663.1740568333247</v>
      </c>
      <c r="AZ175" s="340">
        <f>ABS(AX175)</f>
        <v>956.33825005513438</v>
      </c>
      <c r="BA175" s="340">
        <f>ABS(AY175)</f>
        <v>663.1740568333247</v>
      </c>
      <c r="BB175" s="51"/>
      <c r="BC175" s="367"/>
      <c r="BE175" s="81"/>
      <c r="BF175" s="81"/>
      <c r="BG175" s="81"/>
      <c r="BH175" s="81"/>
      <c r="BI175" s="81"/>
      <c r="CE175" s="667"/>
      <c r="CF175" s="667"/>
      <c r="CG175" s="667"/>
      <c r="CH175" s="667"/>
      <c r="CQ175" s="667"/>
      <c r="CR175" s="667"/>
      <c r="CS175" s="667"/>
      <c r="CT175" s="667"/>
      <c r="CU175" s="667"/>
      <c r="CV175" s="667"/>
      <c r="CW175" s="667"/>
      <c r="CX175" s="667"/>
      <c r="CY175" s="667"/>
      <c r="CZ175" s="667"/>
      <c r="DA175" s="667"/>
      <c r="DB175" s="667"/>
      <c r="DC175" s="667"/>
      <c r="DD175" s="667"/>
      <c r="DE175" s="667"/>
      <c r="DF175" s="667"/>
      <c r="DG175" s="668"/>
      <c r="DH175" s="668"/>
    </row>
    <row r="176" spans="2:112" ht="25" customHeight="1" thickBot="1" x14ac:dyDescent="0.3">
      <c r="B176" s="197">
        <v>2</v>
      </c>
      <c r="C176" s="198"/>
      <c r="D176" s="10">
        <v>0</v>
      </c>
      <c r="E176" s="199" t="s">
        <v>121</v>
      </c>
      <c r="F176" s="178"/>
      <c r="G176" s="178">
        <f t="shared" ref="G176:G194" si="46">+D176+BB176</f>
        <v>0</v>
      </c>
      <c r="H176" s="179">
        <v>176.8294247</v>
      </c>
      <c r="I176" s="180">
        <v>66.429896499999998</v>
      </c>
      <c r="J176" s="361">
        <f t="shared" ref="J176:J194" si="47">+I176-D176</f>
        <v>66.429896499999998</v>
      </c>
      <c r="K176" s="361">
        <f t="shared" ref="K176:K194" si="48">+J176/2</f>
        <v>33.214948249999999</v>
      </c>
      <c r="L176" s="361">
        <f t="shared" si="37"/>
        <v>0.54778151346749804</v>
      </c>
      <c r="M176" s="361">
        <f t="shared" si="38"/>
        <v>96.863889887752975</v>
      </c>
      <c r="N176" s="361">
        <f t="shared" si="39"/>
        <v>193.72777977550595</v>
      </c>
      <c r="O176" s="361">
        <f>+C175+(D176/2)</f>
        <v>0</v>
      </c>
      <c r="P176" s="361">
        <f t="shared" si="40"/>
        <v>0</v>
      </c>
      <c r="Q176" s="361">
        <f t="shared" si="41"/>
        <v>0</v>
      </c>
      <c r="R176" s="361">
        <f t="shared" ref="R176:R194" si="49">+T175</f>
        <v>147.93928579999999</v>
      </c>
      <c r="S176" s="361">
        <f>+R176+Q176</f>
        <v>147.93928579999999</v>
      </c>
      <c r="T176" s="362">
        <f t="shared" si="42"/>
        <v>147.93928579999999</v>
      </c>
      <c r="V176" s="327">
        <f t="shared" si="43"/>
        <v>0</v>
      </c>
      <c r="W176" s="327"/>
      <c r="X176" s="327"/>
      <c r="Y176" s="327"/>
      <c r="Z176" s="327"/>
      <c r="AA176" s="327"/>
      <c r="AB176" s="363" t="e">
        <f t="shared" si="44"/>
        <v>#DIV/0!</v>
      </c>
      <c r="AC176" s="364"/>
      <c r="AD176" s="364"/>
      <c r="AE176" s="364"/>
      <c r="AF176" s="327" t="e">
        <f>SUM(V176:V198)/($B$172-B175)</f>
        <v>#DIV/0!</v>
      </c>
      <c r="AG176" s="339">
        <f>SUM(D176)+$C$175</f>
        <v>0</v>
      </c>
      <c r="AH176" s="339"/>
      <c r="AI176" s="185">
        <f t="shared" ref="AI176:AI198" si="50">74.8522391-AG176</f>
        <v>74.852239100000006</v>
      </c>
      <c r="AJ176" s="330">
        <f t="shared" si="45"/>
        <v>0.96525514282827984</v>
      </c>
      <c r="AK176" s="187">
        <f t="shared" ref="AK176:AK198" si="51">+AJ176*193.2389666</f>
        <v>186.5249063054722</v>
      </c>
      <c r="AL176" s="185">
        <f t="shared" ref="AL176:AL198" si="52">56.7850518+AG176</f>
        <v>56.785051799999998</v>
      </c>
      <c r="AM176" s="331">
        <f t="shared" ref="AM176:AM198" si="53">SIN(AL176*3.14159265358979/180)</f>
        <v>0.83662142830740083</v>
      </c>
      <c r="AN176" s="189">
        <f t="shared" ref="AN176:AN198" si="54">+AM176*176.8294247</f>
        <v>147.93928585928998</v>
      </c>
      <c r="AO176" s="365"/>
      <c r="AP176" s="211">
        <f>15*($B$172-B175)</f>
        <v>0</v>
      </c>
      <c r="AQ176" s="333"/>
      <c r="AR176" s="333">
        <f t="shared" ref="AR176:AR194" si="55">+AN176+AK176</f>
        <v>334.46419216476215</v>
      </c>
      <c r="AS176" s="334">
        <f>+V176-AN176</f>
        <v>-147.93928585928998</v>
      </c>
      <c r="AT176" s="334"/>
      <c r="AU176" s="334" t="e">
        <f>+AF176-AS176</f>
        <v>#DIV/0!</v>
      </c>
      <c r="AV176" s="336" t="e">
        <f t="shared" ref="AV176:AV194" si="56">+((AR176-AU176)/AR176)*AP176</f>
        <v>#DIV/0!</v>
      </c>
      <c r="AW176" s="336" t="e">
        <f t="shared" ref="AW176:AW194" si="57">+(AU176/AR176)*AP176</f>
        <v>#DIV/0!</v>
      </c>
      <c r="AX176" s="337" t="e">
        <f t="shared" ref="AX176:AX194" si="58">2*$C$18/AV176</f>
        <v>#DIV/0!</v>
      </c>
      <c r="AY176" s="337" t="e">
        <f t="shared" ref="AY176:AY194" si="59">$D$18/AW176</f>
        <v>#DIV/0!</v>
      </c>
      <c r="AZ176" s="340" t="e">
        <f t="shared" ref="AZ176:BA194" si="60">ABS(AX176)</f>
        <v>#DIV/0!</v>
      </c>
      <c r="BA176" s="340" t="e">
        <f t="shared" si="60"/>
        <v>#DIV/0!</v>
      </c>
      <c r="BE176" s="81"/>
      <c r="BF176" s="81"/>
      <c r="BG176" s="81"/>
      <c r="BH176" s="81"/>
      <c r="BI176" s="81"/>
      <c r="CE176" s="667"/>
      <c r="CF176" s="667"/>
      <c r="CG176" s="667"/>
      <c r="CH176" s="667"/>
      <c r="CQ176" s="667"/>
      <c r="CR176" s="667"/>
      <c r="CS176" s="667"/>
      <c r="CT176" s="667"/>
      <c r="CU176" s="667"/>
      <c r="CV176" s="667"/>
      <c r="CW176" s="667"/>
      <c r="CX176" s="667"/>
      <c r="CY176" s="667"/>
      <c r="CZ176" s="667"/>
      <c r="DA176" s="667"/>
      <c r="DB176" s="667"/>
      <c r="DC176" s="667"/>
      <c r="DD176" s="667"/>
      <c r="DE176" s="667"/>
      <c r="DF176" s="667"/>
      <c r="DG176" s="668"/>
      <c r="DH176" s="668"/>
    </row>
    <row r="177" spans="1:112" ht="25" customHeight="1" thickBot="1" x14ac:dyDescent="0.3">
      <c r="B177" s="197">
        <v>3</v>
      </c>
      <c r="C177" s="198"/>
      <c r="D177" s="10">
        <v>0</v>
      </c>
      <c r="E177" s="199" t="s">
        <v>121</v>
      </c>
      <c r="F177" s="178"/>
      <c r="G177" s="178">
        <f t="shared" si="46"/>
        <v>0</v>
      </c>
      <c r="H177" s="179">
        <v>176.8294247</v>
      </c>
      <c r="I177" s="180">
        <v>66.429896499999998</v>
      </c>
      <c r="J177" s="361">
        <f t="shared" si="47"/>
        <v>66.429896499999998</v>
      </c>
      <c r="K177" s="361">
        <f t="shared" si="48"/>
        <v>33.214948249999999</v>
      </c>
      <c r="L177" s="361">
        <f t="shared" si="37"/>
        <v>0.54778151346749804</v>
      </c>
      <c r="M177" s="361">
        <f t="shared" si="38"/>
        <v>96.863889887752975</v>
      </c>
      <c r="N177" s="361">
        <f t="shared" si="39"/>
        <v>193.72777977550595</v>
      </c>
      <c r="O177" s="361">
        <f>+C175+D176+(D177/2)</f>
        <v>0</v>
      </c>
      <c r="P177" s="361">
        <f t="shared" si="40"/>
        <v>0</v>
      </c>
      <c r="Q177" s="361">
        <f t="shared" si="41"/>
        <v>0</v>
      </c>
      <c r="R177" s="361">
        <f t="shared" si="49"/>
        <v>147.93928579999999</v>
      </c>
      <c r="S177" s="361">
        <f t="shared" ref="S177:S194" si="61">+S176+Q177</f>
        <v>147.93928579999999</v>
      </c>
      <c r="T177" s="362">
        <f t="shared" si="42"/>
        <v>147.93928579999999</v>
      </c>
      <c r="V177" s="327">
        <f t="shared" si="43"/>
        <v>0</v>
      </c>
      <c r="W177" s="327"/>
      <c r="X177" s="327"/>
      <c r="Y177" s="327"/>
      <c r="Z177" s="327"/>
      <c r="AA177" s="327"/>
      <c r="AB177" s="363" t="str">
        <f t="shared" si="44"/>
        <v>use the ground stack hole</v>
      </c>
      <c r="AC177" s="364"/>
      <c r="AD177" s="364"/>
      <c r="AE177" s="364"/>
      <c r="AF177" s="327">
        <f>SUM(V177:V198)/($B$172-B176)</f>
        <v>0</v>
      </c>
      <c r="AG177" s="339">
        <f>SUM(D176:D177)+$C$175</f>
        <v>0</v>
      </c>
      <c r="AH177" s="339"/>
      <c r="AI177" s="185">
        <f t="shared" si="50"/>
        <v>74.852239100000006</v>
      </c>
      <c r="AJ177" s="330">
        <f t="shared" si="45"/>
        <v>0.96525514282827984</v>
      </c>
      <c r="AK177" s="187">
        <f t="shared" si="51"/>
        <v>186.5249063054722</v>
      </c>
      <c r="AL177" s="185">
        <f t="shared" si="52"/>
        <v>56.785051799999998</v>
      </c>
      <c r="AM177" s="331">
        <f t="shared" si="53"/>
        <v>0.83662142830740083</v>
      </c>
      <c r="AN177" s="189">
        <f t="shared" si="54"/>
        <v>147.93928585928998</v>
      </c>
      <c r="AO177" s="365"/>
      <c r="AP177" s="211">
        <f t="shared" ref="AP177:AP198" si="62">15*($B$172-B176)</f>
        <v>-15</v>
      </c>
      <c r="AQ177" s="333"/>
      <c r="AR177" s="333">
        <f t="shared" si="55"/>
        <v>334.46419216476215</v>
      </c>
      <c r="AS177" s="334">
        <f>+V177-AN177</f>
        <v>-147.93928585928998</v>
      </c>
      <c r="AT177" s="334"/>
      <c r="AU177" s="334">
        <f>+AF177-AS177</f>
        <v>147.93928585928998</v>
      </c>
      <c r="AV177" s="336">
        <f t="shared" si="56"/>
        <v>-8.3652410635450245</v>
      </c>
      <c r="AW177" s="336">
        <f t="shared" si="57"/>
        <v>-6.6347589364549746</v>
      </c>
      <c r="AX177" s="337">
        <f t="shared" si="58"/>
        <v>-956.33825005513438</v>
      </c>
      <c r="AY177" s="337">
        <f t="shared" si="59"/>
        <v>-663.1740568333247</v>
      </c>
      <c r="AZ177" s="340">
        <f t="shared" si="60"/>
        <v>956.33825005513438</v>
      </c>
      <c r="BA177" s="340">
        <f t="shared" si="60"/>
        <v>663.1740568333247</v>
      </c>
      <c r="BE177" s="81"/>
      <c r="BF177" s="81"/>
      <c r="BG177" s="81"/>
      <c r="BH177" s="81"/>
      <c r="BI177" s="81"/>
      <c r="CE177" s="667"/>
      <c r="CF177" s="667"/>
      <c r="CG177" s="667"/>
      <c r="CH177" s="667"/>
      <c r="CQ177" s="667"/>
      <c r="CR177" s="667"/>
      <c r="CS177" s="667"/>
      <c r="CT177" s="667"/>
      <c r="CU177" s="667"/>
      <c r="CV177" s="667"/>
      <c r="CW177" s="667"/>
      <c r="CX177" s="667"/>
      <c r="CY177" s="667"/>
      <c r="CZ177" s="667"/>
      <c r="DA177" s="667"/>
      <c r="DB177" s="667"/>
      <c r="DC177" s="667"/>
      <c r="DD177" s="667"/>
      <c r="DE177" s="667"/>
      <c r="DF177" s="667"/>
      <c r="DG177" s="668"/>
      <c r="DH177" s="668"/>
    </row>
    <row r="178" spans="1:112" ht="25" customHeight="1" thickBot="1" x14ac:dyDescent="0.3">
      <c r="B178" s="197">
        <v>4</v>
      </c>
      <c r="C178" s="198"/>
      <c r="D178" s="10">
        <v>0</v>
      </c>
      <c r="E178" s="199" t="s">
        <v>121</v>
      </c>
      <c r="F178" s="178"/>
      <c r="G178" s="178">
        <f t="shared" si="46"/>
        <v>0</v>
      </c>
      <c r="H178" s="179">
        <v>176.8294247</v>
      </c>
      <c r="I178" s="180">
        <v>66.429896499999998</v>
      </c>
      <c r="J178" s="361">
        <f t="shared" si="47"/>
        <v>66.429896499999998</v>
      </c>
      <c r="K178" s="361">
        <f t="shared" si="48"/>
        <v>33.214948249999999</v>
      </c>
      <c r="L178" s="361">
        <f t="shared" si="37"/>
        <v>0.54778151346749804</v>
      </c>
      <c r="M178" s="361">
        <f t="shared" si="38"/>
        <v>96.863889887752975</v>
      </c>
      <c r="N178" s="361">
        <f t="shared" si="39"/>
        <v>193.72777977550595</v>
      </c>
      <c r="O178" s="361">
        <f>+C175+D176+D177+(D178/2)</f>
        <v>0</v>
      </c>
      <c r="P178" s="361">
        <f t="shared" si="40"/>
        <v>0</v>
      </c>
      <c r="Q178" s="361">
        <f t="shared" si="41"/>
        <v>0</v>
      </c>
      <c r="R178" s="361">
        <f t="shared" si="49"/>
        <v>147.93928579999999</v>
      </c>
      <c r="S178" s="361">
        <f t="shared" si="61"/>
        <v>147.93928579999999</v>
      </c>
      <c r="T178" s="362">
        <f t="shared" si="42"/>
        <v>147.93928579999999</v>
      </c>
      <c r="V178" s="327">
        <f t="shared" si="43"/>
        <v>0</v>
      </c>
      <c r="W178" s="327"/>
      <c r="X178" s="327"/>
      <c r="Y178" s="327"/>
      <c r="Z178" s="327"/>
      <c r="AA178" s="327"/>
      <c r="AB178" s="363" t="str">
        <f t="shared" si="44"/>
        <v>use the ground stack hole</v>
      </c>
      <c r="AC178" s="364"/>
      <c r="AD178" s="364"/>
      <c r="AE178" s="364"/>
      <c r="AF178" s="327">
        <f>SUM(V178:V198)/($B$172-B177)</f>
        <v>0</v>
      </c>
      <c r="AG178" s="339">
        <f>SUM(D176:D178)+$C$175</f>
        <v>0</v>
      </c>
      <c r="AH178" s="339"/>
      <c r="AI178" s="185">
        <f t="shared" si="50"/>
        <v>74.852239100000006</v>
      </c>
      <c r="AJ178" s="330">
        <f t="shared" si="45"/>
        <v>0.96525514282827984</v>
      </c>
      <c r="AK178" s="187">
        <f t="shared" si="51"/>
        <v>186.5249063054722</v>
      </c>
      <c r="AL178" s="185">
        <f t="shared" si="52"/>
        <v>56.785051799999998</v>
      </c>
      <c r="AM178" s="331">
        <f t="shared" si="53"/>
        <v>0.83662142830740083</v>
      </c>
      <c r="AN178" s="189">
        <f t="shared" si="54"/>
        <v>147.93928585928998</v>
      </c>
      <c r="AO178" s="365"/>
      <c r="AP178" s="211">
        <f t="shared" si="62"/>
        <v>-30</v>
      </c>
      <c r="AQ178" s="333"/>
      <c r="AR178" s="333">
        <f t="shared" si="55"/>
        <v>334.46419216476215</v>
      </c>
      <c r="AS178" s="334">
        <f>+V178-AN178</f>
        <v>-147.93928585928998</v>
      </c>
      <c r="AT178" s="334"/>
      <c r="AU178" s="334">
        <f t="shared" ref="AU178:AU194" si="63">+AF178-AS178</f>
        <v>147.93928585928998</v>
      </c>
      <c r="AV178" s="336">
        <f t="shared" si="56"/>
        <v>-16.730482127090049</v>
      </c>
      <c r="AW178" s="336">
        <f t="shared" si="57"/>
        <v>-13.269517872909949</v>
      </c>
      <c r="AX178" s="337">
        <f t="shared" si="58"/>
        <v>-478.16912502756719</v>
      </c>
      <c r="AY178" s="337">
        <f t="shared" si="59"/>
        <v>-331.58702841666235</v>
      </c>
      <c r="AZ178" s="340">
        <f t="shared" si="60"/>
        <v>478.16912502756719</v>
      </c>
      <c r="BA178" s="340">
        <f t="shared" si="60"/>
        <v>331.58702841666235</v>
      </c>
      <c r="BE178" s="81"/>
      <c r="BF178" s="81"/>
      <c r="BG178" s="81"/>
      <c r="BH178" s="81"/>
      <c r="BI178" s="81"/>
      <c r="CE178" s="667"/>
      <c r="CF178" s="667"/>
      <c r="CG178" s="667"/>
      <c r="CH178" s="667"/>
      <c r="CQ178" s="667"/>
      <c r="CR178" s="667"/>
      <c r="CS178" s="667"/>
      <c r="CT178" s="667"/>
      <c r="CU178" s="667"/>
      <c r="CV178" s="667"/>
      <c r="CW178" s="667"/>
      <c r="CX178" s="667"/>
      <c r="CY178" s="667"/>
      <c r="CZ178" s="667"/>
      <c r="DA178" s="667"/>
      <c r="DB178" s="667"/>
      <c r="DC178" s="667"/>
      <c r="DD178" s="667"/>
      <c r="DE178" s="667"/>
      <c r="DF178" s="667"/>
      <c r="DG178" s="668"/>
      <c r="DH178" s="667"/>
    </row>
    <row r="179" spans="1:112" ht="25" customHeight="1" thickBot="1" x14ac:dyDescent="0.3">
      <c r="B179" s="197">
        <v>5</v>
      </c>
      <c r="C179" s="198"/>
      <c r="D179" s="10">
        <v>0</v>
      </c>
      <c r="E179" s="199" t="s">
        <v>121</v>
      </c>
      <c r="F179" s="178"/>
      <c r="G179" s="178">
        <f t="shared" si="46"/>
        <v>0</v>
      </c>
      <c r="H179" s="179">
        <v>176.8294247</v>
      </c>
      <c r="I179" s="180">
        <v>66.429896499999998</v>
      </c>
      <c r="J179" s="361">
        <f t="shared" si="47"/>
        <v>66.429896499999998</v>
      </c>
      <c r="K179" s="361">
        <f t="shared" si="48"/>
        <v>33.214948249999999</v>
      </c>
      <c r="L179" s="361">
        <f t="shared" si="37"/>
        <v>0.54778151346749804</v>
      </c>
      <c r="M179" s="361">
        <f t="shared" si="38"/>
        <v>96.863889887752975</v>
      </c>
      <c r="N179" s="361">
        <f t="shared" si="39"/>
        <v>193.72777977550595</v>
      </c>
      <c r="O179" s="361">
        <f>+C175+D176+D177+D178+(D179/2)</f>
        <v>0</v>
      </c>
      <c r="P179" s="361">
        <f t="shared" si="40"/>
        <v>0</v>
      </c>
      <c r="Q179" s="361">
        <f t="shared" si="41"/>
        <v>0</v>
      </c>
      <c r="R179" s="361">
        <f t="shared" si="49"/>
        <v>147.93928579999999</v>
      </c>
      <c r="S179" s="361">
        <f t="shared" si="61"/>
        <v>147.93928579999999</v>
      </c>
      <c r="T179" s="362">
        <f t="shared" si="42"/>
        <v>147.93928579999999</v>
      </c>
      <c r="V179" s="327">
        <f t="shared" si="43"/>
        <v>0</v>
      </c>
      <c r="W179" s="327"/>
      <c r="X179" s="327"/>
      <c r="Y179" s="327"/>
      <c r="Z179" s="327"/>
      <c r="AA179" s="327"/>
      <c r="AB179" s="363" t="str">
        <f t="shared" si="44"/>
        <v>use the ground stack hole</v>
      </c>
      <c r="AC179" s="364"/>
      <c r="AD179" s="364"/>
      <c r="AE179" s="364"/>
      <c r="AF179" s="327">
        <f t="shared" ref="AF179:AF198" si="64">SUM(V179:V198)/($B$172-B178)</f>
        <v>0</v>
      </c>
      <c r="AG179" s="339">
        <f>SUM(D176:D179)+$C$175</f>
        <v>0</v>
      </c>
      <c r="AH179" s="339"/>
      <c r="AI179" s="185">
        <f t="shared" si="50"/>
        <v>74.852239100000006</v>
      </c>
      <c r="AJ179" s="330">
        <f t="shared" si="45"/>
        <v>0.96525514282827984</v>
      </c>
      <c r="AK179" s="187">
        <f t="shared" si="51"/>
        <v>186.5249063054722</v>
      </c>
      <c r="AL179" s="185">
        <f t="shared" si="52"/>
        <v>56.785051799999998</v>
      </c>
      <c r="AM179" s="331">
        <f t="shared" si="53"/>
        <v>0.83662142830740083</v>
      </c>
      <c r="AN179" s="189">
        <f t="shared" si="54"/>
        <v>147.93928585928998</v>
      </c>
      <c r="AO179" s="365"/>
      <c r="AP179" s="211">
        <f t="shared" si="62"/>
        <v>-45</v>
      </c>
      <c r="AQ179" s="333"/>
      <c r="AR179" s="333">
        <f t="shared" si="55"/>
        <v>334.46419216476215</v>
      </c>
      <c r="AS179" s="334">
        <f t="shared" ref="AS179:AS194" si="65">+V179-AN179</f>
        <v>-147.93928585928998</v>
      </c>
      <c r="AT179" s="334"/>
      <c r="AU179" s="334">
        <f t="shared" si="63"/>
        <v>147.93928585928998</v>
      </c>
      <c r="AV179" s="336">
        <f t="shared" si="56"/>
        <v>-25.095723190635077</v>
      </c>
      <c r="AW179" s="336">
        <f t="shared" si="57"/>
        <v>-19.904276809364923</v>
      </c>
      <c r="AX179" s="337">
        <f t="shared" si="58"/>
        <v>-318.77941668504474</v>
      </c>
      <c r="AY179" s="337">
        <f t="shared" si="59"/>
        <v>-221.05801894444156</v>
      </c>
      <c r="AZ179" s="340">
        <f t="shared" si="60"/>
        <v>318.77941668504474</v>
      </c>
      <c r="BA179" s="340">
        <f t="shared" si="60"/>
        <v>221.05801894444156</v>
      </c>
      <c r="BC179" s="77"/>
      <c r="BD179" s="77"/>
      <c r="BE179" s="81"/>
      <c r="BF179" s="81"/>
      <c r="BG179" s="81"/>
      <c r="BH179" s="81"/>
      <c r="BI179" s="81"/>
      <c r="CE179" s="667"/>
      <c r="CF179" s="667"/>
      <c r="CG179" s="667"/>
      <c r="CH179" s="667"/>
      <c r="CQ179" s="667"/>
      <c r="CR179" s="667"/>
      <c r="CS179" s="667"/>
      <c r="CT179" s="667"/>
      <c r="CU179" s="667"/>
      <c r="CV179" s="667"/>
      <c r="CW179" s="667"/>
      <c r="CX179" s="667"/>
      <c r="CY179" s="667"/>
      <c r="CZ179" s="667"/>
      <c r="DA179" s="667"/>
      <c r="DB179" s="667"/>
      <c r="DC179" s="667"/>
      <c r="DD179" s="667"/>
      <c r="DE179" s="667"/>
      <c r="DF179" s="667"/>
      <c r="DG179" s="668"/>
      <c r="DH179" s="678"/>
    </row>
    <row r="180" spans="1:112" ht="25" customHeight="1" thickBot="1" x14ac:dyDescent="0.3">
      <c r="B180" s="197">
        <v>6</v>
      </c>
      <c r="C180" s="198"/>
      <c r="D180" s="10">
        <v>0</v>
      </c>
      <c r="E180" s="199" t="s">
        <v>121</v>
      </c>
      <c r="F180" s="178"/>
      <c r="G180" s="178">
        <f t="shared" si="46"/>
        <v>0</v>
      </c>
      <c r="H180" s="179">
        <v>176.8294247</v>
      </c>
      <c r="I180" s="180">
        <v>66.429896499999998</v>
      </c>
      <c r="J180" s="361">
        <f t="shared" si="47"/>
        <v>66.429896499999998</v>
      </c>
      <c r="K180" s="361">
        <f t="shared" si="48"/>
        <v>33.214948249999999</v>
      </c>
      <c r="L180" s="361">
        <f t="shared" si="37"/>
        <v>0.54778151346749804</v>
      </c>
      <c r="M180" s="361">
        <f t="shared" si="38"/>
        <v>96.863889887752975</v>
      </c>
      <c r="N180" s="361">
        <f t="shared" si="39"/>
        <v>193.72777977550595</v>
      </c>
      <c r="O180" s="361">
        <f>+C175+D176+D177+D178+D179+(D180/2)</f>
        <v>0</v>
      </c>
      <c r="P180" s="361">
        <f t="shared" si="40"/>
        <v>0</v>
      </c>
      <c r="Q180" s="361">
        <f t="shared" si="41"/>
        <v>0</v>
      </c>
      <c r="R180" s="361">
        <f t="shared" si="49"/>
        <v>147.93928579999999</v>
      </c>
      <c r="S180" s="361">
        <f t="shared" si="61"/>
        <v>147.93928579999999</v>
      </c>
      <c r="T180" s="362">
        <f t="shared" si="42"/>
        <v>147.93928579999999</v>
      </c>
      <c r="V180" s="327">
        <f t="shared" si="43"/>
        <v>0</v>
      </c>
      <c r="W180" s="327"/>
      <c r="X180" s="327"/>
      <c r="Y180" s="327"/>
      <c r="Z180" s="327"/>
      <c r="AA180" s="327"/>
      <c r="AB180" s="363" t="str">
        <f t="shared" si="44"/>
        <v>use the ground stack hole</v>
      </c>
      <c r="AC180" s="364"/>
      <c r="AD180" s="364"/>
      <c r="AE180" s="364"/>
      <c r="AF180" s="327">
        <f t="shared" si="64"/>
        <v>0</v>
      </c>
      <c r="AG180" s="339">
        <f>SUM(D176:D180)+$C$175</f>
        <v>0</v>
      </c>
      <c r="AH180" s="339"/>
      <c r="AI180" s="185">
        <f t="shared" si="50"/>
        <v>74.852239100000006</v>
      </c>
      <c r="AJ180" s="330">
        <f t="shared" si="45"/>
        <v>0.96525514282827984</v>
      </c>
      <c r="AK180" s="187">
        <f t="shared" si="51"/>
        <v>186.5249063054722</v>
      </c>
      <c r="AL180" s="185">
        <f t="shared" si="52"/>
        <v>56.785051799999998</v>
      </c>
      <c r="AM180" s="331">
        <f t="shared" si="53"/>
        <v>0.83662142830740083</v>
      </c>
      <c r="AN180" s="189">
        <f t="shared" si="54"/>
        <v>147.93928585928998</v>
      </c>
      <c r="AO180" s="365"/>
      <c r="AP180" s="211">
        <f t="shared" si="62"/>
        <v>-60</v>
      </c>
      <c r="AQ180" s="333"/>
      <c r="AR180" s="333">
        <f t="shared" si="55"/>
        <v>334.46419216476215</v>
      </c>
      <c r="AS180" s="334">
        <f t="shared" si="65"/>
        <v>-147.93928585928998</v>
      </c>
      <c r="AT180" s="334"/>
      <c r="AU180" s="334">
        <f t="shared" si="63"/>
        <v>147.93928585928998</v>
      </c>
      <c r="AV180" s="336">
        <f t="shared" si="56"/>
        <v>-33.460964254180098</v>
      </c>
      <c r="AW180" s="336">
        <f t="shared" si="57"/>
        <v>-26.539035745819898</v>
      </c>
      <c r="AX180" s="337">
        <f t="shared" si="58"/>
        <v>-239.0845625137836</v>
      </c>
      <c r="AY180" s="337">
        <f t="shared" si="59"/>
        <v>-165.79351420833117</v>
      </c>
      <c r="AZ180" s="340">
        <f t="shared" si="60"/>
        <v>239.0845625137836</v>
      </c>
      <c r="BA180" s="340">
        <f t="shared" si="60"/>
        <v>165.79351420833117</v>
      </c>
      <c r="BC180" s="77"/>
      <c r="BD180" s="77"/>
      <c r="CE180" s="667"/>
      <c r="CF180" s="667"/>
      <c r="CG180" s="667"/>
      <c r="CH180" s="667"/>
      <c r="CQ180" s="667"/>
      <c r="CR180" s="667"/>
      <c r="CS180" s="667"/>
      <c r="CT180" s="667"/>
      <c r="CU180" s="667"/>
      <c r="CV180" s="667"/>
      <c r="CW180" s="667"/>
      <c r="CX180" s="667"/>
      <c r="CY180" s="667"/>
      <c r="CZ180" s="667"/>
      <c r="DA180" s="667"/>
      <c r="DB180" s="667"/>
      <c r="DC180" s="667"/>
      <c r="DD180" s="667"/>
      <c r="DE180" s="667"/>
      <c r="DF180" s="667"/>
      <c r="DG180" s="667"/>
      <c r="DH180" s="667"/>
    </row>
    <row r="181" spans="1:112" ht="25" customHeight="1" thickBot="1" x14ac:dyDescent="0.3">
      <c r="B181" s="197">
        <v>7</v>
      </c>
      <c r="C181" s="198"/>
      <c r="D181" s="10">
        <v>0</v>
      </c>
      <c r="E181" s="199" t="s">
        <v>121</v>
      </c>
      <c r="F181" s="178"/>
      <c r="G181" s="178">
        <f t="shared" si="46"/>
        <v>0</v>
      </c>
      <c r="H181" s="179">
        <v>176.8294247</v>
      </c>
      <c r="I181" s="180">
        <v>66.429896499999998</v>
      </c>
      <c r="J181" s="361">
        <f t="shared" si="47"/>
        <v>66.429896499999998</v>
      </c>
      <c r="K181" s="361">
        <f t="shared" si="48"/>
        <v>33.214948249999999</v>
      </c>
      <c r="L181" s="361">
        <f t="shared" si="37"/>
        <v>0.54778151346749804</v>
      </c>
      <c r="M181" s="361">
        <f t="shared" si="38"/>
        <v>96.863889887752975</v>
      </c>
      <c r="N181" s="361">
        <f t="shared" si="39"/>
        <v>193.72777977550595</v>
      </c>
      <c r="O181" s="361">
        <f>+C175+D176+D177+D178+D179+D180+(D181/2)</f>
        <v>0</v>
      </c>
      <c r="P181" s="361">
        <f t="shared" si="40"/>
        <v>0</v>
      </c>
      <c r="Q181" s="361">
        <f t="shared" si="41"/>
        <v>0</v>
      </c>
      <c r="R181" s="361">
        <f t="shared" si="49"/>
        <v>147.93928579999999</v>
      </c>
      <c r="S181" s="361">
        <f t="shared" si="61"/>
        <v>147.93928579999999</v>
      </c>
      <c r="T181" s="362">
        <f t="shared" si="42"/>
        <v>147.93928579999999</v>
      </c>
      <c r="V181" s="327">
        <f t="shared" si="43"/>
        <v>0</v>
      </c>
      <c r="W181" s="327"/>
      <c r="X181" s="327"/>
      <c r="Y181" s="327"/>
      <c r="Z181" s="327"/>
      <c r="AA181" s="327"/>
      <c r="AB181" s="363" t="str">
        <f t="shared" si="44"/>
        <v>use the ground stack hole</v>
      </c>
      <c r="AC181" s="364"/>
      <c r="AD181" s="364"/>
      <c r="AE181" s="364"/>
      <c r="AF181" s="327">
        <f t="shared" si="64"/>
        <v>0</v>
      </c>
      <c r="AG181" s="339">
        <f>SUM(D176:D181)+$C$175</f>
        <v>0</v>
      </c>
      <c r="AH181" s="339"/>
      <c r="AI181" s="185">
        <f t="shared" si="50"/>
        <v>74.852239100000006</v>
      </c>
      <c r="AJ181" s="330">
        <f t="shared" si="45"/>
        <v>0.96525514282827984</v>
      </c>
      <c r="AK181" s="187">
        <f t="shared" si="51"/>
        <v>186.5249063054722</v>
      </c>
      <c r="AL181" s="185">
        <f t="shared" si="52"/>
        <v>56.785051799999998</v>
      </c>
      <c r="AM181" s="331">
        <f t="shared" si="53"/>
        <v>0.83662142830740083</v>
      </c>
      <c r="AN181" s="189">
        <f t="shared" si="54"/>
        <v>147.93928585928998</v>
      </c>
      <c r="AO181" s="365"/>
      <c r="AP181" s="211">
        <f t="shared" si="62"/>
        <v>-75</v>
      </c>
      <c r="AQ181" s="333"/>
      <c r="AR181" s="333">
        <f t="shared" si="55"/>
        <v>334.46419216476215</v>
      </c>
      <c r="AS181" s="334">
        <f t="shared" si="65"/>
        <v>-147.93928585928998</v>
      </c>
      <c r="AT181" s="334"/>
      <c r="AU181" s="334">
        <f t="shared" si="63"/>
        <v>147.93928585928998</v>
      </c>
      <c r="AV181" s="336">
        <f t="shared" si="56"/>
        <v>-41.826205317725126</v>
      </c>
      <c r="AW181" s="336">
        <f t="shared" si="57"/>
        <v>-33.173794682274874</v>
      </c>
      <c r="AX181" s="337">
        <f t="shared" si="58"/>
        <v>-191.26765001102686</v>
      </c>
      <c r="AY181" s="337">
        <f t="shared" si="59"/>
        <v>-132.63481136666493</v>
      </c>
      <c r="AZ181" s="340">
        <f t="shared" si="60"/>
        <v>191.26765001102686</v>
      </c>
      <c r="BA181" s="340">
        <f t="shared" si="60"/>
        <v>132.63481136666493</v>
      </c>
      <c r="CE181" s="667"/>
      <c r="CF181" s="667"/>
      <c r="CG181" s="667"/>
      <c r="CH181" s="667"/>
      <c r="CQ181" s="667"/>
      <c r="CR181" s="667"/>
      <c r="CS181" s="667"/>
      <c r="CT181" s="667"/>
      <c r="CU181" s="667"/>
      <c r="CV181" s="667"/>
      <c r="CW181" s="667"/>
      <c r="CX181" s="667"/>
      <c r="CY181" s="667"/>
      <c r="CZ181" s="667"/>
      <c r="DA181" s="667"/>
      <c r="DB181" s="667"/>
      <c r="DC181" s="667"/>
      <c r="DD181" s="667"/>
      <c r="DE181" s="667"/>
      <c r="DF181" s="667"/>
      <c r="DG181" s="667"/>
      <c r="DH181" s="667"/>
    </row>
    <row r="182" spans="1:112" ht="25" customHeight="1" thickBot="1" x14ac:dyDescent="0.3">
      <c r="B182" s="197">
        <v>8</v>
      </c>
      <c r="C182" s="198"/>
      <c r="D182" s="10">
        <v>0</v>
      </c>
      <c r="E182" s="199" t="s">
        <v>121</v>
      </c>
      <c r="F182" s="178"/>
      <c r="G182" s="178">
        <f t="shared" si="46"/>
        <v>0</v>
      </c>
      <c r="H182" s="179">
        <v>176.8294247</v>
      </c>
      <c r="I182" s="180">
        <v>66.429896499999998</v>
      </c>
      <c r="J182" s="361">
        <f t="shared" si="47"/>
        <v>66.429896499999998</v>
      </c>
      <c r="K182" s="361">
        <f t="shared" si="48"/>
        <v>33.214948249999999</v>
      </c>
      <c r="L182" s="361">
        <f t="shared" si="37"/>
        <v>0.54778151346749804</v>
      </c>
      <c r="M182" s="361">
        <f t="shared" si="38"/>
        <v>96.863889887752975</v>
      </c>
      <c r="N182" s="361">
        <f t="shared" si="39"/>
        <v>193.72777977550595</v>
      </c>
      <c r="O182" s="361">
        <f>+C175+D176+D177+D178+D179+D180+D181+(D182/2)</f>
        <v>0</v>
      </c>
      <c r="P182" s="361">
        <f t="shared" si="40"/>
        <v>0</v>
      </c>
      <c r="Q182" s="361">
        <f t="shared" si="41"/>
        <v>0</v>
      </c>
      <c r="R182" s="361">
        <f t="shared" si="49"/>
        <v>147.93928579999999</v>
      </c>
      <c r="S182" s="361">
        <f t="shared" si="61"/>
        <v>147.93928579999999</v>
      </c>
      <c r="T182" s="362">
        <f t="shared" si="42"/>
        <v>147.93928579999999</v>
      </c>
      <c r="V182" s="327">
        <f t="shared" si="43"/>
        <v>0</v>
      </c>
      <c r="W182" s="327"/>
      <c r="X182" s="327"/>
      <c r="Y182" s="327"/>
      <c r="Z182" s="327"/>
      <c r="AA182" s="327"/>
      <c r="AB182" s="363" t="str">
        <f t="shared" si="44"/>
        <v>use the ground stack hole</v>
      </c>
      <c r="AC182" s="364"/>
      <c r="AD182" s="364"/>
      <c r="AE182" s="364"/>
      <c r="AF182" s="327">
        <f t="shared" si="64"/>
        <v>0</v>
      </c>
      <c r="AG182" s="339">
        <f>SUM(D176:D182)+$C$175</f>
        <v>0</v>
      </c>
      <c r="AH182" s="339"/>
      <c r="AI182" s="185">
        <f t="shared" si="50"/>
        <v>74.852239100000006</v>
      </c>
      <c r="AJ182" s="330">
        <f t="shared" si="45"/>
        <v>0.96525514282827984</v>
      </c>
      <c r="AK182" s="187">
        <f t="shared" si="51"/>
        <v>186.5249063054722</v>
      </c>
      <c r="AL182" s="185">
        <f t="shared" si="52"/>
        <v>56.785051799999998</v>
      </c>
      <c r="AM182" s="331">
        <f t="shared" si="53"/>
        <v>0.83662142830740083</v>
      </c>
      <c r="AN182" s="189">
        <f t="shared" si="54"/>
        <v>147.93928585928998</v>
      </c>
      <c r="AO182" s="365"/>
      <c r="AP182" s="211">
        <f t="shared" si="62"/>
        <v>-90</v>
      </c>
      <c r="AQ182" s="333"/>
      <c r="AR182" s="333">
        <f t="shared" si="55"/>
        <v>334.46419216476215</v>
      </c>
      <c r="AS182" s="334">
        <f t="shared" si="65"/>
        <v>-147.93928585928998</v>
      </c>
      <c r="AT182" s="334"/>
      <c r="AU182" s="334">
        <f t="shared" si="63"/>
        <v>147.93928585928998</v>
      </c>
      <c r="AV182" s="336">
        <f t="shared" si="56"/>
        <v>-50.191446381270154</v>
      </c>
      <c r="AW182" s="336">
        <f t="shared" si="57"/>
        <v>-39.808553618729846</v>
      </c>
      <c r="AX182" s="337">
        <f t="shared" si="58"/>
        <v>-159.38970834252237</v>
      </c>
      <c r="AY182" s="337">
        <f t="shared" si="59"/>
        <v>-110.52900947222078</v>
      </c>
      <c r="AZ182" s="340">
        <f t="shared" si="60"/>
        <v>159.38970834252237</v>
      </c>
      <c r="BA182" s="340">
        <f t="shared" si="60"/>
        <v>110.52900947222078</v>
      </c>
      <c r="CE182" s="667"/>
      <c r="CF182" s="667"/>
      <c r="CG182" s="667"/>
      <c r="CH182" s="667"/>
      <c r="CQ182" s="667"/>
      <c r="CR182" s="667"/>
      <c r="CS182" s="667"/>
      <c r="CT182" s="667"/>
      <c r="CU182" s="667"/>
      <c r="CV182" s="667"/>
      <c r="CW182" s="667"/>
      <c r="CX182" s="667"/>
      <c r="CY182" s="667"/>
      <c r="CZ182" s="667"/>
      <c r="DA182" s="667"/>
      <c r="DB182" s="667"/>
      <c r="DC182" s="667"/>
      <c r="DD182" s="667"/>
      <c r="DE182" s="667"/>
      <c r="DF182" s="667"/>
      <c r="DG182" s="667"/>
      <c r="DH182" s="667"/>
    </row>
    <row r="183" spans="1:112" ht="25" customHeight="1" thickBot="1" x14ac:dyDescent="0.3">
      <c r="B183" s="197">
        <v>9</v>
      </c>
      <c r="C183" s="198"/>
      <c r="D183" s="10">
        <v>0</v>
      </c>
      <c r="E183" s="199" t="s">
        <v>121</v>
      </c>
      <c r="F183" s="178"/>
      <c r="G183" s="178">
        <f t="shared" si="46"/>
        <v>0</v>
      </c>
      <c r="H183" s="179">
        <v>176.8294247</v>
      </c>
      <c r="I183" s="180">
        <v>66.429896499999998</v>
      </c>
      <c r="J183" s="361">
        <f t="shared" si="47"/>
        <v>66.429896499999998</v>
      </c>
      <c r="K183" s="361">
        <f t="shared" si="48"/>
        <v>33.214948249999999</v>
      </c>
      <c r="L183" s="361">
        <f t="shared" si="37"/>
        <v>0.54778151346749804</v>
      </c>
      <c r="M183" s="361">
        <f t="shared" si="38"/>
        <v>96.863889887752975</v>
      </c>
      <c r="N183" s="361">
        <f t="shared" si="39"/>
        <v>193.72777977550595</v>
      </c>
      <c r="O183" s="361">
        <f>+C175+D176+D177+D178+D179+D180+D181+D182+(D183/2)</f>
        <v>0</v>
      </c>
      <c r="P183" s="361">
        <f t="shared" si="40"/>
        <v>0</v>
      </c>
      <c r="Q183" s="361">
        <f t="shared" si="41"/>
        <v>0</v>
      </c>
      <c r="R183" s="361">
        <f t="shared" si="49"/>
        <v>147.93928579999999</v>
      </c>
      <c r="S183" s="361">
        <f t="shared" si="61"/>
        <v>147.93928579999999</v>
      </c>
      <c r="T183" s="362">
        <f t="shared" si="42"/>
        <v>147.93928579999999</v>
      </c>
      <c r="V183" s="327">
        <f t="shared" si="43"/>
        <v>0</v>
      </c>
      <c r="W183" s="327"/>
      <c r="X183" s="327"/>
      <c r="Y183" s="327"/>
      <c r="Z183" s="327"/>
      <c r="AA183" s="327"/>
      <c r="AB183" s="363" t="str">
        <f t="shared" si="44"/>
        <v>use the ground stack hole</v>
      </c>
      <c r="AC183" s="364"/>
      <c r="AD183" s="364"/>
      <c r="AE183" s="364"/>
      <c r="AF183" s="327">
        <f t="shared" si="64"/>
        <v>0</v>
      </c>
      <c r="AG183" s="339">
        <f>SUM(D176:D183)+$C$175</f>
        <v>0</v>
      </c>
      <c r="AH183" s="339"/>
      <c r="AI183" s="185">
        <f t="shared" si="50"/>
        <v>74.852239100000006</v>
      </c>
      <c r="AJ183" s="330">
        <f t="shared" si="45"/>
        <v>0.96525514282827984</v>
      </c>
      <c r="AK183" s="187">
        <f t="shared" si="51"/>
        <v>186.5249063054722</v>
      </c>
      <c r="AL183" s="185">
        <f t="shared" si="52"/>
        <v>56.785051799999998</v>
      </c>
      <c r="AM183" s="331">
        <f t="shared" si="53"/>
        <v>0.83662142830740083</v>
      </c>
      <c r="AN183" s="189">
        <f t="shared" si="54"/>
        <v>147.93928585928998</v>
      </c>
      <c r="AO183" s="365"/>
      <c r="AP183" s="211">
        <f t="shared" si="62"/>
        <v>-105</v>
      </c>
      <c r="AQ183" s="333"/>
      <c r="AR183" s="333">
        <f t="shared" si="55"/>
        <v>334.46419216476215</v>
      </c>
      <c r="AS183" s="334">
        <f t="shared" si="65"/>
        <v>-147.93928585928998</v>
      </c>
      <c r="AT183" s="334"/>
      <c r="AU183" s="334">
        <f t="shared" si="63"/>
        <v>147.93928585928998</v>
      </c>
      <c r="AV183" s="336">
        <f t="shared" si="56"/>
        <v>-58.556687444815175</v>
      </c>
      <c r="AW183" s="336">
        <f t="shared" si="57"/>
        <v>-46.443312555184825</v>
      </c>
      <c r="AX183" s="337">
        <f t="shared" si="58"/>
        <v>-136.61975000787632</v>
      </c>
      <c r="AY183" s="337">
        <f t="shared" si="59"/>
        <v>-94.739150976189237</v>
      </c>
      <c r="AZ183" s="340">
        <f t="shared" si="60"/>
        <v>136.61975000787632</v>
      </c>
      <c r="BA183" s="340">
        <f t="shared" si="60"/>
        <v>94.739150976189237</v>
      </c>
      <c r="CE183" s="667"/>
      <c r="CF183" s="667"/>
      <c r="CG183" s="667"/>
      <c r="CH183" s="667"/>
      <c r="CQ183" s="667"/>
      <c r="CR183" s="667"/>
      <c r="CS183" s="667"/>
      <c r="CT183" s="667"/>
      <c r="CU183" s="667"/>
      <c r="CV183" s="667"/>
      <c r="CW183" s="667"/>
      <c r="CX183" s="667"/>
      <c r="CY183" s="667"/>
      <c r="CZ183" s="667"/>
      <c r="DA183" s="667"/>
      <c r="DB183" s="667"/>
      <c r="DC183" s="667"/>
      <c r="DD183" s="667"/>
      <c r="DE183" s="667"/>
      <c r="DF183" s="667"/>
      <c r="DG183" s="667"/>
      <c r="DH183" s="667"/>
    </row>
    <row r="184" spans="1:112" ht="25" customHeight="1" thickBot="1" x14ac:dyDescent="0.3">
      <c r="B184" s="197">
        <v>10</v>
      </c>
      <c r="C184" s="198"/>
      <c r="D184" s="10">
        <v>0</v>
      </c>
      <c r="E184" s="199" t="s">
        <v>121</v>
      </c>
      <c r="F184" s="178"/>
      <c r="G184" s="178">
        <f t="shared" si="46"/>
        <v>0</v>
      </c>
      <c r="H184" s="179">
        <v>176.8294247</v>
      </c>
      <c r="I184" s="180">
        <v>66.429896499999998</v>
      </c>
      <c r="J184" s="361">
        <f t="shared" si="47"/>
        <v>66.429896499999998</v>
      </c>
      <c r="K184" s="361">
        <f t="shared" si="48"/>
        <v>33.214948249999999</v>
      </c>
      <c r="L184" s="361">
        <f t="shared" si="37"/>
        <v>0.54778151346749804</v>
      </c>
      <c r="M184" s="361">
        <f t="shared" si="38"/>
        <v>96.863889887752975</v>
      </c>
      <c r="N184" s="361">
        <f t="shared" si="39"/>
        <v>193.72777977550595</v>
      </c>
      <c r="O184" s="361">
        <f>+C175+D176+D177+D178+D179+D180+D181+D182+D183+(D184/2)</f>
        <v>0</v>
      </c>
      <c r="P184" s="361">
        <f t="shared" si="40"/>
        <v>0</v>
      </c>
      <c r="Q184" s="361">
        <f t="shared" si="41"/>
        <v>0</v>
      </c>
      <c r="R184" s="361">
        <f t="shared" si="49"/>
        <v>147.93928579999999</v>
      </c>
      <c r="S184" s="361">
        <f t="shared" si="61"/>
        <v>147.93928579999999</v>
      </c>
      <c r="T184" s="362">
        <f t="shared" si="42"/>
        <v>147.93928579999999</v>
      </c>
      <c r="V184" s="327">
        <f t="shared" si="43"/>
        <v>0</v>
      </c>
      <c r="W184" s="327"/>
      <c r="X184" s="327"/>
      <c r="Y184" s="327"/>
      <c r="Z184" s="327"/>
      <c r="AA184" s="327"/>
      <c r="AB184" s="363" t="str">
        <f t="shared" si="44"/>
        <v>use the ground stack hole</v>
      </c>
      <c r="AC184" s="364"/>
      <c r="AD184" s="364"/>
      <c r="AE184" s="364"/>
      <c r="AF184" s="327">
        <f t="shared" si="64"/>
        <v>0</v>
      </c>
      <c r="AG184" s="339">
        <f>SUM(D176:D184)+$C$175</f>
        <v>0</v>
      </c>
      <c r="AH184" s="339"/>
      <c r="AI184" s="185">
        <f t="shared" si="50"/>
        <v>74.852239100000006</v>
      </c>
      <c r="AJ184" s="330">
        <f t="shared" si="45"/>
        <v>0.96525514282827984</v>
      </c>
      <c r="AK184" s="187">
        <f t="shared" si="51"/>
        <v>186.5249063054722</v>
      </c>
      <c r="AL184" s="185">
        <f t="shared" si="52"/>
        <v>56.785051799999998</v>
      </c>
      <c r="AM184" s="331">
        <f t="shared" si="53"/>
        <v>0.83662142830740083</v>
      </c>
      <c r="AN184" s="189">
        <f t="shared" si="54"/>
        <v>147.93928585928998</v>
      </c>
      <c r="AO184" s="365"/>
      <c r="AP184" s="211">
        <f t="shared" si="62"/>
        <v>-120</v>
      </c>
      <c r="AQ184" s="333"/>
      <c r="AR184" s="333">
        <f t="shared" si="55"/>
        <v>334.46419216476215</v>
      </c>
      <c r="AS184" s="334">
        <f t="shared" si="65"/>
        <v>-147.93928585928998</v>
      </c>
      <c r="AT184" s="334"/>
      <c r="AU184" s="334">
        <f t="shared" si="63"/>
        <v>147.93928585928998</v>
      </c>
      <c r="AV184" s="336">
        <f t="shared" si="56"/>
        <v>-66.921928508360196</v>
      </c>
      <c r="AW184" s="336">
        <f t="shared" si="57"/>
        <v>-53.078071491639797</v>
      </c>
      <c r="AX184" s="337">
        <f t="shared" si="58"/>
        <v>-119.5422812568918</v>
      </c>
      <c r="AY184" s="337">
        <f t="shared" si="59"/>
        <v>-82.896757104165587</v>
      </c>
      <c r="AZ184" s="340">
        <f t="shared" si="60"/>
        <v>119.5422812568918</v>
      </c>
      <c r="BA184" s="340">
        <f t="shared" si="60"/>
        <v>82.896757104165587</v>
      </c>
      <c r="CE184" s="667"/>
      <c r="CF184" s="667"/>
      <c r="CG184" s="667"/>
      <c r="CH184" s="667"/>
      <c r="CI184" s="667"/>
      <c r="CJ184" s="667"/>
      <c r="CK184" s="667"/>
      <c r="CL184" s="667"/>
      <c r="CM184" s="667"/>
      <c r="CN184" s="667"/>
      <c r="CO184" s="667"/>
      <c r="CP184" s="667"/>
      <c r="CQ184" s="667"/>
      <c r="CR184" s="667"/>
      <c r="CS184" s="667"/>
      <c r="CT184" s="667"/>
      <c r="CU184" s="667"/>
      <c r="CV184" s="667"/>
      <c r="CW184" s="667"/>
      <c r="CX184" s="667"/>
      <c r="CY184" s="667"/>
      <c r="CZ184" s="667"/>
      <c r="DA184" s="667"/>
      <c r="DB184" s="667"/>
      <c r="DC184" s="667"/>
      <c r="DD184" s="667"/>
      <c r="DE184" s="667"/>
      <c r="DF184" s="667"/>
      <c r="DG184" s="667"/>
      <c r="DH184" s="667"/>
    </row>
    <row r="185" spans="1:112" ht="25" customHeight="1" thickBot="1" x14ac:dyDescent="0.3">
      <c r="A185" s="216"/>
      <c r="B185" s="197">
        <v>11</v>
      </c>
      <c r="C185" s="198"/>
      <c r="D185" s="10">
        <v>0</v>
      </c>
      <c r="E185" s="199" t="s">
        <v>121</v>
      </c>
      <c r="F185" s="178"/>
      <c r="G185" s="178">
        <f t="shared" si="46"/>
        <v>0</v>
      </c>
      <c r="H185" s="179">
        <v>176.8294247</v>
      </c>
      <c r="I185" s="180">
        <v>66.429896499999998</v>
      </c>
      <c r="J185" s="361">
        <f t="shared" si="47"/>
        <v>66.429896499999998</v>
      </c>
      <c r="K185" s="361">
        <f t="shared" si="48"/>
        <v>33.214948249999999</v>
      </c>
      <c r="L185" s="361">
        <f t="shared" si="37"/>
        <v>0.54778151346749804</v>
      </c>
      <c r="M185" s="361">
        <f t="shared" si="38"/>
        <v>96.863889887752975</v>
      </c>
      <c r="N185" s="361">
        <f t="shared" si="39"/>
        <v>193.72777977550595</v>
      </c>
      <c r="O185" s="361">
        <f>+C175+D176+D177+D178+D179+D180+D181+D182+D183+D184+(D185/2)</f>
        <v>0</v>
      </c>
      <c r="P185" s="361">
        <f t="shared" si="40"/>
        <v>0</v>
      </c>
      <c r="Q185" s="361">
        <f t="shared" si="41"/>
        <v>0</v>
      </c>
      <c r="R185" s="361">
        <f t="shared" si="49"/>
        <v>147.93928579999999</v>
      </c>
      <c r="S185" s="361">
        <f t="shared" si="61"/>
        <v>147.93928579999999</v>
      </c>
      <c r="T185" s="362">
        <f t="shared" si="42"/>
        <v>147.93928579999999</v>
      </c>
      <c r="V185" s="327">
        <f t="shared" si="43"/>
        <v>0</v>
      </c>
      <c r="W185" s="327"/>
      <c r="X185" s="327"/>
      <c r="Y185" s="327"/>
      <c r="Z185" s="327"/>
      <c r="AA185" s="327"/>
      <c r="AB185" s="363" t="str">
        <f t="shared" si="44"/>
        <v>use the ground stack hole</v>
      </c>
      <c r="AC185" s="364"/>
      <c r="AD185" s="364"/>
      <c r="AE185" s="364"/>
      <c r="AF185" s="327">
        <f t="shared" si="64"/>
        <v>0</v>
      </c>
      <c r="AG185" s="339">
        <f>SUM(D176:D185)+$C$175</f>
        <v>0</v>
      </c>
      <c r="AH185" s="339"/>
      <c r="AI185" s="185">
        <f t="shared" si="50"/>
        <v>74.852239100000006</v>
      </c>
      <c r="AJ185" s="330">
        <f t="shared" si="45"/>
        <v>0.96525514282827984</v>
      </c>
      <c r="AK185" s="187">
        <f t="shared" si="51"/>
        <v>186.5249063054722</v>
      </c>
      <c r="AL185" s="185">
        <f t="shared" si="52"/>
        <v>56.785051799999998</v>
      </c>
      <c r="AM185" s="331">
        <f t="shared" si="53"/>
        <v>0.83662142830740083</v>
      </c>
      <c r="AN185" s="189">
        <f t="shared" si="54"/>
        <v>147.93928585928998</v>
      </c>
      <c r="AO185" s="365"/>
      <c r="AP185" s="211">
        <f t="shared" si="62"/>
        <v>-135</v>
      </c>
      <c r="AQ185" s="333"/>
      <c r="AR185" s="333">
        <f t="shared" si="55"/>
        <v>334.46419216476215</v>
      </c>
      <c r="AS185" s="334">
        <f t="shared" si="65"/>
        <v>-147.93928585928998</v>
      </c>
      <c r="AT185" s="334"/>
      <c r="AU185" s="334">
        <f t="shared" si="63"/>
        <v>147.93928585928998</v>
      </c>
      <c r="AV185" s="336">
        <f t="shared" si="56"/>
        <v>-75.287169571905224</v>
      </c>
      <c r="AW185" s="336">
        <f t="shared" si="57"/>
        <v>-59.712830428094776</v>
      </c>
      <c r="AX185" s="337">
        <f t="shared" si="58"/>
        <v>-106.25980556168159</v>
      </c>
      <c r="AY185" s="337">
        <f t="shared" si="59"/>
        <v>-73.686006314813852</v>
      </c>
      <c r="AZ185" s="340">
        <f t="shared" si="60"/>
        <v>106.25980556168159</v>
      </c>
      <c r="BA185" s="340">
        <f t="shared" si="60"/>
        <v>73.686006314813852</v>
      </c>
    </row>
    <row r="186" spans="1:112" ht="25" customHeight="1" thickBot="1" x14ac:dyDescent="0.3">
      <c r="A186" s="216"/>
      <c r="B186" s="197">
        <v>12</v>
      </c>
      <c r="C186" s="198"/>
      <c r="D186" s="10">
        <v>0</v>
      </c>
      <c r="E186" s="199" t="s">
        <v>121</v>
      </c>
      <c r="F186" s="178"/>
      <c r="G186" s="178">
        <f t="shared" si="46"/>
        <v>0</v>
      </c>
      <c r="H186" s="179">
        <v>176.8294247</v>
      </c>
      <c r="I186" s="180">
        <v>66.429896499999998</v>
      </c>
      <c r="J186" s="361">
        <f t="shared" si="47"/>
        <v>66.429896499999998</v>
      </c>
      <c r="K186" s="361">
        <f t="shared" si="48"/>
        <v>33.214948249999999</v>
      </c>
      <c r="L186" s="361">
        <f t="shared" si="37"/>
        <v>0.54778151346749804</v>
      </c>
      <c r="M186" s="361">
        <f t="shared" si="38"/>
        <v>96.863889887752975</v>
      </c>
      <c r="N186" s="361">
        <f t="shared" si="39"/>
        <v>193.72777977550595</v>
      </c>
      <c r="O186" s="361">
        <f>+C175+D176+D177+D178+D179+D180+D181+D182+D183+D184+D185+(D186/2)</f>
        <v>0</v>
      </c>
      <c r="P186" s="361">
        <f t="shared" si="40"/>
        <v>0</v>
      </c>
      <c r="Q186" s="361">
        <f t="shared" si="41"/>
        <v>0</v>
      </c>
      <c r="R186" s="361">
        <f t="shared" si="49"/>
        <v>147.93928579999999</v>
      </c>
      <c r="S186" s="361">
        <f t="shared" si="61"/>
        <v>147.93928579999999</v>
      </c>
      <c r="T186" s="362">
        <f t="shared" si="42"/>
        <v>147.93928579999999</v>
      </c>
      <c r="V186" s="327">
        <f t="shared" si="43"/>
        <v>0</v>
      </c>
      <c r="W186" s="327"/>
      <c r="X186" s="327"/>
      <c r="Y186" s="327"/>
      <c r="Z186" s="327"/>
      <c r="AA186" s="327"/>
      <c r="AB186" s="363" t="str">
        <f t="shared" si="44"/>
        <v>use the ground stack hole</v>
      </c>
      <c r="AC186" s="364"/>
      <c r="AD186" s="364"/>
      <c r="AE186" s="364"/>
      <c r="AF186" s="327">
        <f t="shared" si="64"/>
        <v>0</v>
      </c>
      <c r="AG186" s="339">
        <f>SUM(D176:D186)+$C$175</f>
        <v>0</v>
      </c>
      <c r="AH186" s="339"/>
      <c r="AI186" s="185">
        <f t="shared" si="50"/>
        <v>74.852239100000006</v>
      </c>
      <c r="AJ186" s="330">
        <f t="shared" si="45"/>
        <v>0.96525514282827984</v>
      </c>
      <c r="AK186" s="187">
        <f t="shared" si="51"/>
        <v>186.5249063054722</v>
      </c>
      <c r="AL186" s="185">
        <f t="shared" si="52"/>
        <v>56.785051799999998</v>
      </c>
      <c r="AM186" s="331">
        <f t="shared" si="53"/>
        <v>0.83662142830740083</v>
      </c>
      <c r="AN186" s="189">
        <f t="shared" si="54"/>
        <v>147.93928585928998</v>
      </c>
      <c r="AO186" s="365"/>
      <c r="AP186" s="211">
        <f t="shared" si="62"/>
        <v>-150</v>
      </c>
      <c r="AQ186" s="333"/>
      <c r="AR186" s="333">
        <f t="shared" si="55"/>
        <v>334.46419216476215</v>
      </c>
      <c r="AS186" s="334">
        <f t="shared" si="65"/>
        <v>-147.93928585928998</v>
      </c>
      <c r="AT186" s="334"/>
      <c r="AU186" s="334">
        <f t="shared" si="63"/>
        <v>147.93928585928998</v>
      </c>
      <c r="AV186" s="336">
        <f t="shared" si="56"/>
        <v>-83.652410635450252</v>
      </c>
      <c r="AW186" s="336">
        <f t="shared" si="57"/>
        <v>-66.347589364549748</v>
      </c>
      <c r="AX186" s="337">
        <f t="shared" si="58"/>
        <v>-95.63382500551343</v>
      </c>
      <c r="AY186" s="337">
        <f t="shared" si="59"/>
        <v>-66.317405683332467</v>
      </c>
      <c r="AZ186" s="340">
        <f t="shared" si="60"/>
        <v>95.63382500551343</v>
      </c>
      <c r="BA186" s="340">
        <f t="shared" si="60"/>
        <v>66.317405683332467</v>
      </c>
    </row>
    <row r="187" spans="1:112" ht="25" customHeight="1" thickBot="1" x14ac:dyDescent="0.3">
      <c r="B187" s="197">
        <v>13</v>
      </c>
      <c r="C187" s="198"/>
      <c r="D187" s="10">
        <v>0</v>
      </c>
      <c r="E187" s="199" t="s">
        <v>121</v>
      </c>
      <c r="F187" s="178"/>
      <c r="G187" s="178">
        <f t="shared" si="46"/>
        <v>0</v>
      </c>
      <c r="H187" s="179">
        <v>176.8294247</v>
      </c>
      <c r="I187" s="180">
        <v>66.429896499999998</v>
      </c>
      <c r="J187" s="361">
        <f t="shared" si="47"/>
        <v>66.429896499999998</v>
      </c>
      <c r="K187" s="361">
        <f t="shared" si="48"/>
        <v>33.214948249999999</v>
      </c>
      <c r="L187" s="361">
        <f t="shared" si="37"/>
        <v>0.54778151346749804</v>
      </c>
      <c r="M187" s="361">
        <f t="shared" si="38"/>
        <v>96.863889887752975</v>
      </c>
      <c r="N187" s="361">
        <f t="shared" si="39"/>
        <v>193.72777977550595</v>
      </c>
      <c r="O187" s="361">
        <f>+C175+D176+D177+D178+D179+D180+D181+D182+D183+D184+D185+D186+(D187/2)</f>
        <v>0</v>
      </c>
      <c r="P187" s="361">
        <f t="shared" si="40"/>
        <v>0</v>
      </c>
      <c r="Q187" s="361">
        <f t="shared" si="41"/>
        <v>0</v>
      </c>
      <c r="R187" s="361">
        <f t="shared" si="49"/>
        <v>147.93928579999999</v>
      </c>
      <c r="S187" s="361">
        <f t="shared" si="61"/>
        <v>147.93928579999999</v>
      </c>
      <c r="T187" s="362">
        <f t="shared" si="42"/>
        <v>147.93928579999999</v>
      </c>
      <c r="V187" s="327">
        <f t="shared" si="43"/>
        <v>0</v>
      </c>
      <c r="W187" s="327"/>
      <c r="X187" s="327"/>
      <c r="Y187" s="327"/>
      <c r="Z187" s="327"/>
      <c r="AA187" s="327"/>
      <c r="AB187" s="363" t="str">
        <f t="shared" si="44"/>
        <v>use the ground stack hole</v>
      </c>
      <c r="AC187" s="364"/>
      <c r="AD187" s="364"/>
      <c r="AE187" s="364"/>
      <c r="AF187" s="327">
        <f t="shared" si="64"/>
        <v>0</v>
      </c>
      <c r="AG187" s="339">
        <f>SUM(D176:D187)+$C$175</f>
        <v>0</v>
      </c>
      <c r="AH187" s="339"/>
      <c r="AI187" s="185">
        <f t="shared" si="50"/>
        <v>74.852239100000006</v>
      </c>
      <c r="AJ187" s="330">
        <f t="shared" si="45"/>
        <v>0.96525514282827984</v>
      </c>
      <c r="AK187" s="187">
        <f t="shared" si="51"/>
        <v>186.5249063054722</v>
      </c>
      <c r="AL187" s="185">
        <f t="shared" si="52"/>
        <v>56.785051799999998</v>
      </c>
      <c r="AM187" s="331">
        <f t="shared" si="53"/>
        <v>0.83662142830740083</v>
      </c>
      <c r="AN187" s="189">
        <f t="shared" si="54"/>
        <v>147.93928585928998</v>
      </c>
      <c r="AO187" s="365"/>
      <c r="AP187" s="211">
        <f t="shared" si="62"/>
        <v>-165</v>
      </c>
      <c r="AQ187" s="333"/>
      <c r="AR187" s="333">
        <f t="shared" si="55"/>
        <v>334.46419216476215</v>
      </c>
      <c r="AS187" s="334">
        <f t="shared" si="65"/>
        <v>-147.93928585928998</v>
      </c>
      <c r="AT187" s="334"/>
      <c r="AU187" s="334">
        <f t="shared" si="63"/>
        <v>147.93928585928998</v>
      </c>
      <c r="AV187" s="336">
        <f t="shared" si="56"/>
        <v>-92.01765169899528</v>
      </c>
      <c r="AW187" s="336">
        <f t="shared" si="57"/>
        <v>-72.98234830100472</v>
      </c>
      <c r="AX187" s="337">
        <f t="shared" si="58"/>
        <v>-86.939840914103115</v>
      </c>
      <c r="AY187" s="337">
        <f t="shared" si="59"/>
        <v>-60.288550621211336</v>
      </c>
      <c r="AZ187" s="340">
        <f t="shared" si="60"/>
        <v>86.939840914103115</v>
      </c>
      <c r="BA187" s="340">
        <f t="shared" si="60"/>
        <v>60.288550621211336</v>
      </c>
    </row>
    <row r="188" spans="1:112" ht="25" customHeight="1" thickBot="1" x14ac:dyDescent="0.3">
      <c r="B188" s="197">
        <v>14</v>
      </c>
      <c r="C188" s="198"/>
      <c r="D188" s="10">
        <v>0</v>
      </c>
      <c r="E188" s="199" t="s">
        <v>121</v>
      </c>
      <c r="F188" s="178"/>
      <c r="G188" s="178">
        <f t="shared" si="46"/>
        <v>0</v>
      </c>
      <c r="H188" s="179">
        <v>176.8294247</v>
      </c>
      <c r="I188" s="180">
        <v>66.429896499999998</v>
      </c>
      <c r="J188" s="361">
        <f t="shared" si="47"/>
        <v>66.429896499999998</v>
      </c>
      <c r="K188" s="361">
        <f t="shared" si="48"/>
        <v>33.214948249999999</v>
      </c>
      <c r="L188" s="361">
        <f t="shared" si="37"/>
        <v>0.54778151346749804</v>
      </c>
      <c r="M188" s="361">
        <f t="shared" si="38"/>
        <v>96.863889887752975</v>
      </c>
      <c r="N188" s="361">
        <f t="shared" si="39"/>
        <v>193.72777977550595</v>
      </c>
      <c r="O188" s="361">
        <f>+C175+D176+D177+D178+D179+D180+D181+D182+D183+D184+D185+D186+D187+(D188/2)</f>
        <v>0</v>
      </c>
      <c r="P188" s="361">
        <f t="shared" si="40"/>
        <v>0</v>
      </c>
      <c r="Q188" s="361">
        <f t="shared" si="41"/>
        <v>0</v>
      </c>
      <c r="R188" s="361">
        <f t="shared" si="49"/>
        <v>147.93928579999999</v>
      </c>
      <c r="S188" s="361">
        <f t="shared" si="61"/>
        <v>147.93928579999999</v>
      </c>
      <c r="T188" s="362">
        <f t="shared" si="42"/>
        <v>147.93928579999999</v>
      </c>
      <c r="V188" s="327">
        <f t="shared" si="43"/>
        <v>0</v>
      </c>
      <c r="W188" s="327"/>
      <c r="X188" s="327"/>
      <c r="Y188" s="327"/>
      <c r="Z188" s="327"/>
      <c r="AA188" s="327"/>
      <c r="AB188" s="363" t="str">
        <f t="shared" si="44"/>
        <v>use the ground stack hole</v>
      </c>
      <c r="AC188" s="364"/>
      <c r="AD188" s="364"/>
      <c r="AE188" s="364"/>
      <c r="AF188" s="327">
        <f t="shared" si="64"/>
        <v>0</v>
      </c>
      <c r="AG188" s="339">
        <f>SUM(D176:D188)+$C$175</f>
        <v>0</v>
      </c>
      <c r="AH188" s="339"/>
      <c r="AI188" s="185">
        <f t="shared" si="50"/>
        <v>74.852239100000006</v>
      </c>
      <c r="AJ188" s="330">
        <f t="shared" si="45"/>
        <v>0.96525514282827984</v>
      </c>
      <c r="AK188" s="187">
        <f t="shared" si="51"/>
        <v>186.5249063054722</v>
      </c>
      <c r="AL188" s="185">
        <f t="shared" si="52"/>
        <v>56.785051799999998</v>
      </c>
      <c r="AM188" s="331">
        <f t="shared" si="53"/>
        <v>0.83662142830740083</v>
      </c>
      <c r="AN188" s="189">
        <f t="shared" si="54"/>
        <v>147.93928585928998</v>
      </c>
      <c r="AO188" s="365"/>
      <c r="AP188" s="211">
        <f t="shared" si="62"/>
        <v>-180</v>
      </c>
      <c r="AQ188" s="333"/>
      <c r="AR188" s="333">
        <f t="shared" si="55"/>
        <v>334.46419216476215</v>
      </c>
      <c r="AS188" s="334">
        <f t="shared" si="65"/>
        <v>-147.93928585928998</v>
      </c>
      <c r="AT188" s="334"/>
      <c r="AU188" s="334">
        <f t="shared" si="63"/>
        <v>147.93928585928998</v>
      </c>
      <c r="AV188" s="336">
        <f t="shared" si="56"/>
        <v>-100.38289276254031</v>
      </c>
      <c r="AW188" s="336">
        <f t="shared" si="57"/>
        <v>-79.617107237459692</v>
      </c>
      <c r="AX188" s="337">
        <f t="shared" si="58"/>
        <v>-79.694854171261184</v>
      </c>
      <c r="AY188" s="337">
        <f t="shared" si="59"/>
        <v>-55.264504736110389</v>
      </c>
      <c r="AZ188" s="340">
        <f t="shared" si="60"/>
        <v>79.694854171261184</v>
      </c>
      <c r="BA188" s="340">
        <f t="shared" si="60"/>
        <v>55.264504736110389</v>
      </c>
    </row>
    <row r="189" spans="1:112" ht="25" customHeight="1" thickBot="1" x14ac:dyDescent="0.3">
      <c r="B189" s="197">
        <v>15</v>
      </c>
      <c r="C189" s="198"/>
      <c r="D189" s="10">
        <v>0</v>
      </c>
      <c r="E189" s="199" t="s">
        <v>121</v>
      </c>
      <c r="F189" s="178"/>
      <c r="G189" s="178">
        <f t="shared" si="46"/>
        <v>0</v>
      </c>
      <c r="H189" s="179">
        <v>176.8294247</v>
      </c>
      <c r="I189" s="180">
        <v>66.429896499999998</v>
      </c>
      <c r="J189" s="361">
        <f t="shared" si="47"/>
        <v>66.429896499999998</v>
      </c>
      <c r="K189" s="361">
        <f t="shared" si="48"/>
        <v>33.214948249999999</v>
      </c>
      <c r="L189" s="361">
        <f t="shared" si="37"/>
        <v>0.54778151346749804</v>
      </c>
      <c r="M189" s="361">
        <f t="shared" si="38"/>
        <v>96.863889887752975</v>
      </c>
      <c r="N189" s="361">
        <f t="shared" si="39"/>
        <v>193.72777977550595</v>
      </c>
      <c r="O189" s="361">
        <f>+C175+D176+D177+D178+D179+D180+D181+D182+D183+D184+D185+D186+D187+D188+(D189/2)</f>
        <v>0</v>
      </c>
      <c r="P189" s="361">
        <f t="shared" si="40"/>
        <v>0</v>
      </c>
      <c r="Q189" s="361">
        <f t="shared" si="41"/>
        <v>0</v>
      </c>
      <c r="R189" s="361">
        <f t="shared" si="49"/>
        <v>147.93928579999999</v>
      </c>
      <c r="S189" s="361">
        <f t="shared" si="61"/>
        <v>147.93928579999999</v>
      </c>
      <c r="T189" s="362">
        <f t="shared" si="42"/>
        <v>147.93928579999999</v>
      </c>
      <c r="V189" s="327">
        <f t="shared" si="43"/>
        <v>0</v>
      </c>
      <c r="W189" s="327"/>
      <c r="X189" s="327"/>
      <c r="Y189" s="327"/>
      <c r="Z189" s="327"/>
      <c r="AA189" s="327"/>
      <c r="AB189" s="363" t="str">
        <f t="shared" si="44"/>
        <v>use the ground stack hole</v>
      </c>
      <c r="AC189" s="364"/>
      <c r="AD189" s="364"/>
      <c r="AE189" s="364"/>
      <c r="AF189" s="327">
        <f t="shared" si="64"/>
        <v>0</v>
      </c>
      <c r="AG189" s="339">
        <f>SUM(D176:D189)+$C$175</f>
        <v>0</v>
      </c>
      <c r="AH189" s="339"/>
      <c r="AI189" s="185">
        <f t="shared" si="50"/>
        <v>74.852239100000006</v>
      </c>
      <c r="AJ189" s="330">
        <f t="shared" si="45"/>
        <v>0.96525514282827984</v>
      </c>
      <c r="AK189" s="187">
        <f t="shared" si="51"/>
        <v>186.5249063054722</v>
      </c>
      <c r="AL189" s="185">
        <f t="shared" si="52"/>
        <v>56.785051799999998</v>
      </c>
      <c r="AM189" s="331">
        <f t="shared" si="53"/>
        <v>0.83662142830740083</v>
      </c>
      <c r="AN189" s="189">
        <f t="shared" si="54"/>
        <v>147.93928585928998</v>
      </c>
      <c r="AO189" s="365"/>
      <c r="AP189" s="211">
        <f t="shared" si="62"/>
        <v>-195</v>
      </c>
      <c r="AQ189" s="333"/>
      <c r="AR189" s="333">
        <f t="shared" si="55"/>
        <v>334.46419216476215</v>
      </c>
      <c r="AS189" s="334">
        <f t="shared" si="65"/>
        <v>-147.93928585928998</v>
      </c>
      <c r="AT189" s="334"/>
      <c r="AU189" s="334">
        <f t="shared" si="63"/>
        <v>147.93928585928998</v>
      </c>
      <c r="AV189" s="336">
        <f t="shared" si="56"/>
        <v>-108.74813382608532</v>
      </c>
      <c r="AW189" s="336">
        <f t="shared" si="57"/>
        <v>-86.251866173914678</v>
      </c>
      <c r="AX189" s="337">
        <f t="shared" si="58"/>
        <v>-73.564480773471871</v>
      </c>
      <c r="AY189" s="337">
        <f t="shared" si="59"/>
        <v>-51.013388987178814</v>
      </c>
      <c r="AZ189" s="340">
        <f t="shared" si="60"/>
        <v>73.564480773471871</v>
      </c>
      <c r="BA189" s="340">
        <f t="shared" si="60"/>
        <v>51.013388987178814</v>
      </c>
    </row>
    <row r="190" spans="1:112" ht="25" customHeight="1" thickBot="1" x14ac:dyDescent="0.3">
      <c r="B190" s="197">
        <v>16</v>
      </c>
      <c r="C190" s="198"/>
      <c r="D190" s="10">
        <v>0</v>
      </c>
      <c r="E190" s="199" t="s">
        <v>121</v>
      </c>
      <c r="F190" s="178"/>
      <c r="G190" s="178">
        <f t="shared" si="46"/>
        <v>0</v>
      </c>
      <c r="H190" s="179">
        <v>176.8294247</v>
      </c>
      <c r="I190" s="180">
        <v>66.429896499999998</v>
      </c>
      <c r="J190" s="361">
        <f t="shared" si="47"/>
        <v>66.429896499999998</v>
      </c>
      <c r="K190" s="361">
        <f t="shared" si="48"/>
        <v>33.214948249999999</v>
      </c>
      <c r="L190" s="361">
        <f t="shared" si="37"/>
        <v>0.54778151346749804</v>
      </c>
      <c r="M190" s="361">
        <f t="shared" si="38"/>
        <v>96.863889887752975</v>
      </c>
      <c r="N190" s="361">
        <f t="shared" si="39"/>
        <v>193.72777977550595</v>
      </c>
      <c r="O190" s="361">
        <f>+C175+D176+D177+D178+D179+D180+D181+D182+D183+D184+D185+D186+D187+D188+D189+(D190/2)</f>
        <v>0</v>
      </c>
      <c r="P190" s="361">
        <f t="shared" si="40"/>
        <v>0</v>
      </c>
      <c r="Q190" s="361">
        <f t="shared" si="41"/>
        <v>0</v>
      </c>
      <c r="R190" s="361">
        <f t="shared" si="49"/>
        <v>147.93928579999999</v>
      </c>
      <c r="S190" s="361">
        <f t="shared" si="61"/>
        <v>147.93928579999999</v>
      </c>
      <c r="T190" s="362">
        <f t="shared" si="42"/>
        <v>147.93928579999999</v>
      </c>
      <c r="V190" s="327">
        <f t="shared" si="43"/>
        <v>0</v>
      </c>
      <c r="W190" s="327"/>
      <c r="X190" s="327"/>
      <c r="Y190" s="327"/>
      <c r="Z190" s="327"/>
      <c r="AA190" s="327"/>
      <c r="AB190" s="363" t="str">
        <f t="shared" si="44"/>
        <v>use the ground stack hole</v>
      </c>
      <c r="AC190" s="364"/>
      <c r="AD190" s="364"/>
      <c r="AE190" s="364"/>
      <c r="AF190" s="327">
        <f t="shared" si="64"/>
        <v>0</v>
      </c>
      <c r="AG190" s="339">
        <f>SUM(D176:D190)+$C$175</f>
        <v>0</v>
      </c>
      <c r="AH190" s="339"/>
      <c r="AI190" s="185">
        <f t="shared" si="50"/>
        <v>74.852239100000006</v>
      </c>
      <c r="AJ190" s="330">
        <f t="shared" si="45"/>
        <v>0.96525514282827984</v>
      </c>
      <c r="AK190" s="187">
        <f t="shared" si="51"/>
        <v>186.5249063054722</v>
      </c>
      <c r="AL190" s="185">
        <f t="shared" si="52"/>
        <v>56.785051799999998</v>
      </c>
      <c r="AM190" s="331">
        <f t="shared" si="53"/>
        <v>0.83662142830740083</v>
      </c>
      <c r="AN190" s="189">
        <f t="shared" si="54"/>
        <v>147.93928585928998</v>
      </c>
      <c r="AO190" s="365"/>
      <c r="AP190" s="211">
        <f t="shared" si="62"/>
        <v>-210</v>
      </c>
      <c r="AQ190" s="333"/>
      <c r="AR190" s="333">
        <f t="shared" si="55"/>
        <v>334.46419216476215</v>
      </c>
      <c r="AS190" s="334">
        <f t="shared" si="65"/>
        <v>-147.93928585928998</v>
      </c>
      <c r="AT190" s="334"/>
      <c r="AU190" s="334">
        <f t="shared" si="63"/>
        <v>147.93928585928998</v>
      </c>
      <c r="AV190" s="336">
        <f t="shared" si="56"/>
        <v>-117.11337488963035</v>
      </c>
      <c r="AW190" s="336">
        <f t="shared" si="57"/>
        <v>-92.88662511036965</v>
      </c>
      <c r="AX190" s="337">
        <f t="shared" si="58"/>
        <v>-68.30987500393816</v>
      </c>
      <c r="AY190" s="337">
        <f t="shared" si="59"/>
        <v>-47.369575488094618</v>
      </c>
      <c r="AZ190" s="340">
        <f t="shared" si="60"/>
        <v>68.30987500393816</v>
      </c>
      <c r="BA190" s="340">
        <f t="shared" si="60"/>
        <v>47.369575488094618</v>
      </c>
      <c r="BN190" s="221"/>
      <c r="BO190" s="221"/>
      <c r="BP190" s="221"/>
      <c r="BQ190" s="221"/>
      <c r="BR190" s="221"/>
      <c r="BS190" s="221"/>
      <c r="BT190" s="999"/>
      <c r="BU190" s="999"/>
      <c r="BV190" s="999"/>
      <c r="BW190" s="77"/>
    </row>
    <row r="191" spans="1:112" ht="25" customHeight="1" thickBot="1" x14ac:dyDescent="0.3">
      <c r="B191" s="197">
        <v>17</v>
      </c>
      <c r="C191" s="198"/>
      <c r="D191" s="10">
        <v>0</v>
      </c>
      <c r="E191" s="199" t="s">
        <v>121</v>
      </c>
      <c r="F191" s="178"/>
      <c r="G191" s="178">
        <f t="shared" si="46"/>
        <v>0</v>
      </c>
      <c r="H191" s="179">
        <v>176.8294247</v>
      </c>
      <c r="I191" s="180">
        <v>66.429896499999998</v>
      </c>
      <c r="J191" s="361">
        <f t="shared" si="47"/>
        <v>66.429896499999998</v>
      </c>
      <c r="K191" s="361">
        <f t="shared" si="48"/>
        <v>33.214948249999999</v>
      </c>
      <c r="L191" s="361">
        <f t="shared" si="37"/>
        <v>0.54778151346749804</v>
      </c>
      <c r="M191" s="361">
        <f t="shared" si="38"/>
        <v>96.863889887752975</v>
      </c>
      <c r="N191" s="361">
        <f t="shared" si="39"/>
        <v>193.72777977550595</v>
      </c>
      <c r="O191" s="361">
        <f>+C175+D176+D177+D178+D179+D180+D181+D182+D183+D184+D185+D186+D187+D188+D189+D190+(D191/2)</f>
        <v>0</v>
      </c>
      <c r="P191" s="361">
        <f t="shared" si="40"/>
        <v>0</v>
      </c>
      <c r="Q191" s="361">
        <f t="shared" si="41"/>
        <v>0</v>
      </c>
      <c r="R191" s="361">
        <f t="shared" si="49"/>
        <v>147.93928579999999</v>
      </c>
      <c r="S191" s="361">
        <f t="shared" si="61"/>
        <v>147.93928579999999</v>
      </c>
      <c r="T191" s="362">
        <f t="shared" si="42"/>
        <v>147.93928579999999</v>
      </c>
      <c r="V191" s="327">
        <f t="shared" si="43"/>
        <v>0</v>
      </c>
      <c r="W191" s="327"/>
      <c r="X191" s="327"/>
      <c r="Y191" s="327"/>
      <c r="Z191" s="327"/>
      <c r="AA191" s="327"/>
      <c r="AB191" s="363" t="str">
        <f t="shared" si="44"/>
        <v>use the ground stack hole</v>
      </c>
      <c r="AC191" s="364"/>
      <c r="AD191" s="364"/>
      <c r="AE191" s="364"/>
      <c r="AF191" s="327">
        <f t="shared" si="64"/>
        <v>0</v>
      </c>
      <c r="AG191" s="339">
        <f>SUM(D176:D191)+$C$175</f>
        <v>0</v>
      </c>
      <c r="AH191" s="339"/>
      <c r="AI191" s="185">
        <f t="shared" si="50"/>
        <v>74.852239100000006</v>
      </c>
      <c r="AJ191" s="330">
        <f t="shared" si="45"/>
        <v>0.96525514282827984</v>
      </c>
      <c r="AK191" s="187">
        <f t="shared" si="51"/>
        <v>186.5249063054722</v>
      </c>
      <c r="AL191" s="185">
        <f t="shared" si="52"/>
        <v>56.785051799999998</v>
      </c>
      <c r="AM191" s="331">
        <f t="shared" si="53"/>
        <v>0.83662142830740083</v>
      </c>
      <c r="AN191" s="189">
        <f t="shared" si="54"/>
        <v>147.93928585928998</v>
      </c>
      <c r="AO191" s="365"/>
      <c r="AP191" s="211">
        <f t="shared" si="62"/>
        <v>-225</v>
      </c>
      <c r="AQ191" s="333"/>
      <c r="AR191" s="333">
        <f t="shared" si="55"/>
        <v>334.46419216476215</v>
      </c>
      <c r="AS191" s="334">
        <f t="shared" si="65"/>
        <v>-147.93928585928998</v>
      </c>
      <c r="AT191" s="334"/>
      <c r="AU191" s="334">
        <f t="shared" si="63"/>
        <v>147.93928585928998</v>
      </c>
      <c r="AV191" s="336">
        <f t="shared" si="56"/>
        <v>-125.47861595317538</v>
      </c>
      <c r="AW191" s="336">
        <f t="shared" si="57"/>
        <v>-99.521384046824622</v>
      </c>
      <c r="AX191" s="337">
        <f t="shared" si="58"/>
        <v>-63.755883337008953</v>
      </c>
      <c r="AY191" s="337">
        <f t="shared" si="59"/>
        <v>-44.211603788888311</v>
      </c>
      <c r="AZ191" s="340">
        <f t="shared" si="60"/>
        <v>63.755883337008953</v>
      </c>
      <c r="BA191" s="340">
        <f t="shared" si="60"/>
        <v>44.211603788888311</v>
      </c>
      <c r="BT191" s="222"/>
      <c r="CG191" s="222"/>
    </row>
    <row r="192" spans="1:112" ht="25" customHeight="1" thickBot="1" x14ac:dyDescent="0.3">
      <c r="B192" s="197">
        <v>18</v>
      </c>
      <c r="C192" s="198"/>
      <c r="D192" s="10">
        <v>0</v>
      </c>
      <c r="E192" s="199" t="s">
        <v>121</v>
      </c>
      <c r="F192" s="178"/>
      <c r="G192" s="178">
        <f t="shared" si="46"/>
        <v>0</v>
      </c>
      <c r="H192" s="179">
        <v>176.8294247</v>
      </c>
      <c r="I192" s="180">
        <v>66.429896499999998</v>
      </c>
      <c r="J192" s="361">
        <f t="shared" si="47"/>
        <v>66.429896499999998</v>
      </c>
      <c r="K192" s="361">
        <f t="shared" si="48"/>
        <v>33.214948249999999</v>
      </c>
      <c r="L192" s="361">
        <f t="shared" si="37"/>
        <v>0.54778151346749804</v>
      </c>
      <c r="M192" s="361">
        <f t="shared" si="38"/>
        <v>96.863889887752975</v>
      </c>
      <c r="N192" s="361">
        <f t="shared" si="39"/>
        <v>193.72777977550595</v>
      </c>
      <c r="O192" s="361">
        <f>+C175+D176+D177+D178+D179+D180+D181+D182+D183+D184+D185+D186+D187+D188+D189+D190+D191+(D192/2)</f>
        <v>0</v>
      </c>
      <c r="P192" s="361">
        <f t="shared" si="40"/>
        <v>0</v>
      </c>
      <c r="Q192" s="361">
        <f t="shared" si="41"/>
        <v>0</v>
      </c>
      <c r="R192" s="361">
        <f t="shared" si="49"/>
        <v>147.93928579999999</v>
      </c>
      <c r="S192" s="361">
        <f t="shared" si="61"/>
        <v>147.93928579999999</v>
      </c>
      <c r="T192" s="362">
        <f t="shared" si="42"/>
        <v>147.93928579999999</v>
      </c>
      <c r="V192" s="327">
        <f t="shared" si="43"/>
        <v>0</v>
      </c>
      <c r="W192" s="327"/>
      <c r="X192" s="327"/>
      <c r="Y192" s="327"/>
      <c r="Z192" s="327"/>
      <c r="AA192" s="327"/>
      <c r="AB192" s="363" t="str">
        <f t="shared" si="44"/>
        <v>use the ground stack hole</v>
      </c>
      <c r="AC192" s="364"/>
      <c r="AD192" s="364"/>
      <c r="AE192" s="364"/>
      <c r="AF192" s="327">
        <f t="shared" si="64"/>
        <v>0</v>
      </c>
      <c r="AG192" s="339">
        <f>SUM(D176:D192)+$C$175</f>
        <v>0</v>
      </c>
      <c r="AH192" s="339"/>
      <c r="AI192" s="185">
        <f t="shared" si="50"/>
        <v>74.852239100000006</v>
      </c>
      <c r="AJ192" s="330">
        <f t="shared" si="45"/>
        <v>0.96525514282827984</v>
      </c>
      <c r="AK192" s="187">
        <f t="shared" si="51"/>
        <v>186.5249063054722</v>
      </c>
      <c r="AL192" s="185">
        <f t="shared" si="52"/>
        <v>56.785051799999998</v>
      </c>
      <c r="AM192" s="331">
        <f t="shared" si="53"/>
        <v>0.83662142830740083</v>
      </c>
      <c r="AN192" s="189">
        <f t="shared" si="54"/>
        <v>147.93928585928998</v>
      </c>
      <c r="AO192" s="365"/>
      <c r="AP192" s="211">
        <f t="shared" si="62"/>
        <v>-240</v>
      </c>
      <c r="AQ192" s="333"/>
      <c r="AR192" s="333">
        <f t="shared" si="55"/>
        <v>334.46419216476215</v>
      </c>
      <c r="AS192" s="334">
        <f t="shared" si="65"/>
        <v>-147.93928585928998</v>
      </c>
      <c r="AT192" s="334"/>
      <c r="AU192" s="334">
        <f t="shared" si="63"/>
        <v>147.93928585928998</v>
      </c>
      <c r="AV192" s="336">
        <f t="shared" si="56"/>
        <v>-133.84385701672039</v>
      </c>
      <c r="AW192" s="336">
        <f t="shared" si="57"/>
        <v>-106.15614298327959</v>
      </c>
      <c r="AX192" s="337">
        <f t="shared" si="58"/>
        <v>-59.771140628445899</v>
      </c>
      <c r="AY192" s="337">
        <f t="shared" si="59"/>
        <v>-41.448378552082794</v>
      </c>
      <c r="AZ192" s="340">
        <f t="shared" si="60"/>
        <v>59.771140628445899</v>
      </c>
      <c r="BA192" s="340">
        <f t="shared" si="60"/>
        <v>41.448378552082794</v>
      </c>
      <c r="BN192" s="223"/>
      <c r="BO192" s="223"/>
      <c r="BP192" s="223"/>
      <c r="BQ192" s="223"/>
      <c r="BR192" s="223"/>
      <c r="BS192" s="223"/>
      <c r="BT192" s="1000"/>
      <c r="BU192" s="1000"/>
      <c r="CF192" s="994"/>
      <c r="CG192" s="994"/>
    </row>
    <row r="193" spans="2:95" ht="25" customHeight="1" thickBot="1" x14ac:dyDescent="0.3">
      <c r="B193" s="197">
        <v>19</v>
      </c>
      <c r="C193" s="198"/>
      <c r="D193" s="10">
        <v>0</v>
      </c>
      <c r="E193" s="199" t="s">
        <v>121</v>
      </c>
      <c r="F193" s="178"/>
      <c r="G193" s="178">
        <f t="shared" si="46"/>
        <v>0</v>
      </c>
      <c r="H193" s="179">
        <v>176.8294247</v>
      </c>
      <c r="I193" s="180">
        <v>66.429896499999998</v>
      </c>
      <c r="J193" s="361">
        <f t="shared" si="47"/>
        <v>66.429896499999998</v>
      </c>
      <c r="K193" s="361">
        <f t="shared" si="48"/>
        <v>33.214948249999999</v>
      </c>
      <c r="L193" s="361">
        <f t="shared" si="37"/>
        <v>0.54778151346749804</v>
      </c>
      <c r="M193" s="361">
        <f t="shared" si="38"/>
        <v>96.863889887752975</v>
      </c>
      <c r="N193" s="361">
        <f t="shared" si="39"/>
        <v>193.72777977550595</v>
      </c>
      <c r="O193" s="361">
        <f>+C175+D176+D177+D178+D179+D180+D181+D182+D183+D184+D185+D186+D187+D188+D189+D190+D191+D192+(D193/2)</f>
        <v>0</v>
      </c>
      <c r="P193" s="361">
        <f t="shared" si="40"/>
        <v>0</v>
      </c>
      <c r="Q193" s="361">
        <f t="shared" si="41"/>
        <v>0</v>
      </c>
      <c r="R193" s="361">
        <f t="shared" si="49"/>
        <v>147.93928579999999</v>
      </c>
      <c r="S193" s="361">
        <f t="shared" si="61"/>
        <v>147.93928579999999</v>
      </c>
      <c r="T193" s="362">
        <f t="shared" si="42"/>
        <v>147.93928579999999</v>
      </c>
      <c r="V193" s="327">
        <f t="shared" si="43"/>
        <v>0</v>
      </c>
      <c r="W193" s="327"/>
      <c r="X193" s="327"/>
      <c r="Y193" s="327"/>
      <c r="Z193" s="327"/>
      <c r="AA193" s="327"/>
      <c r="AB193" s="363" t="str">
        <f t="shared" si="44"/>
        <v>use the ground stack hole</v>
      </c>
      <c r="AC193" s="364"/>
      <c r="AD193" s="364"/>
      <c r="AE193" s="364"/>
      <c r="AF193" s="327">
        <f t="shared" si="64"/>
        <v>0</v>
      </c>
      <c r="AG193" s="339">
        <f t="shared" ref="AG193:AG198" si="66">SUM(D175:D193)+$C$175</f>
        <v>0</v>
      </c>
      <c r="AH193" s="339"/>
      <c r="AI193" s="185">
        <f t="shared" si="50"/>
        <v>74.852239100000006</v>
      </c>
      <c r="AJ193" s="330">
        <f t="shared" si="45"/>
        <v>0.96525514282827984</v>
      </c>
      <c r="AK193" s="187">
        <f t="shared" si="51"/>
        <v>186.5249063054722</v>
      </c>
      <c r="AL193" s="185">
        <f t="shared" si="52"/>
        <v>56.785051799999998</v>
      </c>
      <c r="AM193" s="331">
        <f t="shared" si="53"/>
        <v>0.83662142830740083</v>
      </c>
      <c r="AN193" s="189">
        <f t="shared" si="54"/>
        <v>147.93928585928998</v>
      </c>
      <c r="AO193" s="365"/>
      <c r="AP193" s="211">
        <f t="shared" si="62"/>
        <v>-255</v>
      </c>
      <c r="AQ193" s="333"/>
      <c r="AR193" s="333">
        <f t="shared" si="55"/>
        <v>334.46419216476215</v>
      </c>
      <c r="AS193" s="334">
        <f t="shared" si="65"/>
        <v>-147.93928585928998</v>
      </c>
      <c r="AT193" s="334"/>
      <c r="AU193" s="334">
        <f t="shared" si="63"/>
        <v>147.93928585928998</v>
      </c>
      <c r="AV193" s="336">
        <f t="shared" si="56"/>
        <v>-142.20909808026542</v>
      </c>
      <c r="AW193" s="336">
        <f t="shared" si="57"/>
        <v>-112.79090191973457</v>
      </c>
      <c r="AX193" s="337">
        <f t="shared" si="58"/>
        <v>-56.255191179713783</v>
      </c>
      <c r="AY193" s="337">
        <f t="shared" si="59"/>
        <v>-39.010238637254396</v>
      </c>
      <c r="AZ193" s="340">
        <f t="shared" si="60"/>
        <v>56.255191179713783</v>
      </c>
      <c r="BA193" s="340">
        <f t="shared" si="60"/>
        <v>39.010238637254396</v>
      </c>
    </row>
    <row r="194" spans="2:95" ht="25" customHeight="1" thickBot="1" x14ac:dyDescent="0.3">
      <c r="B194" s="197">
        <v>20</v>
      </c>
      <c r="C194" s="198"/>
      <c r="D194" s="10">
        <v>0</v>
      </c>
      <c r="E194" s="199" t="s">
        <v>121</v>
      </c>
      <c r="F194" s="178"/>
      <c r="G194" s="178">
        <f t="shared" si="46"/>
        <v>0</v>
      </c>
      <c r="H194" s="179">
        <v>176.8294247</v>
      </c>
      <c r="I194" s="180">
        <v>66.429896499999998</v>
      </c>
      <c r="J194" s="361">
        <f t="shared" si="47"/>
        <v>66.429896499999998</v>
      </c>
      <c r="K194" s="361">
        <f t="shared" si="48"/>
        <v>33.214948249999999</v>
      </c>
      <c r="L194" s="361">
        <f t="shared" si="37"/>
        <v>0.54778151346749804</v>
      </c>
      <c r="M194" s="361">
        <f t="shared" si="38"/>
        <v>96.863889887752975</v>
      </c>
      <c r="N194" s="361">
        <f t="shared" si="39"/>
        <v>193.72777977550595</v>
      </c>
      <c r="O194" s="361">
        <f>+C175+D176+D177+D178+D179+D180+D181+D182+D183+D184+D185+D186+D187+D188+D189+D190+D191+D192+D193+(D194/2)</f>
        <v>0</v>
      </c>
      <c r="P194" s="361">
        <f t="shared" si="40"/>
        <v>0</v>
      </c>
      <c r="Q194" s="361">
        <f t="shared" si="41"/>
        <v>0</v>
      </c>
      <c r="R194" s="361">
        <f t="shared" si="49"/>
        <v>147.93928579999999</v>
      </c>
      <c r="S194" s="361">
        <f t="shared" si="61"/>
        <v>147.93928579999999</v>
      </c>
      <c r="T194" s="362">
        <f t="shared" si="42"/>
        <v>147.93928579999999</v>
      </c>
      <c r="V194" s="327">
        <f t="shared" si="43"/>
        <v>0</v>
      </c>
      <c r="W194" s="327"/>
      <c r="X194" s="327"/>
      <c r="Y194" s="327"/>
      <c r="Z194" s="327"/>
      <c r="AA194" s="327"/>
      <c r="AB194" s="363" t="str">
        <f t="shared" si="44"/>
        <v>use the ground stack hole</v>
      </c>
      <c r="AC194" s="364"/>
      <c r="AD194" s="364"/>
      <c r="AE194" s="364"/>
      <c r="AF194" s="327">
        <f t="shared" si="64"/>
        <v>0</v>
      </c>
      <c r="AG194" s="339">
        <f t="shared" si="66"/>
        <v>0</v>
      </c>
      <c r="AH194" s="339"/>
      <c r="AI194" s="185">
        <f t="shared" si="50"/>
        <v>74.852239100000006</v>
      </c>
      <c r="AJ194" s="330">
        <f t="shared" si="45"/>
        <v>0.96525514282827984</v>
      </c>
      <c r="AK194" s="187">
        <f t="shared" si="51"/>
        <v>186.5249063054722</v>
      </c>
      <c r="AL194" s="185">
        <f t="shared" si="52"/>
        <v>56.785051799999998</v>
      </c>
      <c r="AM194" s="331">
        <f t="shared" si="53"/>
        <v>0.83662142830740083</v>
      </c>
      <c r="AN194" s="189">
        <f t="shared" si="54"/>
        <v>147.93928585928998</v>
      </c>
      <c r="AO194" s="365"/>
      <c r="AP194" s="211">
        <f t="shared" si="62"/>
        <v>-270</v>
      </c>
      <c r="AQ194" s="333"/>
      <c r="AR194" s="333">
        <f t="shared" si="55"/>
        <v>334.46419216476215</v>
      </c>
      <c r="AS194" s="334">
        <f t="shared" si="65"/>
        <v>-147.93928585928998</v>
      </c>
      <c r="AT194" s="334"/>
      <c r="AU194" s="334">
        <f t="shared" si="63"/>
        <v>147.93928585928998</v>
      </c>
      <c r="AV194" s="336">
        <f t="shared" si="56"/>
        <v>-150.57433914381045</v>
      </c>
      <c r="AW194" s="336">
        <f t="shared" si="57"/>
        <v>-119.42566085618955</v>
      </c>
      <c r="AX194" s="337">
        <f t="shared" si="58"/>
        <v>-53.129902780840794</v>
      </c>
      <c r="AY194" s="337">
        <f t="shared" si="59"/>
        <v>-36.843003157406926</v>
      </c>
      <c r="AZ194" s="340">
        <f t="shared" si="60"/>
        <v>53.129902780840794</v>
      </c>
      <c r="BA194" s="340">
        <f t="shared" si="60"/>
        <v>36.843003157406926</v>
      </c>
    </row>
    <row r="195" spans="2:95" ht="25" customHeight="1" thickBot="1" x14ac:dyDescent="0.5">
      <c r="B195" s="197">
        <v>21</v>
      </c>
      <c r="C195" s="198"/>
      <c r="D195" s="10">
        <v>0</v>
      </c>
      <c r="E195" s="199" t="s">
        <v>121</v>
      </c>
      <c r="F195" s="178"/>
      <c r="G195" s="178">
        <f t="shared" ref="G195:G198" si="67">+D195+BB195</f>
        <v>0</v>
      </c>
      <c r="H195" s="179">
        <v>176.8294247</v>
      </c>
      <c r="I195" s="180">
        <v>66.429896499999998</v>
      </c>
      <c r="J195" s="361">
        <f t="shared" ref="J195:J198" si="68">+I195-D195</f>
        <v>66.429896499999998</v>
      </c>
      <c r="K195" s="361">
        <f t="shared" ref="K195:K198" si="69">+J195/2</f>
        <v>33.214948249999999</v>
      </c>
      <c r="L195" s="361">
        <f t="shared" ref="L195:L198" si="70">SIN(K195*3.14159265358979/180)</f>
        <v>0.54778151346749804</v>
      </c>
      <c r="M195" s="361">
        <f t="shared" ref="M195:M198" si="71">+L195*H195</f>
        <v>96.863889887752975</v>
      </c>
      <c r="N195" s="361">
        <f t="shared" ref="N195:N198" si="72">+M195*2</f>
        <v>193.72777977550595</v>
      </c>
      <c r="O195" s="361">
        <f>+C175+D176+D177+D178+D179+D180+D181+D182+D183+D184+D185+D186+D187+D188+D189+D190+D191+D192+D193+D194+(D195/2)</f>
        <v>0</v>
      </c>
      <c r="P195" s="361">
        <f t="shared" ref="P195:P198" si="73">SIN(O195*3.14159265358979/180)</f>
        <v>0</v>
      </c>
      <c r="Q195" s="361">
        <f t="shared" ref="Q195:Q198" si="74">+P195*N195</f>
        <v>0</v>
      </c>
      <c r="R195" s="361">
        <f t="shared" ref="R195:R198" si="75">+T194</f>
        <v>147.93928579999999</v>
      </c>
      <c r="S195" s="361">
        <f t="shared" ref="S195:S198" si="76">+S194+Q195</f>
        <v>147.93928579999999</v>
      </c>
      <c r="T195" s="362">
        <f t="shared" ref="T195:T198" si="77">+S195</f>
        <v>147.93928579999999</v>
      </c>
      <c r="V195" s="327">
        <f t="shared" si="43"/>
        <v>0</v>
      </c>
      <c r="W195" s="327"/>
      <c r="X195" s="327"/>
      <c r="Y195" s="327"/>
      <c r="Z195" s="327"/>
      <c r="AA195" s="327"/>
      <c r="AB195" s="363" t="str">
        <f t="shared" si="44"/>
        <v>use the ground stack hole</v>
      </c>
      <c r="AC195" s="364"/>
      <c r="AD195" s="364"/>
      <c r="AE195" s="364"/>
      <c r="AF195" s="327">
        <f t="shared" si="64"/>
        <v>0</v>
      </c>
      <c r="AG195" s="339">
        <f t="shared" si="66"/>
        <v>0</v>
      </c>
      <c r="AH195" s="339"/>
      <c r="AI195" s="185">
        <f t="shared" si="50"/>
        <v>74.852239100000006</v>
      </c>
      <c r="AJ195" s="330">
        <f t="shared" si="45"/>
        <v>0.96525514282827984</v>
      </c>
      <c r="AK195" s="187">
        <f t="shared" si="51"/>
        <v>186.5249063054722</v>
      </c>
      <c r="AL195" s="185">
        <f t="shared" si="52"/>
        <v>56.785051799999998</v>
      </c>
      <c r="AM195" s="331">
        <f t="shared" si="53"/>
        <v>0.83662142830740083</v>
      </c>
      <c r="AN195" s="189">
        <f t="shared" si="54"/>
        <v>147.93928585928998</v>
      </c>
      <c r="AO195" s="365"/>
      <c r="AP195" s="211">
        <f t="shared" si="62"/>
        <v>-285</v>
      </c>
      <c r="AQ195" s="333"/>
      <c r="AR195" s="333">
        <f t="shared" ref="AR195:AR198" si="78">+AN195+AK195</f>
        <v>334.46419216476215</v>
      </c>
      <c r="AS195" s="334">
        <f t="shared" ref="AS195:AS198" si="79">+V195-AN195</f>
        <v>-147.93928585928998</v>
      </c>
      <c r="AT195" s="334"/>
      <c r="AU195" s="334">
        <f t="shared" ref="AU195:AU198" si="80">+AF195-AS195</f>
        <v>147.93928585928998</v>
      </c>
      <c r="AV195" s="336">
        <f t="shared" ref="AV195:AV198" si="81">+((AR195-AU195)/AR195)*AP195</f>
        <v>-158.93958020735548</v>
      </c>
      <c r="AW195" s="336">
        <f t="shared" ref="AW195:AW198" si="82">+(AU195/AR195)*AP195</f>
        <v>-126.06041979264452</v>
      </c>
      <c r="AX195" s="337">
        <f t="shared" ref="AX195:AX198" si="83">2*$C$18/AV195</f>
        <v>-50.333592108164964</v>
      </c>
      <c r="AY195" s="337">
        <f t="shared" ref="AY195:AY198" si="84">$D$18/AW195</f>
        <v>-34.903897728069715</v>
      </c>
      <c r="AZ195" s="340">
        <f t="shared" ref="AZ195:AZ198" si="85">ABS(AX195)</f>
        <v>50.333592108164964</v>
      </c>
      <c r="BA195" s="340">
        <f t="shared" ref="BA195:BA198" si="86">ABS(AY195)</f>
        <v>34.903897728069715</v>
      </c>
      <c r="BB195" s="669"/>
    </row>
    <row r="196" spans="2:95" ht="25" customHeight="1" thickBot="1" x14ac:dyDescent="0.5">
      <c r="B196" s="197">
        <v>22</v>
      </c>
      <c r="C196" s="198"/>
      <c r="D196" s="10">
        <v>0</v>
      </c>
      <c r="E196" s="199" t="s">
        <v>121</v>
      </c>
      <c r="F196" s="178"/>
      <c r="G196" s="178">
        <f t="shared" si="67"/>
        <v>0</v>
      </c>
      <c r="H196" s="179">
        <v>176.8294247</v>
      </c>
      <c r="I196" s="180">
        <v>66.429896499999998</v>
      </c>
      <c r="J196" s="361">
        <f t="shared" si="68"/>
        <v>66.429896499999998</v>
      </c>
      <c r="K196" s="361">
        <f t="shared" si="69"/>
        <v>33.214948249999999</v>
      </c>
      <c r="L196" s="361">
        <f t="shared" si="70"/>
        <v>0.54778151346749804</v>
      </c>
      <c r="M196" s="361">
        <f t="shared" si="71"/>
        <v>96.863889887752975</v>
      </c>
      <c r="N196" s="361">
        <f t="shared" si="72"/>
        <v>193.72777977550595</v>
      </c>
      <c r="O196" s="361">
        <f>+C175+D176+D177+D178+D179+D180+D181+D182+D183+D184+D185+D186+D187+D188+D189+D190+D191+D192+D193+D194+D195+(D196/2)</f>
        <v>0</v>
      </c>
      <c r="P196" s="361">
        <f t="shared" si="73"/>
        <v>0</v>
      </c>
      <c r="Q196" s="361">
        <f t="shared" si="74"/>
        <v>0</v>
      </c>
      <c r="R196" s="361">
        <f t="shared" si="75"/>
        <v>147.93928579999999</v>
      </c>
      <c r="S196" s="361">
        <f t="shared" si="76"/>
        <v>147.93928579999999</v>
      </c>
      <c r="T196" s="362">
        <f t="shared" si="77"/>
        <v>147.93928579999999</v>
      </c>
      <c r="V196" s="327">
        <f t="shared" si="43"/>
        <v>0</v>
      </c>
      <c r="W196" s="327"/>
      <c r="X196" s="327"/>
      <c r="Y196" s="327"/>
      <c r="Z196" s="327"/>
      <c r="AA196" s="327"/>
      <c r="AB196" s="363" t="str">
        <f t="shared" si="44"/>
        <v>use the ground stack hole</v>
      </c>
      <c r="AC196" s="364"/>
      <c r="AD196" s="364"/>
      <c r="AE196" s="364"/>
      <c r="AF196" s="327">
        <f t="shared" si="64"/>
        <v>0</v>
      </c>
      <c r="AG196" s="339">
        <f t="shared" si="66"/>
        <v>0</v>
      </c>
      <c r="AH196" s="339"/>
      <c r="AI196" s="185">
        <f t="shared" si="50"/>
        <v>74.852239100000006</v>
      </c>
      <c r="AJ196" s="330">
        <f t="shared" si="45"/>
        <v>0.96525514282827984</v>
      </c>
      <c r="AK196" s="187">
        <f t="shared" si="51"/>
        <v>186.5249063054722</v>
      </c>
      <c r="AL196" s="185">
        <f t="shared" si="52"/>
        <v>56.785051799999998</v>
      </c>
      <c r="AM196" s="331">
        <f t="shared" si="53"/>
        <v>0.83662142830740083</v>
      </c>
      <c r="AN196" s="189">
        <f t="shared" si="54"/>
        <v>147.93928585928998</v>
      </c>
      <c r="AO196" s="365"/>
      <c r="AP196" s="211">
        <f t="shared" si="62"/>
        <v>-300</v>
      </c>
      <c r="AQ196" s="333"/>
      <c r="AR196" s="333">
        <f t="shared" si="78"/>
        <v>334.46419216476215</v>
      </c>
      <c r="AS196" s="334">
        <f t="shared" si="79"/>
        <v>-147.93928585928998</v>
      </c>
      <c r="AT196" s="334"/>
      <c r="AU196" s="334">
        <f t="shared" si="80"/>
        <v>147.93928585928998</v>
      </c>
      <c r="AV196" s="336">
        <f t="shared" si="81"/>
        <v>-167.3048212709005</v>
      </c>
      <c r="AW196" s="336">
        <f t="shared" si="82"/>
        <v>-132.6951787290995</v>
      </c>
      <c r="AX196" s="337">
        <f t="shared" si="83"/>
        <v>-47.816912502756715</v>
      </c>
      <c r="AY196" s="337">
        <f t="shared" si="84"/>
        <v>-33.158702841666233</v>
      </c>
      <c r="AZ196" s="340">
        <f t="shared" si="85"/>
        <v>47.816912502756715</v>
      </c>
      <c r="BA196" s="340">
        <f t="shared" si="86"/>
        <v>33.158702841666233</v>
      </c>
      <c r="BB196" s="669"/>
    </row>
    <row r="197" spans="2:95" ht="25" customHeight="1" thickBot="1" x14ac:dyDescent="0.5">
      <c r="B197" s="197">
        <v>23</v>
      </c>
      <c r="C197" s="198"/>
      <c r="D197" s="10">
        <v>0</v>
      </c>
      <c r="E197" s="199" t="s">
        <v>121</v>
      </c>
      <c r="F197" s="178"/>
      <c r="G197" s="178">
        <f t="shared" si="67"/>
        <v>0</v>
      </c>
      <c r="H197" s="179">
        <v>176.8294247</v>
      </c>
      <c r="I197" s="180">
        <v>66.429896499999998</v>
      </c>
      <c r="J197" s="361">
        <f t="shared" si="68"/>
        <v>66.429896499999998</v>
      </c>
      <c r="K197" s="361">
        <f t="shared" si="69"/>
        <v>33.214948249999999</v>
      </c>
      <c r="L197" s="361">
        <f t="shared" si="70"/>
        <v>0.54778151346749804</v>
      </c>
      <c r="M197" s="361">
        <f t="shared" si="71"/>
        <v>96.863889887752975</v>
      </c>
      <c r="N197" s="361">
        <f t="shared" si="72"/>
        <v>193.72777977550595</v>
      </c>
      <c r="O197" s="361">
        <f>+C175+D176+D177+D178+D179+D180+D181+D182+D183+D184+D185+D186+D187+D188+D189+D190+D191+D192+D193+D194+D195+D196+(D197/2)</f>
        <v>0</v>
      </c>
      <c r="P197" s="361">
        <f t="shared" si="73"/>
        <v>0</v>
      </c>
      <c r="Q197" s="361">
        <f t="shared" si="74"/>
        <v>0</v>
      </c>
      <c r="R197" s="361">
        <f t="shared" si="75"/>
        <v>147.93928579999999</v>
      </c>
      <c r="S197" s="361">
        <f t="shared" si="76"/>
        <v>147.93928579999999</v>
      </c>
      <c r="T197" s="362">
        <f t="shared" si="77"/>
        <v>147.93928579999999</v>
      </c>
      <c r="V197" s="327">
        <f t="shared" si="43"/>
        <v>0</v>
      </c>
      <c r="W197" s="327"/>
      <c r="X197" s="327"/>
      <c r="Y197" s="327"/>
      <c r="Z197" s="327"/>
      <c r="AA197" s="327"/>
      <c r="AB197" s="363" t="str">
        <f t="shared" si="44"/>
        <v>use the ground stack hole</v>
      </c>
      <c r="AC197" s="364"/>
      <c r="AD197" s="364"/>
      <c r="AE197" s="364"/>
      <c r="AF197" s="327">
        <f t="shared" si="64"/>
        <v>0</v>
      </c>
      <c r="AG197" s="339">
        <f t="shared" si="66"/>
        <v>0</v>
      </c>
      <c r="AH197" s="339"/>
      <c r="AI197" s="185">
        <f t="shared" si="50"/>
        <v>74.852239100000006</v>
      </c>
      <c r="AJ197" s="330">
        <f t="shared" si="45"/>
        <v>0.96525514282827984</v>
      </c>
      <c r="AK197" s="187">
        <f t="shared" si="51"/>
        <v>186.5249063054722</v>
      </c>
      <c r="AL197" s="185">
        <f t="shared" si="52"/>
        <v>56.785051799999998</v>
      </c>
      <c r="AM197" s="331">
        <f t="shared" si="53"/>
        <v>0.83662142830740083</v>
      </c>
      <c r="AN197" s="189">
        <f t="shared" si="54"/>
        <v>147.93928585928998</v>
      </c>
      <c r="AO197" s="365"/>
      <c r="AP197" s="211">
        <f t="shared" si="62"/>
        <v>-315</v>
      </c>
      <c r="AQ197" s="333"/>
      <c r="AR197" s="333">
        <f t="shared" si="78"/>
        <v>334.46419216476215</v>
      </c>
      <c r="AS197" s="334">
        <f t="shared" si="79"/>
        <v>-147.93928585928998</v>
      </c>
      <c r="AT197" s="334"/>
      <c r="AU197" s="334">
        <f t="shared" si="80"/>
        <v>147.93928585928998</v>
      </c>
      <c r="AV197" s="336">
        <f t="shared" si="81"/>
        <v>-175.67006233444553</v>
      </c>
      <c r="AW197" s="336">
        <f t="shared" si="82"/>
        <v>-139.32993766555447</v>
      </c>
      <c r="AX197" s="337">
        <f t="shared" si="83"/>
        <v>-45.539916669292111</v>
      </c>
      <c r="AY197" s="337">
        <f t="shared" si="84"/>
        <v>-31.57971699206308</v>
      </c>
      <c r="AZ197" s="340">
        <f t="shared" si="85"/>
        <v>45.539916669292111</v>
      </c>
      <c r="BA197" s="340">
        <f t="shared" si="86"/>
        <v>31.57971699206308</v>
      </c>
      <c r="BB197" s="669"/>
    </row>
    <row r="198" spans="2:95" ht="25" customHeight="1" thickBot="1" x14ac:dyDescent="0.5">
      <c r="B198" s="197">
        <v>24</v>
      </c>
      <c r="C198" s="198"/>
      <c r="D198" s="10">
        <v>0</v>
      </c>
      <c r="E198" s="199" t="s">
        <v>121</v>
      </c>
      <c r="F198" s="178"/>
      <c r="G198" s="178">
        <f t="shared" si="67"/>
        <v>0</v>
      </c>
      <c r="H198" s="179">
        <v>176.8294247</v>
      </c>
      <c r="I198" s="180">
        <v>66.429896499999998</v>
      </c>
      <c r="J198" s="361">
        <f t="shared" si="68"/>
        <v>66.429896499999998</v>
      </c>
      <c r="K198" s="361">
        <f t="shared" si="69"/>
        <v>33.214948249999999</v>
      </c>
      <c r="L198" s="361">
        <f t="shared" si="70"/>
        <v>0.54778151346749804</v>
      </c>
      <c r="M198" s="361">
        <f t="shared" si="71"/>
        <v>96.863889887752975</v>
      </c>
      <c r="N198" s="361">
        <f t="shared" si="72"/>
        <v>193.72777977550595</v>
      </c>
      <c r="O198" s="361">
        <f>+C175+D176+D177+D178+D179+D180+D181+D182+D183+D184+D185+D186+D187+D188+D189+D190+D191+D192+D193+D194+D195+D196+D197+(D198/2)</f>
        <v>0</v>
      </c>
      <c r="P198" s="361">
        <f t="shared" si="73"/>
        <v>0</v>
      </c>
      <c r="Q198" s="361">
        <f t="shared" si="74"/>
        <v>0</v>
      </c>
      <c r="R198" s="361">
        <f t="shared" si="75"/>
        <v>147.93928579999999</v>
      </c>
      <c r="S198" s="361">
        <f t="shared" si="76"/>
        <v>147.93928579999999</v>
      </c>
      <c r="T198" s="362">
        <f t="shared" si="77"/>
        <v>147.93928579999999</v>
      </c>
      <c r="V198" s="327">
        <f t="shared" si="43"/>
        <v>0</v>
      </c>
      <c r="W198" s="327"/>
      <c r="X198" s="327"/>
      <c r="Y198" s="327"/>
      <c r="Z198" s="327"/>
      <c r="AA198" s="327"/>
      <c r="AB198" s="363" t="str">
        <f t="shared" si="44"/>
        <v>use the ground stack hole</v>
      </c>
      <c r="AC198" s="364"/>
      <c r="AD198" s="364"/>
      <c r="AE198" s="364"/>
      <c r="AF198" s="327">
        <f t="shared" si="64"/>
        <v>0</v>
      </c>
      <c r="AG198" s="339">
        <f t="shared" si="66"/>
        <v>0</v>
      </c>
      <c r="AH198" s="339"/>
      <c r="AI198" s="185">
        <f t="shared" si="50"/>
        <v>74.852239100000006</v>
      </c>
      <c r="AJ198" s="330">
        <f t="shared" si="45"/>
        <v>0.96525514282827984</v>
      </c>
      <c r="AK198" s="187">
        <f t="shared" si="51"/>
        <v>186.5249063054722</v>
      </c>
      <c r="AL198" s="185">
        <f t="shared" si="52"/>
        <v>56.785051799999998</v>
      </c>
      <c r="AM198" s="331">
        <f t="shared" si="53"/>
        <v>0.83662142830740083</v>
      </c>
      <c r="AN198" s="189">
        <f t="shared" si="54"/>
        <v>147.93928585928998</v>
      </c>
      <c r="AO198" s="365"/>
      <c r="AP198" s="211">
        <f t="shared" si="62"/>
        <v>-330</v>
      </c>
      <c r="AQ198" s="333"/>
      <c r="AR198" s="333">
        <f t="shared" si="78"/>
        <v>334.46419216476215</v>
      </c>
      <c r="AS198" s="334">
        <f t="shared" si="79"/>
        <v>-147.93928585928998</v>
      </c>
      <c r="AT198" s="334"/>
      <c r="AU198" s="334">
        <f t="shared" si="80"/>
        <v>147.93928585928998</v>
      </c>
      <c r="AV198" s="336">
        <f t="shared" si="81"/>
        <v>-184.03530339799056</v>
      </c>
      <c r="AW198" s="336">
        <f t="shared" si="82"/>
        <v>-145.96469660200944</v>
      </c>
      <c r="AX198" s="337">
        <f t="shared" si="83"/>
        <v>-43.469920457051558</v>
      </c>
      <c r="AY198" s="337">
        <f t="shared" si="84"/>
        <v>-30.144275310605668</v>
      </c>
      <c r="AZ198" s="340">
        <f t="shared" si="85"/>
        <v>43.469920457051558</v>
      </c>
      <c r="BA198" s="340">
        <f t="shared" si="86"/>
        <v>30.144275310605668</v>
      </c>
      <c r="BB198" s="669"/>
    </row>
    <row r="200" spans="2:95" ht="26" hidden="1" thickBot="1" x14ac:dyDescent="0.3"/>
    <row r="201" spans="2:95" ht="26" hidden="1" thickBot="1" x14ac:dyDescent="0.3">
      <c r="CJ201" s="670"/>
      <c r="CK201" s="671"/>
      <c r="CL201" s="672" t="s">
        <v>79</v>
      </c>
      <c r="CM201" s="671"/>
      <c r="CN201" s="671"/>
      <c r="CO201" s="671"/>
      <c r="CP201" s="671"/>
      <c r="CQ201" s="673"/>
    </row>
    <row r="202" spans="2:95" ht="27" hidden="1" thickBot="1" x14ac:dyDescent="0.35">
      <c r="CJ202" s="564">
        <v>1</v>
      </c>
      <c r="CK202" s="674">
        <v>-308</v>
      </c>
      <c r="CL202" s="675">
        <f>+COS(($B$144*-1)*3.14159265358979/180)*CK202</f>
        <v>-308</v>
      </c>
      <c r="CM202" s="636">
        <f t="shared" ref="CM202:CM242" si="87">+CL202-D$3</f>
        <v>-512.66353384369677</v>
      </c>
      <c r="CN202" s="632">
        <f t="shared" ref="CN202:CN242" si="88">ABS(CM202)</f>
        <v>512.66353384369677</v>
      </c>
      <c r="CO202" s="220">
        <f>MIN(CN202:CN242)</f>
        <v>8.6635338436967402</v>
      </c>
      <c r="CP202" s="219" t="b">
        <f t="shared" ref="CP202:CP242" si="89">IF(CO202=CN202,CJ202)</f>
        <v>0</v>
      </c>
      <c r="CQ202" s="565">
        <v>1</v>
      </c>
    </row>
    <row r="203" spans="2:95" ht="27" hidden="1" thickBot="1" x14ac:dyDescent="0.35">
      <c r="CJ203" s="564">
        <v>2</v>
      </c>
      <c r="CK203" s="674">
        <f t="shared" ref="CK203:CK242" si="90">+CK202+28</f>
        <v>-280</v>
      </c>
      <c r="CL203" s="605">
        <f t="shared" ref="CL203:CL242" si="91">+CL202+$E$2</f>
        <v>-280</v>
      </c>
      <c r="CM203" s="636">
        <f t="shared" si="87"/>
        <v>-484.66353384369677</v>
      </c>
      <c r="CN203" s="219">
        <f t="shared" si="88"/>
        <v>484.66353384369677</v>
      </c>
      <c r="CO203" s="219">
        <f t="shared" ref="CO203:CO242" si="92">+CO202</f>
        <v>8.6635338436967402</v>
      </c>
      <c r="CP203" s="219" t="b">
        <f t="shared" si="89"/>
        <v>0</v>
      </c>
      <c r="CQ203" s="565">
        <v>2</v>
      </c>
    </row>
    <row r="204" spans="2:95" ht="27" hidden="1" thickBot="1" x14ac:dyDescent="0.35">
      <c r="CJ204" s="564">
        <v>3</v>
      </c>
      <c r="CK204" s="674">
        <f t="shared" si="90"/>
        <v>-252</v>
      </c>
      <c r="CL204" s="605">
        <f t="shared" si="91"/>
        <v>-252</v>
      </c>
      <c r="CM204" s="636">
        <f t="shared" si="87"/>
        <v>-456.66353384369677</v>
      </c>
      <c r="CN204" s="219">
        <f t="shared" si="88"/>
        <v>456.66353384369677</v>
      </c>
      <c r="CO204" s="219">
        <f t="shared" si="92"/>
        <v>8.6635338436967402</v>
      </c>
      <c r="CP204" s="219" t="b">
        <f t="shared" si="89"/>
        <v>0</v>
      </c>
      <c r="CQ204" s="565">
        <v>3</v>
      </c>
    </row>
    <row r="205" spans="2:95" ht="27" hidden="1" thickBot="1" x14ac:dyDescent="0.35">
      <c r="CJ205" s="564">
        <v>4</v>
      </c>
      <c r="CK205" s="674">
        <f t="shared" si="90"/>
        <v>-224</v>
      </c>
      <c r="CL205" s="605">
        <f t="shared" si="91"/>
        <v>-224</v>
      </c>
      <c r="CM205" s="636">
        <f t="shared" si="87"/>
        <v>-428.66353384369677</v>
      </c>
      <c r="CN205" s="219">
        <f t="shared" si="88"/>
        <v>428.66353384369677</v>
      </c>
      <c r="CO205" s="219">
        <f t="shared" si="92"/>
        <v>8.6635338436967402</v>
      </c>
      <c r="CP205" s="219" t="b">
        <f t="shared" si="89"/>
        <v>0</v>
      </c>
      <c r="CQ205" s="565">
        <v>4</v>
      </c>
    </row>
    <row r="206" spans="2:95" ht="27" hidden="1" thickBot="1" x14ac:dyDescent="0.35">
      <c r="CJ206" s="564">
        <v>5</v>
      </c>
      <c r="CK206" s="674">
        <f t="shared" si="90"/>
        <v>-196</v>
      </c>
      <c r="CL206" s="605">
        <f t="shared" si="91"/>
        <v>-196</v>
      </c>
      <c r="CM206" s="636">
        <f t="shared" si="87"/>
        <v>-400.66353384369677</v>
      </c>
      <c r="CN206" s="219">
        <f t="shared" si="88"/>
        <v>400.66353384369677</v>
      </c>
      <c r="CO206" s="219">
        <f t="shared" si="92"/>
        <v>8.6635338436967402</v>
      </c>
      <c r="CP206" s="219" t="b">
        <f t="shared" si="89"/>
        <v>0</v>
      </c>
      <c r="CQ206" s="565">
        <v>5</v>
      </c>
    </row>
    <row r="207" spans="2:95" ht="27" hidden="1" thickBot="1" x14ac:dyDescent="0.35">
      <c r="CJ207" s="564">
        <v>6</v>
      </c>
      <c r="CK207" s="674">
        <f t="shared" si="90"/>
        <v>-168</v>
      </c>
      <c r="CL207" s="605">
        <f t="shared" si="91"/>
        <v>-168</v>
      </c>
      <c r="CM207" s="636">
        <f t="shared" si="87"/>
        <v>-372.66353384369677</v>
      </c>
      <c r="CN207" s="219">
        <f t="shared" si="88"/>
        <v>372.66353384369677</v>
      </c>
      <c r="CO207" s="219">
        <f t="shared" si="92"/>
        <v>8.6635338436967402</v>
      </c>
      <c r="CP207" s="219" t="b">
        <f t="shared" si="89"/>
        <v>0</v>
      </c>
      <c r="CQ207" s="565">
        <v>6</v>
      </c>
    </row>
    <row r="208" spans="2:95" ht="27" hidden="1" thickBot="1" x14ac:dyDescent="0.35">
      <c r="CJ208" s="564">
        <v>7</v>
      </c>
      <c r="CK208" s="674">
        <f t="shared" si="90"/>
        <v>-140</v>
      </c>
      <c r="CL208" s="605">
        <f t="shared" si="91"/>
        <v>-140</v>
      </c>
      <c r="CM208" s="636">
        <f t="shared" si="87"/>
        <v>-344.66353384369677</v>
      </c>
      <c r="CN208" s="219">
        <f t="shared" si="88"/>
        <v>344.66353384369677</v>
      </c>
      <c r="CO208" s="219">
        <f t="shared" si="92"/>
        <v>8.6635338436967402</v>
      </c>
      <c r="CP208" s="219" t="b">
        <f t="shared" si="89"/>
        <v>0</v>
      </c>
      <c r="CQ208" s="565">
        <v>7</v>
      </c>
    </row>
    <row r="209" spans="58:95" ht="27" hidden="1" thickBot="1" x14ac:dyDescent="0.35">
      <c r="BN209" s="77"/>
      <c r="BP209" s="77"/>
      <c r="BR209" s="77"/>
      <c r="CJ209" s="564">
        <v>8</v>
      </c>
      <c r="CK209" s="674">
        <f t="shared" si="90"/>
        <v>-112</v>
      </c>
      <c r="CL209" s="605">
        <f t="shared" si="91"/>
        <v>-112</v>
      </c>
      <c r="CM209" s="636">
        <f t="shared" si="87"/>
        <v>-316.66353384369677</v>
      </c>
      <c r="CN209" s="219">
        <f t="shared" si="88"/>
        <v>316.66353384369677</v>
      </c>
      <c r="CO209" s="219">
        <f t="shared" si="92"/>
        <v>8.6635338436967402</v>
      </c>
      <c r="CP209" s="219" t="b">
        <f t="shared" si="89"/>
        <v>0</v>
      </c>
      <c r="CQ209" s="565">
        <v>8</v>
      </c>
    </row>
    <row r="210" spans="58:95" ht="27" hidden="1" thickBot="1" x14ac:dyDescent="0.35">
      <c r="BN210" s="77"/>
      <c r="BR210" s="77"/>
      <c r="CJ210" s="564">
        <v>9</v>
      </c>
      <c r="CK210" s="674">
        <f t="shared" si="90"/>
        <v>-84</v>
      </c>
      <c r="CL210" s="605">
        <f t="shared" si="91"/>
        <v>-84</v>
      </c>
      <c r="CM210" s="636">
        <f t="shared" si="87"/>
        <v>-288.66353384369677</v>
      </c>
      <c r="CN210" s="219">
        <f t="shared" si="88"/>
        <v>288.66353384369677</v>
      </c>
      <c r="CO210" s="219">
        <f t="shared" si="92"/>
        <v>8.6635338436967402</v>
      </c>
      <c r="CP210" s="219" t="b">
        <f t="shared" si="89"/>
        <v>0</v>
      </c>
      <c r="CQ210" s="565">
        <v>9</v>
      </c>
    </row>
    <row r="211" spans="58:95" ht="27" hidden="1" thickBot="1" x14ac:dyDescent="0.35">
      <c r="BN211" s="77"/>
      <c r="BO211" s="224"/>
      <c r="BP211" s="224"/>
      <c r="BQ211" s="224"/>
      <c r="BR211" s="224"/>
      <c r="BS211" s="224"/>
      <c r="BT211" s="224"/>
      <c r="BU211" s="224"/>
      <c r="BV211" s="224"/>
      <c r="BW211" s="224"/>
      <c r="BX211" s="224"/>
      <c r="BY211" s="224"/>
      <c r="BZ211" s="224"/>
      <c r="CA211" s="224"/>
      <c r="CB211" s="224"/>
      <c r="CC211" s="224"/>
      <c r="CD211" s="224"/>
      <c r="CE211" s="224"/>
      <c r="CF211" s="224"/>
      <c r="CG211" s="224"/>
      <c r="CH211" s="224"/>
      <c r="CI211" s="224"/>
      <c r="CJ211" s="564">
        <v>10</v>
      </c>
      <c r="CK211" s="674">
        <f t="shared" si="90"/>
        <v>-56</v>
      </c>
      <c r="CL211" s="605">
        <f t="shared" si="91"/>
        <v>-56</v>
      </c>
      <c r="CM211" s="636">
        <f t="shared" si="87"/>
        <v>-260.66353384369677</v>
      </c>
      <c r="CN211" s="219">
        <f t="shared" si="88"/>
        <v>260.66353384369677</v>
      </c>
      <c r="CO211" s="219">
        <f t="shared" si="92"/>
        <v>8.6635338436967402</v>
      </c>
      <c r="CP211" s="219" t="b">
        <f t="shared" si="89"/>
        <v>0</v>
      </c>
      <c r="CQ211" s="565">
        <v>10</v>
      </c>
    </row>
    <row r="212" spans="58:95" ht="27" hidden="1" thickBot="1" x14ac:dyDescent="0.35">
      <c r="BN212" s="77"/>
      <c r="CJ212" s="564">
        <v>11</v>
      </c>
      <c r="CK212" s="674">
        <f t="shared" si="90"/>
        <v>-28</v>
      </c>
      <c r="CL212" s="605">
        <f t="shared" si="91"/>
        <v>-28</v>
      </c>
      <c r="CM212" s="636">
        <f t="shared" si="87"/>
        <v>-232.66353384369674</v>
      </c>
      <c r="CN212" s="219">
        <f t="shared" si="88"/>
        <v>232.66353384369674</v>
      </c>
      <c r="CO212" s="219">
        <f t="shared" si="92"/>
        <v>8.6635338436967402</v>
      </c>
      <c r="CP212" s="219" t="b">
        <f t="shared" si="89"/>
        <v>0</v>
      </c>
      <c r="CQ212" s="565">
        <v>11</v>
      </c>
    </row>
    <row r="213" spans="58:95" ht="27" hidden="1" thickBot="1" x14ac:dyDescent="0.35">
      <c r="BN213" s="155"/>
      <c r="BO213" s="225"/>
      <c r="BP213" s="225"/>
      <c r="BQ213" s="225"/>
      <c r="BR213" s="225"/>
      <c r="BS213" s="225"/>
      <c r="BT213" s="225"/>
      <c r="BU213" s="225"/>
      <c r="BV213" s="225"/>
      <c r="BW213" s="225"/>
      <c r="BX213" s="225"/>
      <c r="BY213" s="225"/>
      <c r="BZ213" s="225"/>
      <c r="CA213" s="225"/>
      <c r="CB213" s="225"/>
      <c r="CC213" s="225"/>
      <c r="CD213" s="225"/>
      <c r="CE213" s="225"/>
      <c r="CF213" s="225"/>
      <c r="CG213" s="225"/>
      <c r="CH213" s="225"/>
      <c r="CI213" s="225"/>
      <c r="CJ213" s="564">
        <v>12</v>
      </c>
      <c r="CK213" s="674">
        <f t="shared" si="90"/>
        <v>0</v>
      </c>
      <c r="CL213" s="605">
        <f t="shared" si="91"/>
        <v>0</v>
      </c>
      <c r="CM213" s="636">
        <f t="shared" si="87"/>
        <v>-204.66353384369674</v>
      </c>
      <c r="CN213" s="219">
        <f t="shared" si="88"/>
        <v>204.66353384369674</v>
      </c>
      <c r="CO213" s="219">
        <f t="shared" si="92"/>
        <v>8.6635338436967402</v>
      </c>
      <c r="CP213" s="219" t="b">
        <f t="shared" si="89"/>
        <v>0</v>
      </c>
      <c r="CQ213" s="565">
        <v>12</v>
      </c>
    </row>
    <row r="214" spans="58:95" ht="27" hidden="1" thickBot="1" x14ac:dyDescent="0.35">
      <c r="BN214" s="77"/>
      <c r="BO214" s="124"/>
      <c r="BP214" s="124"/>
      <c r="BQ214" s="124"/>
      <c r="BR214" s="124"/>
      <c r="BS214" s="124"/>
      <c r="BT214" s="124"/>
      <c r="BU214" s="124"/>
      <c r="BV214" s="124"/>
      <c r="BW214" s="124"/>
      <c r="BX214" s="124"/>
      <c r="BY214" s="124"/>
      <c r="BZ214" s="124"/>
      <c r="CA214" s="124"/>
      <c r="CB214" s="124"/>
      <c r="CC214" s="124"/>
      <c r="CD214" s="124"/>
      <c r="CE214" s="124"/>
      <c r="CF214" s="124"/>
      <c r="CG214" s="124"/>
      <c r="CH214" s="124"/>
      <c r="CI214" s="124"/>
      <c r="CJ214" s="564">
        <v>13</v>
      </c>
      <c r="CK214" s="674">
        <f t="shared" si="90"/>
        <v>28</v>
      </c>
      <c r="CL214" s="605">
        <f t="shared" si="91"/>
        <v>28</v>
      </c>
      <c r="CM214" s="636">
        <f t="shared" si="87"/>
        <v>-176.66353384369674</v>
      </c>
      <c r="CN214" s="219">
        <f t="shared" si="88"/>
        <v>176.66353384369674</v>
      </c>
      <c r="CO214" s="219">
        <f t="shared" si="92"/>
        <v>8.6635338436967402</v>
      </c>
      <c r="CP214" s="219" t="b">
        <f t="shared" si="89"/>
        <v>0</v>
      </c>
      <c r="CQ214" s="565">
        <v>13</v>
      </c>
    </row>
    <row r="215" spans="58:95" ht="27" hidden="1" thickBot="1" x14ac:dyDescent="0.35">
      <c r="CJ215" s="564">
        <v>14</v>
      </c>
      <c r="CK215" s="674">
        <f t="shared" si="90"/>
        <v>56</v>
      </c>
      <c r="CL215" s="605">
        <f t="shared" si="91"/>
        <v>56</v>
      </c>
      <c r="CM215" s="636">
        <f t="shared" si="87"/>
        <v>-148.66353384369674</v>
      </c>
      <c r="CN215" s="219">
        <f t="shared" si="88"/>
        <v>148.66353384369674</v>
      </c>
      <c r="CO215" s="219">
        <f t="shared" si="92"/>
        <v>8.6635338436967402</v>
      </c>
      <c r="CP215" s="219" t="b">
        <f t="shared" si="89"/>
        <v>0</v>
      </c>
      <c r="CQ215" s="565">
        <v>14</v>
      </c>
    </row>
    <row r="216" spans="58:95" ht="27" hidden="1" thickBot="1" x14ac:dyDescent="0.35">
      <c r="BO216" s="156"/>
      <c r="BP216" s="156"/>
      <c r="BQ216" s="156"/>
      <c r="BR216" s="156"/>
      <c r="BS216" s="156"/>
      <c r="BT216" s="156"/>
      <c r="BU216" s="77"/>
      <c r="BV216" s="77"/>
      <c r="BW216" s="77"/>
      <c r="BX216" s="77"/>
      <c r="BY216" s="77"/>
      <c r="BZ216" s="156"/>
      <c r="CA216" s="156"/>
      <c r="CB216" s="156"/>
      <c r="CC216" s="77"/>
      <c r="CD216" s="77"/>
      <c r="CE216" s="77"/>
      <c r="CF216" s="77"/>
      <c r="CG216" s="77"/>
      <c r="CH216" s="77"/>
      <c r="CI216" s="77"/>
      <c r="CJ216" s="564">
        <v>15</v>
      </c>
      <c r="CK216" s="674">
        <f t="shared" si="90"/>
        <v>84</v>
      </c>
      <c r="CL216" s="605">
        <f t="shared" si="91"/>
        <v>84</v>
      </c>
      <c r="CM216" s="636">
        <f t="shared" si="87"/>
        <v>-120.66353384369674</v>
      </c>
      <c r="CN216" s="219">
        <f t="shared" si="88"/>
        <v>120.66353384369674</v>
      </c>
      <c r="CO216" s="219">
        <f t="shared" si="92"/>
        <v>8.6635338436967402</v>
      </c>
      <c r="CP216" s="219" t="b">
        <f t="shared" si="89"/>
        <v>0</v>
      </c>
      <c r="CQ216" s="565">
        <v>15</v>
      </c>
    </row>
    <row r="217" spans="58:95" ht="27" hidden="1" thickBot="1" x14ac:dyDescent="0.35">
      <c r="BO217" s="156"/>
      <c r="BP217" s="156"/>
      <c r="BQ217" s="156"/>
      <c r="BR217" s="156"/>
      <c r="BS217" s="156"/>
      <c r="BT217" s="156"/>
      <c r="BY217" s="156"/>
      <c r="BZ217" s="156"/>
      <c r="CA217" s="156"/>
      <c r="CB217" s="156"/>
      <c r="CG217" s="156"/>
      <c r="CH217" s="156"/>
      <c r="CI217" s="156"/>
      <c r="CJ217" s="564">
        <v>16</v>
      </c>
      <c r="CK217" s="674">
        <f t="shared" si="90"/>
        <v>112</v>
      </c>
      <c r="CL217" s="605">
        <f t="shared" si="91"/>
        <v>112</v>
      </c>
      <c r="CM217" s="636">
        <f t="shared" si="87"/>
        <v>-92.66353384369674</v>
      </c>
      <c r="CN217" s="219">
        <f t="shared" si="88"/>
        <v>92.66353384369674</v>
      </c>
      <c r="CO217" s="219">
        <f t="shared" si="92"/>
        <v>8.6635338436967402</v>
      </c>
      <c r="CP217" s="219" t="b">
        <f t="shared" si="89"/>
        <v>0</v>
      </c>
      <c r="CQ217" s="565">
        <v>16</v>
      </c>
    </row>
    <row r="218" spans="58:95" ht="27" hidden="1" thickBot="1" x14ac:dyDescent="0.35">
      <c r="BF218" s="289"/>
      <c r="CJ218" s="564">
        <v>17</v>
      </c>
      <c r="CK218" s="674">
        <f t="shared" si="90"/>
        <v>140</v>
      </c>
      <c r="CL218" s="605">
        <f t="shared" si="91"/>
        <v>140</v>
      </c>
      <c r="CM218" s="636">
        <f t="shared" si="87"/>
        <v>-64.66353384369674</v>
      </c>
      <c r="CN218" s="219">
        <f t="shared" si="88"/>
        <v>64.66353384369674</v>
      </c>
      <c r="CO218" s="219">
        <f t="shared" si="92"/>
        <v>8.6635338436967402</v>
      </c>
      <c r="CP218" s="219" t="b">
        <f t="shared" si="89"/>
        <v>0</v>
      </c>
      <c r="CQ218" s="565">
        <v>17</v>
      </c>
    </row>
    <row r="219" spans="58:95" ht="27" hidden="1" thickBot="1" x14ac:dyDescent="0.35">
      <c r="BF219" s="289"/>
      <c r="CJ219" s="564">
        <v>18</v>
      </c>
      <c r="CK219" s="674">
        <f t="shared" si="90"/>
        <v>168</v>
      </c>
      <c r="CL219" s="605">
        <f t="shared" si="91"/>
        <v>168</v>
      </c>
      <c r="CM219" s="636">
        <f t="shared" si="87"/>
        <v>-36.66353384369674</v>
      </c>
      <c r="CN219" s="219">
        <f t="shared" si="88"/>
        <v>36.66353384369674</v>
      </c>
      <c r="CO219" s="219">
        <f t="shared" si="92"/>
        <v>8.6635338436967402</v>
      </c>
      <c r="CP219" s="219" t="b">
        <f t="shared" si="89"/>
        <v>0</v>
      </c>
      <c r="CQ219" s="565">
        <v>18</v>
      </c>
    </row>
    <row r="220" spans="58:95" ht="27" hidden="1" thickBot="1" x14ac:dyDescent="0.35">
      <c r="BF220" s="289"/>
      <c r="CJ220" s="564">
        <v>19</v>
      </c>
      <c r="CK220" s="674">
        <f t="shared" si="90"/>
        <v>196</v>
      </c>
      <c r="CL220" s="605">
        <f t="shared" si="91"/>
        <v>196</v>
      </c>
      <c r="CM220" s="636">
        <f t="shared" si="87"/>
        <v>-8.6635338436967402</v>
      </c>
      <c r="CN220" s="219">
        <f t="shared" si="88"/>
        <v>8.6635338436967402</v>
      </c>
      <c r="CO220" s="219">
        <f t="shared" si="92"/>
        <v>8.6635338436967402</v>
      </c>
      <c r="CP220" s="219">
        <f t="shared" si="89"/>
        <v>19</v>
      </c>
      <c r="CQ220" s="565">
        <v>19</v>
      </c>
    </row>
    <row r="221" spans="58:95" ht="27" hidden="1" thickBot="1" x14ac:dyDescent="0.35">
      <c r="BF221" s="289"/>
      <c r="CJ221" s="564">
        <v>20</v>
      </c>
      <c r="CK221" s="674">
        <f t="shared" si="90"/>
        <v>224</v>
      </c>
      <c r="CL221" s="605">
        <f t="shared" si="91"/>
        <v>224</v>
      </c>
      <c r="CM221" s="636">
        <f t="shared" si="87"/>
        <v>19.33646615630326</v>
      </c>
      <c r="CN221" s="219">
        <f t="shared" si="88"/>
        <v>19.33646615630326</v>
      </c>
      <c r="CO221" s="219">
        <f t="shared" si="92"/>
        <v>8.6635338436967402</v>
      </c>
      <c r="CP221" s="219" t="b">
        <f t="shared" si="89"/>
        <v>0</v>
      </c>
      <c r="CQ221" s="565">
        <v>20</v>
      </c>
    </row>
    <row r="222" spans="58:95" ht="27" hidden="1" thickBot="1" x14ac:dyDescent="0.35">
      <c r="BF222" s="289"/>
      <c r="CJ222" s="564">
        <v>21</v>
      </c>
      <c r="CK222" s="674">
        <f t="shared" si="90"/>
        <v>252</v>
      </c>
      <c r="CL222" s="605">
        <f t="shared" si="91"/>
        <v>252</v>
      </c>
      <c r="CM222" s="636">
        <f t="shared" si="87"/>
        <v>47.33646615630326</v>
      </c>
      <c r="CN222" s="219">
        <f t="shared" si="88"/>
        <v>47.33646615630326</v>
      </c>
      <c r="CO222" s="219">
        <f t="shared" si="92"/>
        <v>8.6635338436967402</v>
      </c>
      <c r="CP222" s="219" t="b">
        <f t="shared" si="89"/>
        <v>0</v>
      </c>
      <c r="CQ222" s="565">
        <v>21</v>
      </c>
    </row>
    <row r="223" spans="58:95" ht="27" hidden="1" thickBot="1" x14ac:dyDescent="0.35">
      <c r="BF223" s="289"/>
      <c r="CJ223" s="564">
        <v>22</v>
      </c>
      <c r="CK223" s="674">
        <f t="shared" si="90"/>
        <v>280</v>
      </c>
      <c r="CL223" s="605">
        <f t="shared" si="91"/>
        <v>280</v>
      </c>
      <c r="CM223" s="636">
        <f t="shared" si="87"/>
        <v>75.33646615630326</v>
      </c>
      <c r="CN223" s="219">
        <f t="shared" si="88"/>
        <v>75.33646615630326</v>
      </c>
      <c r="CO223" s="219">
        <f t="shared" si="92"/>
        <v>8.6635338436967402</v>
      </c>
      <c r="CP223" s="219" t="b">
        <f t="shared" si="89"/>
        <v>0</v>
      </c>
      <c r="CQ223" s="565">
        <v>22</v>
      </c>
    </row>
    <row r="224" spans="58:95" ht="27" hidden="1" thickBot="1" x14ac:dyDescent="0.35">
      <c r="CJ224" s="564">
        <v>23</v>
      </c>
      <c r="CK224" s="674">
        <f t="shared" si="90"/>
        <v>308</v>
      </c>
      <c r="CL224" s="605">
        <f t="shared" si="91"/>
        <v>308</v>
      </c>
      <c r="CM224" s="636">
        <f t="shared" si="87"/>
        <v>103.33646615630326</v>
      </c>
      <c r="CN224" s="219">
        <f t="shared" si="88"/>
        <v>103.33646615630326</v>
      </c>
      <c r="CO224" s="219">
        <f t="shared" si="92"/>
        <v>8.6635338436967402</v>
      </c>
      <c r="CP224" s="219" t="b">
        <f t="shared" si="89"/>
        <v>0</v>
      </c>
      <c r="CQ224" s="565">
        <v>23</v>
      </c>
    </row>
    <row r="225" spans="88:95" ht="27" hidden="1" thickBot="1" x14ac:dyDescent="0.35">
      <c r="CJ225" s="564">
        <v>24</v>
      </c>
      <c r="CK225" s="674">
        <f t="shared" si="90"/>
        <v>336</v>
      </c>
      <c r="CL225" s="605">
        <f t="shared" si="91"/>
        <v>336</v>
      </c>
      <c r="CM225" s="636">
        <f t="shared" si="87"/>
        <v>131.33646615630326</v>
      </c>
      <c r="CN225" s="219">
        <f t="shared" si="88"/>
        <v>131.33646615630326</v>
      </c>
      <c r="CO225" s="219">
        <f t="shared" si="92"/>
        <v>8.6635338436967402</v>
      </c>
      <c r="CP225" s="219" t="b">
        <f t="shared" si="89"/>
        <v>0</v>
      </c>
      <c r="CQ225" s="565">
        <v>24</v>
      </c>
    </row>
    <row r="226" spans="88:95" ht="27" hidden="1" thickBot="1" x14ac:dyDescent="0.35">
      <c r="CJ226" s="564">
        <v>25</v>
      </c>
      <c r="CK226" s="674">
        <f t="shared" si="90"/>
        <v>364</v>
      </c>
      <c r="CL226" s="605">
        <f t="shared" si="91"/>
        <v>364</v>
      </c>
      <c r="CM226" s="636">
        <f t="shared" si="87"/>
        <v>159.33646615630326</v>
      </c>
      <c r="CN226" s="219">
        <f t="shared" si="88"/>
        <v>159.33646615630326</v>
      </c>
      <c r="CO226" s="219">
        <f t="shared" si="92"/>
        <v>8.6635338436967402</v>
      </c>
      <c r="CP226" s="219" t="b">
        <f t="shared" si="89"/>
        <v>0</v>
      </c>
      <c r="CQ226" s="565">
        <v>25</v>
      </c>
    </row>
    <row r="227" spans="88:95" ht="27" hidden="1" thickBot="1" x14ac:dyDescent="0.35">
      <c r="CJ227" s="564">
        <v>26</v>
      </c>
      <c r="CK227" s="674">
        <f t="shared" si="90"/>
        <v>392</v>
      </c>
      <c r="CL227" s="605">
        <f t="shared" si="91"/>
        <v>392</v>
      </c>
      <c r="CM227" s="636">
        <f t="shared" si="87"/>
        <v>187.33646615630326</v>
      </c>
      <c r="CN227" s="219">
        <f t="shared" si="88"/>
        <v>187.33646615630326</v>
      </c>
      <c r="CO227" s="219">
        <f t="shared" si="92"/>
        <v>8.6635338436967402</v>
      </c>
      <c r="CP227" s="219" t="b">
        <f t="shared" si="89"/>
        <v>0</v>
      </c>
      <c r="CQ227" s="565">
        <v>26</v>
      </c>
    </row>
    <row r="228" spans="88:95" ht="27" hidden="1" thickBot="1" x14ac:dyDescent="0.35">
      <c r="CJ228" s="564">
        <v>27</v>
      </c>
      <c r="CK228" s="674">
        <f t="shared" si="90"/>
        <v>420</v>
      </c>
      <c r="CL228" s="605">
        <f t="shared" si="91"/>
        <v>420</v>
      </c>
      <c r="CM228" s="636">
        <f t="shared" si="87"/>
        <v>215.33646615630326</v>
      </c>
      <c r="CN228" s="219">
        <f t="shared" si="88"/>
        <v>215.33646615630326</v>
      </c>
      <c r="CO228" s="219">
        <f t="shared" si="92"/>
        <v>8.6635338436967402</v>
      </c>
      <c r="CP228" s="219" t="b">
        <f t="shared" si="89"/>
        <v>0</v>
      </c>
      <c r="CQ228" s="565">
        <v>27</v>
      </c>
    </row>
    <row r="229" spans="88:95" ht="27" hidden="1" thickBot="1" x14ac:dyDescent="0.35">
      <c r="CJ229" s="564">
        <v>28</v>
      </c>
      <c r="CK229" s="674">
        <f t="shared" si="90"/>
        <v>448</v>
      </c>
      <c r="CL229" s="605">
        <f t="shared" si="91"/>
        <v>448</v>
      </c>
      <c r="CM229" s="636">
        <f t="shared" si="87"/>
        <v>243.33646615630326</v>
      </c>
      <c r="CN229" s="219">
        <f t="shared" si="88"/>
        <v>243.33646615630326</v>
      </c>
      <c r="CO229" s="219">
        <f t="shared" si="92"/>
        <v>8.6635338436967402</v>
      </c>
      <c r="CP229" s="219" t="b">
        <f t="shared" si="89"/>
        <v>0</v>
      </c>
      <c r="CQ229" s="565">
        <v>28</v>
      </c>
    </row>
    <row r="230" spans="88:95" ht="27" hidden="1" thickBot="1" x14ac:dyDescent="0.35">
      <c r="CJ230" s="564">
        <v>29</v>
      </c>
      <c r="CK230" s="674">
        <f t="shared" si="90"/>
        <v>476</v>
      </c>
      <c r="CL230" s="605">
        <f t="shared" si="91"/>
        <v>476</v>
      </c>
      <c r="CM230" s="636">
        <f t="shared" si="87"/>
        <v>271.33646615630323</v>
      </c>
      <c r="CN230" s="219">
        <f t="shared" si="88"/>
        <v>271.33646615630323</v>
      </c>
      <c r="CO230" s="219">
        <f t="shared" si="92"/>
        <v>8.6635338436967402</v>
      </c>
      <c r="CP230" s="219" t="b">
        <f t="shared" si="89"/>
        <v>0</v>
      </c>
      <c r="CQ230" s="565">
        <v>29</v>
      </c>
    </row>
    <row r="231" spans="88:95" ht="27" hidden="1" thickBot="1" x14ac:dyDescent="0.35">
      <c r="CJ231" s="564">
        <v>30</v>
      </c>
      <c r="CK231" s="674">
        <f t="shared" si="90"/>
        <v>504</v>
      </c>
      <c r="CL231" s="605">
        <f t="shared" si="91"/>
        <v>504</v>
      </c>
      <c r="CM231" s="636">
        <f t="shared" si="87"/>
        <v>299.33646615630323</v>
      </c>
      <c r="CN231" s="219">
        <f t="shared" si="88"/>
        <v>299.33646615630323</v>
      </c>
      <c r="CO231" s="219">
        <f t="shared" si="92"/>
        <v>8.6635338436967402</v>
      </c>
      <c r="CP231" s="219" t="b">
        <f t="shared" si="89"/>
        <v>0</v>
      </c>
      <c r="CQ231" s="565">
        <v>30</v>
      </c>
    </row>
    <row r="232" spans="88:95" ht="27" hidden="1" thickBot="1" x14ac:dyDescent="0.35">
      <c r="CJ232" s="564">
        <v>31</v>
      </c>
      <c r="CK232" s="674">
        <f t="shared" si="90"/>
        <v>532</v>
      </c>
      <c r="CL232" s="605">
        <f t="shared" si="91"/>
        <v>532</v>
      </c>
      <c r="CM232" s="636">
        <f t="shared" si="87"/>
        <v>327.33646615630323</v>
      </c>
      <c r="CN232" s="219">
        <f t="shared" si="88"/>
        <v>327.33646615630323</v>
      </c>
      <c r="CO232" s="219">
        <f t="shared" si="92"/>
        <v>8.6635338436967402</v>
      </c>
      <c r="CP232" s="219" t="b">
        <f t="shared" si="89"/>
        <v>0</v>
      </c>
      <c r="CQ232" s="565">
        <v>31</v>
      </c>
    </row>
    <row r="233" spans="88:95" ht="27" hidden="1" thickBot="1" x14ac:dyDescent="0.35">
      <c r="CJ233" s="564">
        <v>32</v>
      </c>
      <c r="CK233" s="674">
        <f t="shared" si="90"/>
        <v>560</v>
      </c>
      <c r="CL233" s="605">
        <f t="shared" si="91"/>
        <v>560</v>
      </c>
      <c r="CM233" s="636">
        <f t="shared" si="87"/>
        <v>355.33646615630323</v>
      </c>
      <c r="CN233" s="219">
        <f t="shared" si="88"/>
        <v>355.33646615630323</v>
      </c>
      <c r="CO233" s="219">
        <f t="shared" si="92"/>
        <v>8.6635338436967402</v>
      </c>
      <c r="CP233" s="219" t="b">
        <f t="shared" si="89"/>
        <v>0</v>
      </c>
      <c r="CQ233" s="565">
        <v>32</v>
      </c>
    </row>
    <row r="234" spans="88:95" ht="27" hidden="1" thickBot="1" x14ac:dyDescent="0.35">
      <c r="CJ234" s="564">
        <v>33</v>
      </c>
      <c r="CK234" s="674">
        <f t="shared" si="90"/>
        <v>588</v>
      </c>
      <c r="CL234" s="605">
        <f t="shared" si="91"/>
        <v>588</v>
      </c>
      <c r="CM234" s="636">
        <f t="shared" si="87"/>
        <v>383.33646615630323</v>
      </c>
      <c r="CN234" s="219">
        <f t="shared" si="88"/>
        <v>383.33646615630323</v>
      </c>
      <c r="CO234" s="219">
        <f t="shared" si="92"/>
        <v>8.6635338436967402</v>
      </c>
      <c r="CP234" s="219" t="b">
        <f t="shared" si="89"/>
        <v>0</v>
      </c>
      <c r="CQ234" s="565">
        <v>33</v>
      </c>
    </row>
    <row r="235" spans="88:95" ht="27" hidden="1" thickBot="1" x14ac:dyDescent="0.35">
      <c r="CJ235" s="564">
        <v>34</v>
      </c>
      <c r="CK235" s="674">
        <f t="shared" si="90"/>
        <v>616</v>
      </c>
      <c r="CL235" s="605">
        <f t="shared" si="91"/>
        <v>616</v>
      </c>
      <c r="CM235" s="636">
        <f t="shared" si="87"/>
        <v>411.33646615630323</v>
      </c>
      <c r="CN235" s="219">
        <f t="shared" si="88"/>
        <v>411.33646615630323</v>
      </c>
      <c r="CO235" s="219">
        <f t="shared" si="92"/>
        <v>8.6635338436967402</v>
      </c>
      <c r="CP235" s="219" t="b">
        <f t="shared" si="89"/>
        <v>0</v>
      </c>
      <c r="CQ235" s="565">
        <v>34</v>
      </c>
    </row>
    <row r="236" spans="88:95" ht="27" hidden="1" thickBot="1" x14ac:dyDescent="0.35">
      <c r="CJ236" s="564">
        <v>35</v>
      </c>
      <c r="CK236" s="674">
        <f t="shared" si="90"/>
        <v>644</v>
      </c>
      <c r="CL236" s="605">
        <f t="shared" si="91"/>
        <v>644</v>
      </c>
      <c r="CM236" s="636">
        <f t="shared" si="87"/>
        <v>439.33646615630323</v>
      </c>
      <c r="CN236" s="219">
        <f t="shared" si="88"/>
        <v>439.33646615630323</v>
      </c>
      <c r="CO236" s="219">
        <f t="shared" si="92"/>
        <v>8.6635338436967402</v>
      </c>
      <c r="CP236" s="219" t="b">
        <f t="shared" si="89"/>
        <v>0</v>
      </c>
      <c r="CQ236" s="565">
        <v>35</v>
      </c>
    </row>
    <row r="237" spans="88:95" ht="27" hidden="1" thickBot="1" x14ac:dyDescent="0.35">
      <c r="CJ237" s="564">
        <v>36</v>
      </c>
      <c r="CK237" s="674">
        <f t="shared" si="90"/>
        <v>672</v>
      </c>
      <c r="CL237" s="605">
        <f t="shared" si="91"/>
        <v>672</v>
      </c>
      <c r="CM237" s="636">
        <f t="shared" si="87"/>
        <v>467.33646615630323</v>
      </c>
      <c r="CN237" s="219">
        <f t="shared" si="88"/>
        <v>467.33646615630323</v>
      </c>
      <c r="CO237" s="219">
        <f t="shared" si="92"/>
        <v>8.6635338436967402</v>
      </c>
      <c r="CP237" s="219" t="b">
        <f t="shared" si="89"/>
        <v>0</v>
      </c>
      <c r="CQ237" s="565">
        <v>36</v>
      </c>
    </row>
    <row r="238" spans="88:95" ht="27" hidden="1" thickBot="1" x14ac:dyDescent="0.35">
      <c r="CJ238" s="566">
        <v>37</v>
      </c>
      <c r="CK238" s="674">
        <f t="shared" si="90"/>
        <v>700</v>
      </c>
      <c r="CL238" s="605">
        <f t="shared" si="91"/>
        <v>700</v>
      </c>
      <c r="CM238" s="636">
        <f t="shared" si="87"/>
        <v>495.33646615630323</v>
      </c>
      <c r="CN238" s="219">
        <f t="shared" si="88"/>
        <v>495.33646615630323</v>
      </c>
      <c r="CO238" s="219">
        <f t="shared" si="92"/>
        <v>8.6635338436967402</v>
      </c>
      <c r="CP238" s="219" t="b">
        <f t="shared" si="89"/>
        <v>0</v>
      </c>
      <c r="CQ238" s="567">
        <v>37</v>
      </c>
    </row>
    <row r="239" spans="88:95" ht="27" hidden="1" thickBot="1" x14ac:dyDescent="0.35">
      <c r="CJ239" s="566">
        <v>38</v>
      </c>
      <c r="CK239" s="674">
        <f t="shared" si="90"/>
        <v>728</v>
      </c>
      <c r="CL239" s="605">
        <f t="shared" si="91"/>
        <v>728</v>
      </c>
      <c r="CM239" s="636">
        <f t="shared" si="87"/>
        <v>523.33646615630323</v>
      </c>
      <c r="CN239" s="219">
        <f t="shared" si="88"/>
        <v>523.33646615630323</v>
      </c>
      <c r="CO239" s="219">
        <f t="shared" si="92"/>
        <v>8.6635338436967402</v>
      </c>
      <c r="CP239" s="219" t="b">
        <f t="shared" si="89"/>
        <v>0</v>
      </c>
      <c r="CQ239" s="567">
        <v>38</v>
      </c>
    </row>
    <row r="240" spans="88:95" ht="27" hidden="1" thickBot="1" x14ac:dyDescent="0.35">
      <c r="CJ240" s="566">
        <v>39</v>
      </c>
      <c r="CK240" s="674">
        <f t="shared" si="90"/>
        <v>756</v>
      </c>
      <c r="CL240" s="605">
        <f t="shared" si="91"/>
        <v>756</v>
      </c>
      <c r="CM240" s="636">
        <f t="shared" si="87"/>
        <v>551.33646615630323</v>
      </c>
      <c r="CN240" s="219">
        <f t="shared" si="88"/>
        <v>551.33646615630323</v>
      </c>
      <c r="CO240" s="219">
        <f t="shared" si="92"/>
        <v>8.6635338436967402</v>
      </c>
      <c r="CP240" s="219" t="b">
        <f t="shared" si="89"/>
        <v>0</v>
      </c>
      <c r="CQ240" s="567">
        <v>39</v>
      </c>
    </row>
    <row r="241" spans="88:95" ht="27" hidden="1" thickBot="1" x14ac:dyDescent="0.35">
      <c r="CJ241" s="566">
        <v>40</v>
      </c>
      <c r="CK241" s="674">
        <f t="shared" si="90"/>
        <v>784</v>
      </c>
      <c r="CL241" s="605">
        <f t="shared" si="91"/>
        <v>784</v>
      </c>
      <c r="CM241" s="636">
        <f t="shared" si="87"/>
        <v>579.33646615630323</v>
      </c>
      <c r="CN241" s="219">
        <f t="shared" si="88"/>
        <v>579.33646615630323</v>
      </c>
      <c r="CO241" s="219">
        <f t="shared" si="92"/>
        <v>8.6635338436967402</v>
      </c>
      <c r="CP241" s="219" t="b">
        <f t="shared" si="89"/>
        <v>0</v>
      </c>
      <c r="CQ241" s="567">
        <v>40</v>
      </c>
    </row>
    <row r="242" spans="88:95" ht="27" hidden="1" thickBot="1" x14ac:dyDescent="0.35">
      <c r="CJ242" s="568">
        <v>41</v>
      </c>
      <c r="CK242" s="676">
        <f t="shared" si="90"/>
        <v>812</v>
      </c>
      <c r="CL242" s="677">
        <f t="shared" si="91"/>
        <v>812</v>
      </c>
      <c r="CM242" s="636">
        <f t="shared" si="87"/>
        <v>607.33646615630323</v>
      </c>
      <c r="CN242" s="633">
        <f t="shared" si="88"/>
        <v>607.33646615630323</v>
      </c>
      <c r="CO242" s="572">
        <f t="shared" si="92"/>
        <v>8.6635338436967402</v>
      </c>
      <c r="CP242" s="572" t="b">
        <f t="shared" si="89"/>
        <v>0</v>
      </c>
      <c r="CQ242" s="573">
        <v>41</v>
      </c>
    </row>
    <row r="243" spans="88:95" hidden="1" x14ac:dyDescent="0.25"/>
    <row r="244" spans="88:95" hidden="1" x14ac:dyDescent="0.25"/>
    <row r="245" spans="88:95" hidden="1" x14ac:dyDescent="0.25"/>
    <row r="246" spans="88:95" hidden="1" x14ac:dyDescent="0.25"/>
    <row r="247" spans="88:95" hidden="1" x14ac:dyDescent="0.25"/>
    <row r="248" spans="88:95" hidden="1" x14ac:dyDescent="0.25"/>
    <row r="249" spans="88:95" hidden="1" x14ac:dyDescent="0.25"/>
    <row r="250" spans="88:95" hidden="1" x14ac:dyDescent="0.25"/>
    <row r="251" spans="88:95" hidden="1" x14ac:dyDescent="0.25"/>
    <row r="252" spans="88:95" hidden="1" x14ac:dyDescent="0.25"/>
    <row r="253" spans="88:95" hidden="1" x14ac:dyDescent="0.25"/>
    <row r="254" spans="88:95" hidden="1" x14ac:dyDescent="0.25"/>
    <row r="255" spans="88:95" hidden="1" x14ac:dyDescent="0.25"/>
    <row r="256" spans="88:95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</sheetData>
  <sheetProtection algorithmName="SHA-512" hashValue="cti4mSpJjUvNtfJO0huVLj2eGKsbjv1EfXhn78XD2qLOkBCFuGy0FYJMevsLz3/oAEOcFhzc1y53+/OJc7M/Uw==" saltValue="Ou7PGWaq93RhUxahyFEwQw==" spinCount="100000" sheet="1" objects="1" scenarios="1" selectLockedCells="1"/>
  <protectedRanges>
    <protectedRange sqref="B144 B147 D150:D161 B172 D175:D198" name="Range1"/>
  </protectedRanges>
  <mergeCells count="15">
    <mergeCell ref="B126:E126"/>
    <mergeCell ref="BO28:BP28"/>
    <mergeCell ref="DB33:DC33"/>
    <mergeCell ref="BZ33:CA33"/>
    <mergeCell ref="CR30:CS30"/>
    <mergeCell ref="BO30:BP30"/>
    <mergeCell ref="BZ36:CA36"/>
    <mergeCell ref="CR36:CS36"/>
    <mergeCell ref="BT190:BV190"/>
    <mergeCell ref="BT192:BU192"/>
    <mergeCell ref="CF192:CG192"/>
    <mergeCell ref="B142:B143"/>
    <mergeCell ref="AZ147:BA147"/>
    <mergeCell ref="AZ172:BA172"/>
    <mergeCell ref="W147:AA147"/>
  </mergeCells>
  <phoneticPr fontId="2" type="noConversion"/>
  <conditionalFormatting sqref="B150:B161">
    <cfRule type="cellIs" dxfId="334" priority="400" stopIfTrue="1" operator="greaterThan">
      <formula>$B$147</formula>
    </cfRule>
  </conditionalFormatting>
  <conditionalFormatting sqref="B175:B194">
    <cfRule type="cellIs" dxfId="333" priority="337" stopIfTrue="1" operator="greaterThan">
      <formula>$B$172</formula>
    </cfRule>
  </conditionalFormatting>
  <conditionalFormatting sqref="B195:BA195">
    <cfRule type="expression" dxfId="332" priority="21">
      <formula>$B$172&lt;21</formula>
    </cfRule>
  </conditionalFormatting>
  <conditionalFormatting sqref="B196:BA196">
    <cfRule type="expression" dxfId="331" priority="18">
      <formula>$B$172&lt;22</formula>
    </cfRule>
  </conditionalFormatting>
  <conditionalFormatting sqref="B197:BA197">
    <cfRule type="expression" dxfId="330" priority="15">
      <formula>$B$172&lt;23</formula>
    </cfRule>
  </conditionalFormatting>
  <conditionalFormatting sqref="B198:BA198">
    <cfRule type="expression" dxfId="329" priority="12">
      <formula>$B$172&lt;24</formula>
    </cfRule>
  </conditionalFormatting>
  <conditionalFormatting sqref="C134">
    <cfRule type="cellIs" dxfId="328" priority="95" stopIfTrue="1" operator="between">
      <formula>"OVERLOAD"</formula>
      <formula>"OVERLOAD"</formula>
    </cfRule>
  </conditionalFormatting>
  <conditionalFormatting sqref="D143">
    <cfRule type="cellIs" dxfId="327" priority="94" stopIfTrue="1" operator="equal">
      <formula>"USE EXBAR-N AT THE FRONT"</formula>
    </cfRule>
  </conditionalFormatting>
  <conditionalFormatting sqref="D144">
    <cfRule type="cellIs" dxfId="326" priority="93" stopIfTrue="1" operator="equal">
      <formula>"USE EXBAR-N AT THE BACK"</formula>
    </cfRule>
  </conditionalFormatting>
  <conditionalFormatting sqref="D150:D161">
    <cfRule type="cellIs" dxfId="325" priority="401" stopIfTrue="1" operator="notEqual">
      <formula>0</formula>
    </cfRule>
  </conditionalFormatting>
  <conditionalFormatting sqref="D175:D194">
    <cfRule type="cellIs" dxfId="324" priority="340" stopIfTrue="1" operator="notEqual">
      <formula>0</formula>
    </cfRule>
  </conditionalFormatting>
  <conditionalFormatting sqref="D195">
    <cfRule type="cellIs" dxfId="323" priority="25" stopIfTrue="1" operator="notEqual">
      <formula>0</formula>
    </cfRule>
  </conditionalFormatting>
  <conditionalFormatting sqref="D196">
    <cfRule type="cellIs" dxfId="322" priority="20" stopIfTrue="1" operator="notEqual">
      <formula>0</formula>
    </cfRule>
  </conditionalFormatting>
  <conditionalFormatting sqref="D197">
    <cfRule type="cellIs" dxfId="321" priority="17" stopIfTrue="1" operator="notEqual">
      <formula>0</formula>
    </cfRule>
  </conditionalFormatting>
  <conditionalFormatting sqref="D198">
    <cfRule type="cellIs" dxfId="320" priority="14" stopIfTrue="1" operator="notEqual">
      <formula>0</formula>
    </cfRule>
  </conditionalFormatting>
  <conditionalFormatting sqref="D141:G142">
    <cfRule type="cellIs" dxfId="319" priority="402" stopIfTrue="1" operator="equal">
      <formula>"change the angle of frame or of cabinets"</formula>
    </cfRule>
  </conditionalFormatting>
  <conditionalFormatting sqref="D150:G150">
    <cfRule type="expression" dxfId="318" priority="145" stopIfTrue="1">
      <formula>$B$147&lt;1</formula>
    </cfRule>
  </conditionalFormatting>
  <conditionalFormatting sqref="D176:G176 AB176:AE176 AX176:BA176">
    <cfRule type="expression" dxfId="317" priority="334" stopIfTrue="1">
      <formula>$B$172&lt;2</formula>
    </cfRule>
  </conditionalFormatting>
  <conditionalFormatting sqref="D177:G177 AB177:AE177 AX177:BA177">
    <cfRule type="expression" dxfId="316" priority="333" stopIfTrue="1">
      <formula>$B$172&lt;3</formula>
    </cfRule>
  </conditionalFormatting>
  <conditionalFormatting sqref="D178:G178 AB178:AE178 AX178:BA178">
    <cfRule type="expression" dxfId="315" priority="332" stopIfTrue="1">
      <formula>$B$172&lt;4</formula>
    </cfRule>
  </conditionalFormatting>
  <conditionalFormatting sqref="D179:G179 AB179:AE179 AX179:BA179">
    <cfRule type="expression" dxfId="314" priority="331" stopIfTrue="1">
      <formula>$B$172&lt;5</formula>
    </cfRule>
  </conditionalFormatting>
  <conditionalFormatting sqref="D180:G180 AB180:AE180 AX180:BA180">
    <cfRule type="expression" dxfId="313" priority="330">
      <formula>$B$172&lt;6</formula>
    </cfRule>
  </conditionalFormatting>
  <conditionalFormatting sqref="D181:G181 AB181:AE181 AX181:BA181">
    <cfRule type="expression" dxfId="312" priority="329">
      <formula>$B$172&lt;7</formula>
    </cfRule>
  </conditionalFormatting>
  <conditionalFormatting sqref="D182:G182 AB182:AE182 AX182:BA182">
    <cfRule type="expression" dxfId="311" priority="328">
      <formula>$B$172&lt;8</formula>
    </cfRule>
  </conditionalFormatting>
  <conditionalFormatting sqref="D183:G183 AB183:AE183 AX183:BA183">
    <cfRule type="expression" dxfId="310" priority="327">
      <formula>$B$172&lt;9</formula>
    </cfRule>
  </conditionalFormatting>
  <conditionalFormatting sqref="D184:G184 AB184:AE184 AX184:BA184">
    <cfRule type="expression" dxfId="309" priority="326">
      <formula>$B$172&lt;10</formula>
    </cfRule>
  </conditionalFormatting>
  <conditionalFormatting sqref="D185:G185 AB185:AE185 AX185:BA185">
    <cfRule type="expression" dxfId="308" priority="325">
      <formula>$B$172&lt;11</formula>
    </cfRule>
  </conditionalFormatting>
  <conditionalFormatting sqref="D186:G186 AB186:AE186 AX186:BA186">
    <cfRule type="expression" dxfId="307" priority="324">
      <formula>$B$172&lt;12</formula>
    </cfRule>
  </conditionalFormatting>
  <conditionalFormatting sqref="D187:G187 AB187:AE187 AX187:BA187">
    <cfRule type="expression" dxfId="306" priority="323">
      <formula>$B$172&lt;13</formula>
    </cfRule>
  </conditionalFormatting>
  <conditionalFormatting sqref="D188:G188 AB188:AE188 AX188:BA188">
    <cfRule type="expression" dxfId="305" priority="322">
      <formula>$B$172&lt;14</formula>
    </cfRule>
  </conditionalFormatting>
  <conditionalFormatting sqref="D189:G189 AB189:AE189 AX189:BA189">
    <cfRule type="expression" dxfId="304" priority="321">
      <formula>$B$172&lt;15</formula>
    </cfRule>
  </conditionalFormatting>
  <conditionalFormatting sqref="D190:G190 AB190:AE190 AX190:BA190">
    <cfRule type="expression" dxfId="303" priority="320">
      <formula>$B$172&lt;16</formula>
    </cfRule>
  </conditionalFormatting>
  <conditionalFormatting sqref="D191:G191 AB191:AE191 AX191:BA191">
    <cfRule type="expression" dxfId="302" priority="319">
      <formula>$B$172&lt;17</formula>
    </cfRule>
  </conditionalFormatting>
  <conditionalFormatting sqref="D192:G192 AB192:AE192 AX192:BA192">
    <cfRule type="expression" dxfId="301" priority="318">
      <formula>$B$172&lt;18</formula>
    </cfRule>
  </conditionalFormatting>
  <conditionalFormatting sqref="D193:G193 AB193:AE193 AX193:BA193">
    <cfRule type="expression" dxfId="300" priority="317">
      <formula>$B$172&lt;19</formula>
    </cfRule>
  </conditionalFormatting>
  <conditionalFormatting sqref="D194:G194 AB194:AE194 AX194:BA194">
    <cfRule type="expression" dxfId="299" priority="316">
      <formula>$B$172&lt;20</formula>
    </cfRule>
  </conditionalFormatting>
  <conditionalFormatting sqref="D151:AB151">
    <cfRule type="expression" dxfId="298" priority="144" stopIfTrue="1">
      <formula>$B$147&lt;2</formula>
    </cfRule>
  </conditionalFormatting>
  <conditionalFormatting sqref="D152:AB152">
    <cfRule type="expression" dxfId="297" priority="143" stopIfTrue="1">
      <formula>$B$147&lt;3</formula>
    </cfRule>
  </conditionalFormatting>
  <conditionalFormatting sqref="D153:AB153">
    <cfRule type="expression" dxfId="296" priority="142" stopIfTrue="1">
      <formula>$B$147&lt;4</formula>
    </cfRule>
  </conditionalFormatting>
  <conditionalFormatting sqref="D154:AB154">
    <cfRule type="expression" dxfId="295" priority="141" stopIfTrue="1">
      <formula>$B$147&lt;5</formula>
    </cfRule>
  </conditionalFormatting>
  <conditionalFormatting sqref="D155:AB155">
    <cfRule type="expression" dxfId="294" priority="140" stopIfTrue="1">
      <formula>$B$147&lt;6</formula>
    </cfRule>
  </conditionalFormatting>
  <conditionalFormatting sqref="D156:AB156">
    <cfRule type="expression" dxfId="293" priority="139" stopIfTrue="1">
      <formula>$B$147&lt;7</formula>
    </cfRule>
  </conditionalFormatting>
  <conditionalFormatting sqref="D157:AB157">
    <cfRule type="expression" dxfId="292" priority="138" stopIfTrue="1">
      <formula>$B$147&lt;8</formula>
    </cfRule>
  </conditionalFormatting>
  <conditionalFormatting sqref="D158:AB158">
    <cfRule type="expression" dxfId="291" priority="137" stopIfTrue="1">
      <formula>$B$147&lt;9</formula>
    </cfRule>
  </conditionalFormatting>
  <conditionalFormatting sqref="D159:AB159">
    <cfRule type="expression" dxfId="290" priority="136" stopIfTrue="1">
      <formula>$B$147&lt;10</formula>
    </cfRule>
  </conditionalFormatting>
  <conditionalFormatting sqref="D160:AB160">
    <cfRule type="expression" dxfId="289" priority="135" stopIfTrue="1">
      <formula>$B$147&lt;11</formula>
    </cfRule>
  </conditionalFormatting>
  <conditionalFormatting sqref="D161:AB161 AX161:BA161">
    <cfRule type="expression" dxfId="288" priority="133" stopIfTrue="1">
      <formula>$B$147&lt;12</formula>
    </cfRule>
  </conditionalFormatting>
  <conditionalFormatting sqref="E175">
    <cfRule type="expression" dxfId="287" priority="88" stopIfTrue="1">
      <formula>$B$183&lt;1</formula>
    </cfRule>
  </conditionalFormatting>
  <conditionalFormatting sqref="F143:G143">
    <cfRule type="cellIs" dxfId="286" priority="404" stopIfTrue="1" operator="equal">
      <formula>"USE EXBAR VR AT THE FRONT"</formula>
    </cfRule>
  </conditionalFormatting>
  <conditionalFormatting sqref="F144:G144">
    <cfRule type="cellIs" dxfId="285" priority="403" stopIfTrue="1" operator="equal">
      <formula>"USE EXBAR VR AT THE BACK"</formula>
    </cfRule>
  </conditionalFormatting>
  <conditionalFormatting sqref="K150:O150 T150:Y150 AB150">
    <cfRule type="expression" dxfId="284" priority="398" stopIfTrue="1">
      <formula>$B$147&lt;1</formula>
    </cfRule>
  </conditionalFormatting>
  <conditionalFormatting sqref="U26 AB26:AE26 U29:U33 AB29:AE33 U60 AB60:AE60 U103:U134 AB103:AE134">
    <cfRule type="cellIs" dxfId="283" priority="409" stopIfTrue="1" operator="between">
      <formula>"OVERLOAD"</formula>
      <formula>"OVERLOAD"</formula>
    </cfRule>
  </conditionalFormatting>
  <conditionalFormatting sqref="Z150:AA150">
    <cfRule type="expression" dxfId="282" priority="128" stopIfTrue="1">
      <formula>$B$150&lt;1</formula>
    </cfRule>
  </conditionalFormatting>
  <conditionalFormatting sqref="AC151:AC161">
    <cfRule type="expression" dxfId="281" priority="124" stopIfTrue="1">
      <formula>$B$150&lt;1</formula>
    </cfRule>
  </conditionalFormatting>
  <conditionalFormatting sqref="AC150:AD150">
    <cfRule type="expression" dxfId="280" priority="127" stopIfTrue="1">
      <formula>$B$150&lt;1</formula>
    </cfRule>
  </conditionalFormatting>
  <conditionalFormatting sqref="AD150:AE161">
    <cfRule type="expression" dxfId="279" priority="96" stopIfTrue="1">
      <formula>$B$150&lt;1</formula>
    </cfRule>
  </conditionalFormatting>
  <conditionalFormatting sqref="AX176:AY194 D175 F175:G175 AB175:AE175 AX175:BA175">
    <cfRule type="expression" dxfId="278" priority="335" stopIfTrue="1">
      <formula>$B$172&lt;1</formula>
    </cfRule>
  </conditionalFormatting>
  <conditionalFormatting sqref="AX151:BA151">
    <cfRule type="expression" dxfId="277" priority="396" stopIfTrue="1">
      <formula>$B$147&lt;2</formula>
    </cfRule>
  </conditionalFormatting>
  <conditionalFormatting sqref="AX152:BA152">
    <cfRule type="expression" dxfId="276" priority="395" stopIfTrue="1">
      <formula>$B$147&lt;3</formula>
    </cfRule>
  </conditionalFormatting>
  <conditionalFormatting sqref="AX153:BA153">
    <cfRule type="expression" dxfId="275" priority="394" stopIfTrue="1">
      <formula>$B$147&lt;4</formula>
    </cfRule>
  </conditionalFormatting>
  <conditionalFormatting sqref="AX154:BA154">
    <cfRule type="expression" dxfId="274" priority="393" stopIfTrue="1">
      <formula>$B$147&lt;5</formula>
    </cfRule>
  </conditionalFormatting>
  <conditionalFormatting sqref="AX155:BA155">
    <cfRule type="expression" dxfId="273" priority="392" stopIfTrue="1">
      <formula>$B$147&lt;6</formula>
    </cfRule>
  </conditionalFormatting>
  <conditionalFormatting sqref="AX156:BA156">
    <cfRule type="expression" dxfId="272" priority="391" stopIfTrue="1">
      <formula>$B$147&lt;7</formula>
    </cfRule>
  </conditionalFormatting>
  <conditionalFormatting sqref="AX157:BA157">
    <cfRule type="expression" dxfId="271" priority="390" stopIfTrue="1">
      <formula>$B$147&lt;8</formula>
    </cfRule>
  </conditionalFormatting>
  <conditionalFormatting sqref="AX158:BA158">
    <cfRule type="expression" dxfId="270" priority="389" stopIfTrue="1">
      <formula>$B$147&lt;9</formula>
    </cfRule>
  </conditionalFormatting>
  <conditionalFormatting sqref="AX159:BA159">
    <cfRule type="expression" dxfId="269" priority="192" stopIfTrue="1">
      <formula>$B$147&lt;10</formula>
    </cfRule>
  </conditionalFormatting>
  <conditionalFormatting sqref="AX160:BA160">
    <cfRule type="expression" dxfId="268" priority="148" stopIfTrue="1">
      <formula>$B$147&lt;11</formula>
    </cfRule>
  </conditionalFormatting>
  <conditionalFormatting sqref="AZ150:BA161">
    <cfRule type="cellIs" dxfId="267" priority="397" stopIfTrue="1" operator="lessThan">
      <formula>10</formula>
    </cfRule>
  </conditionalFormatting>
  <conditionalFormatting sqref="AZ175:BA194">
    <cfRule type="cellIs" dxfId="266" priority="336" stopIfTrue="1" operator="lessThan">
      <formula>10</formula>
    </cfRule>
  </conditionalFormatting>
  <conditionalFormatting sqref="AZ195:BA195">
    <cfRule type="cellIs" dxfId="265" priority="23" stopIfTrue="1" operator="lessThan">
      <formula>10</formula>
    </cfRule>
  </conditionalFormatting>
  <conditionalFormatting sqref="AZ196:BA196">
    <cfRule type="cellIs" dxfId="264" priority="19" stopIfTrue="1" operator="lessThan">
      <formula>10</formula>
    </cfRule>
  </conditionalFormatting>
  <conditionalFormatting sqref="AZ197:BA197">
    <cfRule type="cellIs" dxfId="263" priority="16" stopIfTrue="1" operator="lessThan">
      <formula>10</formula>
    </cfRule>
  </conditionalFormatting>
  <conditionalFormatting sqref="AZ198:BA198">
    <cfRule type="cellIs" dxfId="262" priority="13" stopIfTrue="1" operator="lessThan">
      <formula>10</formula>
    </cfRule>
  </conditionalFormatting>
  <conditionalFormatting sqref="BL29">
    <cfRule type="cellIs" dxfId="261" priority="73" stopIfTrue="1" operator="equal">
      <formula>"negative force at the motor"</formula>
    </cfRule>
  </conditionalFormatting>
  <conditionalFormatting sqref="BL29:BL30">
    <cfRule type="cellIs" dxfId="260" priority="72" operator="equal">
      <formula>"""OK"""</formula>
    </cfRule>
  </conditionalFormatting>
  <conditionalFormatting sqref="BL30">
    <cfRule type="cellIs" dxfId="259" priority="77" stopIfTrue="1" operator="equal">
      <formula>"overload"</formula>
    </cfRule>
  </conditionalFormatting>
  <conditionalFormatting sqref="BL32">
    <cfRule type="cellIs" dxfId="258" priority="71" stopIfTrue="1" operator="equal">
      <formula>"negative force at the motor"</formula>
    </cfRule>
  </conditionalFormatting>
  <conditionalFormatting sqref="BL32:BL33">
    <cfRule type="cellIs" dxfId="257" priority="70" operator="equal">
      <formula>"""OK"""</formula>
    </cfRule>
  </conditionalFormatting>
  <conditionalFormatting sqref="BL35">
    <cfRule type="cellIs" dxfId="256" priority="69" stopIfTrue="1" operator="equal">
      <formula>"negative force at the motor"</formula>
    </cfRule>
  </conditionalFormatting>
  <conditionalFormatting sqref="BL35:BL36">
    <cfRule type="cellIs" dxfId="255" priority="68" operator="equal">
      <formula>"""OK"""</formula>
    </cfRule>
  </conditionalFormatting>
  <conditionalFormatting sqref="BL59">
    <cfRule type="expression" dxfId="254" priority="8">
      <formula>SUM($BZ$58:$CS$58)=0</formula>
    </cfRule>
    <cfRule type="cellIs" dxfId="253" priority="5" operator="equal">
      <formula>"""OK"""</formula>
    </cfRule>
    <cfRule type="cellIs" dxfId="252" priority="6" stopIfTrue="1" operator="equal">
      <formula>"overload"</formula>
    </cfRule>
    <cfRule type="expression" dxfId="251" priority="7">
      <formula>SUM($BZ$58:$CS$58)=0</formula>
    </cfRule>
    <cfRule type="expression" dxfId="250" priority="1">
      <formula>$B$144&lt;&gt;0</formula>
    </cfRule>
  </conditionalFormatting>
  <conditionalFormatting sqref="BL64 BL117 BL33 BL36">
    <cfRule type="cellIs" dxfId="249" priority="75" stopIfTrue="1" operator="equal">
      <formula>"overload"</formula>
    </cfRule>
  </conditionalFormatting>
  <conditionalFormatting sqref="BL117 BL64">
    <cfRule type="cellIs" dxfId="248" priority="74" operator="equal">
      <formula>"""OK"""</formula>
    </cfRule>
  </conditionalFormatting>
  <conditionalFormatting sqref="BL117">
    <cfRule type="expression" dxfId="247" priority="4">
      <formula>$B$144&lt;&gt;0</formula>
    </cfRule>
  </conditionalFormatting>
  <conditionalFormatting sqref="BM58:BM59">
    <cfRule type="expression" dxfId="246" priority="3">
      <formula>SUM($BZ$58:$CS$58)=0</formula>
    </cfRule>
    <cfRule type="expression" dxfId="245" priority="2">
      <formula>$B$144&lt;&gt;0</formula>
    </cfRule>
  </conditionalFormatting>
  <conditionalFormatting sqref="BM116:BM117">
    <cfRule type="expression" dxfId="244" priority="10">
      <formula>$B$144&lt;&gt;0</formula>
    </cfRule>
  </conditionalFormatting>
  <conditionalFormatting sqref="BO116:CG116">
    <cfRule type="expression" dxfId="243" priority="27">
      <formula>$B$144=0</formula>
    </cfRule>
  </conditionalFormatting>
  <conditionalFormatting sqref="BZ58:CS58">
    <cfRule type="cellIs" dxfId="242" priority="33" operator="equal">
      <formula>0</formula>
    </cfRule>
    <cfRule type="expression" dxfId="241" priority="34">
      <formula>$B$144=0</formula>
    </cfRule>
  </conditionalFormatting>
  <conditionalFormatting sqref="CH116:CP116">
    <cfRule type="expression" dxfId="240" priority="28">
      <formula>$B$144=0</formula>
    </cfRule>
  </conditionalFormatting>
  <conditionalFormatting sqref="CQ116">
    <cfRule type="expression" dxfId="239" priority="26">
      <formula>$B$144=0</formula>
    </cfRule>
  </conditionalFormatting>
  <conditionalFormatting sqref="CR116:DC116">
    <cfRule type="expression" dxfId="238" priority="32">
      <formula>$B$144=0</formula>
    </cfRule>
  </conditionalFormatting>
  <dataValidations count="8">
    <dataValidation type="decimal" allowBlank="1" showInputMessage="1" showErrorMessage="1" sqref="F150:G150 F175:G175" xr:uid="{00000000-0002-0000-0200-000000000000}">
      <formula1>0</formula1>
      <formula2>4</formula2>
    </dataValidation>
    <dataValidation type="decimal" allowBlank="1" showInputMessage="1" showErrorMessage="1" sqref="G151:G161 G176:G198 F152:F161 F177:F198" xr:uid="{00000000-0002-0000-0200-000001000000}">
      <formula1>0</formula1>
      <formula2>8</formula2>
    </dataValidation>
    <dataValidation type="whole" allowBlank="1" showInputMessage="1" showErrorMessage="1" errorTitle="Coda Audio" error="YOU HAVE ENTERED A WRONG NUMBER OF CABINETS" promptTitle="Coda Audio" prompt="ENTER THE NUMBER OF CABINETS FROM 1 UP TO 12" sqref="B147" xr:uid="{00000000-0002-0000-0200-000002000000}">
      <formula1>1</formula1>
      <formula2>12</formula2>
    </dataValidation>
    <dataValidation type="whole" allowBlank="1" showInputMessage="1" showErrorMessage="1" errorTitle="Coda Audio" error="YOU HAVE ENTERED A WRONG NUMBER OF CABINETS" promptTitle="Coda Audio" prompt="ENTER THE NUMBER OF CABINETS FROM 1 UP TO 24" sqref="B172" xr:uid="{00000000-0002-0000-0200-000003000000}">
      <formula1>1</formula1>
      <formula2>24</formula2>
    </dataValidation>
    <dataValidation type="list" allowBlank="1" showDropDown="1" showInputMessage="1" showErrorMessage="1" sqref="D175" xr:uid="{00000000-0002-0000-0200-000004000000}">
      <formula1>"-6,-5,-4,-3,-2,-1,0,1,2,3,4,5,6"</formula1>
    </dataValidation>
    <dataValidation type="list" allowBlank="1" showDropDown="1" showInputMessage="1" showErrorMessage="1" sqref="D150:D161" xr:uid="{00000000-0002-0000-0200-000005000000}">
      <formula1>"0,2,5"</formula1>
    </dataValidation>
    <dataValidation type="decimal" allowBlank="1" showInputMessage="1" showErrorMessage="1" sqref="B144" xr:uid="{00000000-0002-0000-0200-000006000000}">
      <formula1>-89.9</formula1>
      <formula2>89.9</formula2>
    </dataValidation>
    <dataValidation type="list" allowBlank="1" showDropDown="1" showInputMessage="1" showErrorMessage="1" sqref="D176:D198" xr:uid="{00000000-0002-0000-0200-000007000000}">
      <formula1>"0,1,2,3,4,5,6,7,8,10,12"</formula1>
    </dataValidation>
  </dataValidations>
  <pageMargins left="0.75" right="0.75" top="1" bottom="1" header="0.5" footer="0.5"/>
  <pageSetup paperSize="9" orientation="portrait" horizontalDpi="4294967293" verticalDpi="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C000"/>
  </sheetPr>
  <dimension ref="A1:DA279"/>
  <sheetViews>
    <sheetView topLeftCell="A27" zoomScale="50" zoomScaleNormal="50" workbookViewId="0">
      <selection activeCell="B201" sqref="B201"/>
    </sheetView>
  </sheetViews>
  <sheetFormatPr baseColWidth="10" defaultColWidth="9.1640625" defaultRowHeight="28" x14ac:dyDescent="0.3"/>
  <cols>
    <col min="1" max="1" width="3.83203125" customWidth="1"/>
    <col min="2" max="2" width="34.5" style="15" customWidth="1"/>
    <col min="3" max="3" width="30.1640625" style="15" hidden="1" customWidth="1"/>
    <col min="4" max="4" width="31" customWidth="1"/>
    <col min="5" max="5" width="33.6640625" customWidth="1"/>
    <col min="6" max="6" width="33.5" hidden="1" customWidth="1"/>
    <col min="7" max="7" width="13.5" hidden="1" customWidth="1"/>
    <col min="8" max="8" width="17.6640625" style="27" hidden="1" customWidth="1"/>
    <col min="9" max="9" width="16.5" style="27" hidden="1" customWidth="1"/>
    <col min="10" max="14" width="18.83203125" style="27" hidden="1" customWidth="1"/>
    <col min="15" max="15" width="10" style="27" hidden="1" customWidth="1"/>
    <col min="16" max="16" width="7.83203125" style="27" hidden="1" customWidth="1"/>
    <col min="17" max="17" width="19.6640625" style="27" hidden="1" customWidth="1"/>
    <col min="18" max="18" width="27.6640625" style="27" hidden="1" customWidth="1"/>
    <col min="19" max="19" width="19.6640625" style="27" hidden="1" customWidth="1"/>
    <col min="20" max="20" width="22.33203125" style="27" hidden="1" customWidth="1"/>
    <col min="21" max="21" width="34.5" style="27" hidden="1" customWidth="1"/>
    <col min="22" max="22" width="18.83203125" style="27" hidden="1" customWidth="1"/>
    <col min="23" max="23" width="17.1640625" style="27" hidden="1" customWidth="1"/>
    <col min="24" max="24" width="16.5" style="27" hidden="1" customWidth="1"/>
    <col min="25" max="26" width="18.83203125" style="27" hidden="1" customWidth="1"/>
    <col min="27" max="27" width="19.6640625" style="27" hidden="1" customWidth="1"/>
    <col min="28" max="28" width="38" style="27" customWidth="1"/>
    <col min="29" max="29" width="26.33203125" style="27" hidden="1" customWidth="1"/>
    <col min="30" max="31" width="13.33203125" style="27" hidden="1" customWidth="1"/>
    <col min="32" max="32" width="44.6640625" style="27" hidden="1" customWidth="1"/>
    <col min="33" max="33" width="35.5" style="27" hidden="1" customWidth="1"/>
    <col min="34" max="34" width="17.33203125" style="27" hidden="1" customWidth="1"/>
    <col min="35" max="35" width="20.83203125" style="27" hidden="1" customWidth="1"/>
    <col min="36" max="36" width="15.5" style="27" hidden="1" customWidth="1"/>
    <col min="37" max="37" width="18.83203125" style="27" hidden="1" customWidth="1"/>
    <col min="38" max="38" width="138.1640625" style="27" hidden="1" customWidth="1"/>
    <col min="39" max="39" width="19.33203125" style="27" hidden="1" customWidth="1"/>
    <col min="40" max="40" width="22.5" style="27" hidden="1" customWidth="1"/>
    <col min="41" max="41" width="75.33203125" style="27" hidden="1" customWidth="1"/>
    <col min="42" max="42" width="55.33203125" style="27" hidden="1" customWidth="1"/>
    <col min="43" max="43" width="35.33203125" style="27" hidden="1" customWidth="1"/>
    <col min="44" max="44" width="48.83203125" style="27" hidden="1" customWidth="1"/>
    <col min="45" max="45" width="18.83203125" style="27" hidden="1" customWidth="1"/>
    <col min="46" max="46" width="20" style="27" hidden="1" customWidth="1"/>
    <col min="47" max="47" width="19.6640625" style="27" hidden="1" customWidth="1"/>
    <col min="48" max="48" width="18.83203125" style="27" hidden="1" customWidth="1"/>
    <col min="49" max="49" width="19.83203125" style="27" hidden="1" customWidth="1"/>
    <col min="50" max="50" width="19.6640625" style="27" hidden="1" customWidth="1"/>
    <col min="51" max="52" width="12.33203125" style="27" hidden="1" customWidth="1"/>
    <col min="53" max="54" width="12" style="27" customWidth="1"/>
    <col min="55" max="55" width="34.5" hidden="1" customWidth="1"/>
    <col min="56" max="56" width="22.5" hidden="1" customWidth="1"/>
    <col min="57" max="57" width="19.33203125" hidden="1" customWidth="1"/>
    <col min="58" max="58" width="10.5" style="746" hidden="1" customWidth="1"/>
    <col min="59" max="59" width="22.83203125" style="667" hidden="1" customWidth="1"/>
    <col min="60" max="60" width="30" customWidth="1"/>
    <col min="61" max="61" width="35.6640625" style="22" customWidth="1"/>
    <col min="62" max="62" width="51" customWidth="1"/>
    <col min="63" max="103" width="7.1640625" customWidth="1"/>
    <col min="104" max="104" width="12.33203125" hidden="1" customWidth="1"/>
    <col min="105" max="105" width="39.5" hidden="1" customWidth="1"/>
    <col min="106" max="139" width="0" hidden="1" customWidth="1"/>
  </cols>
  <sheetData>
    <row r="1" spans="2:15" hidden="1" x14ac:dyDescent="0.3">
      <c r="D1" s="368" t="s">
        <v>76</v>
      </c>
      <c r="E1" s="368" t="s">
        <v>77</v>
      </c>
      <c r="F1" s="368" t="s">
        <v>78</v>
      </c>
      <c r="G1" s="878" t="s">
        <v>202</v>
      </c>
      <c r="H1" s="879">
        <v>5800</v>
      </c>
      <c r="I1" s="880"/>
      <c r="J1" s="880"/>
      <c r="K1" s="880"/>
      <c r="L1" s="880"/>
      <c r="M1" s="880"/>
      <c r="N1" s="880"/>
      <c r="O1" s="881"/>
    </row>
    <row r="2" spans="2:15" hidden="1" x14ac:dyDescent="0.3">
      <c r="B2" s="290" t="s">
        <v>26</v>
      </c>
      <c r="C2" s="641">
        <v>532</v>
      </c>
      <c r="D2" s="642">
        <f>+COS(($B$137*-1)*3.14159265358979/180)*C2</f>
        <v>532</v>
      </c>
      <c r="E2" s="641">
        <f>+COS(($B$137*-1)*3.14159265358979/180)*28</f>
        <v>28</v>
      </c>
      <c r="F2" s="641">
        <f>+COS((($B$181*-1)+85.383547)*3.14159265358979/180)*99.3974873</f>
        <v>11.452817209825643</v>
      </c>
      <c r="G2" s="813" t="s">
        <v>203</v>
      </c>
      <c r="H2" s="882">
        <v>60</v>
      </c>
      <c r="I2" s="22"/>
      <c r="J2" s="22"/>
      <c r="K2" s="22"/>
      <c r="L2" s="22"/>
      <c r="M2" s="22"/>
      <c r="N2" s="22"/>
      <c r="O2" s="883"/>
    </row>
    <row r="3" spans="2:15" ht="29" hidden="1" thickBot="1" x14ac:dyDescent="0.35">
      <c r="B3" s="643" t="s">
        <v>96</v>
      </c>
      <c r="C3" s="644">
        <f>+C9-8.0000223</f>
        <v>180.44068073920471</v>
      </c>
      <c r="D3" s="642">
        <f>+C9-F2</f>
        <v>176.98788582937908</v>
      </c>
      <c r="G3" s="813" t="s">
        <v>204</v>
      </c>
      <c r="H3" s="884">
        <v>168</v>
      </c>
      <c r="I3" s="105"/>
      <c r="J3" s="22"/>
      <c r="K3" s="22"/>
      <c r="L3" s="22"/>
      <c r="M3" s="22"/>
      <c r="N3" s="22"/>
      <c r="O3" s="883"/>
    </row>
    <row r="4" spans="2:15" ht="66" hidden="1" thickBot="1" x14ac:dyDescent="0.35">
      <c r="B4" s="645" t="s">
        <v>97</v>
      </c>
      <c r="C4" s="641">
        <v>784</v>
      </c>
      <c r="D4" s="642">
        <f>+COS(($B$137*-1)*3.14159265358979/180)*C4</f>
        <v>784</v>
      </c>
      <c r="G4" s="885" t="s">
        <v>205</v>
      </c>
      <c r="H4" s="886">
        <v>616</v>
      </c>
      <c r="I4" s="814">
        <v>1</v>
      </c>
      <c r="J4" s="937" t="s">
        <v>168</v>
      </c>
      <c r="K4" s="938"/>
      <c r="L4" s="938"/>
      <c r="M4" s="938"/>
      <c r="N4" s="22"/>
      <c r="O4" s="883"/>
    </row>
    <row r="5" spans="2:15" ht="44" hidden="1" x14ac:dyDescent="0.3">
      <c r="B5" s="645" t="s">
        <v>98</v>
      </c>
      <c r="C5" s="641">
        <f>+C9+300</f>
        <v>488.44070303920472</v>
      </c>
      <c r="D5" s="642">
        <f>+(COS(($B$137*-1)*3.14159265358979/180)*308)+$D$3</f>
        <v>484.98788582937908</v>
      </c>
      <c r="G5" s="885" t="s">
        <v>206</v>
      </c>
      <c r="H5" s="886">
        <v>504</v>
      </c>
      <c r="I5" s="888" t="s">
        <v>210</v>
      </c>
      <c r="J5" s="816" t="s">
        <v>169</v>
      </c>
      <c r="K5" s="816" t="s">
        <v>170</v>
      </c>
      <c r="L5" s="817" t="s">
        <v>171</v>
      </c>
      <c r="M5" s="887"/>
      <c r="N5" s="22"/>
      <c r="O5" s="883"/>
    </row>
    <row r="6" spans="2:15" hidden="1" x14ac:dyDescent="0.3">
      <c r="B6" s="110"/>
      <c r="C6" s="110"/>
      <c r="G6" s="885" t="s">
        <v>207</v>
      </c>
      <c r="H6" s="886">
        <v>448</v>
      </c>
      <c r="I6" s="22"/>
      <c r="J6" s="818">
        <f>+H9/H8*BK29</f>
        <v>112.01512491315226</v>
      </c>
      <c r="K6" s="818">
        <f>((H8-H9)/H8)*BK29</f>
        <v>-74.676749942101509</v>
      </c>
      <c r="L6" s="818">
        <f>+CO29</f>
        <v>60.561625028949251</v>
      </c>
      <c r="M6" s="816" t="s">
        <v>172</v>
      </c>
      <c r="N6" s="22"/>
      <c r="O6" s="883"/>
    </row>
    <row r="7" spans="2:15" hidden="1" x14ac:dyDescent="0.3">
      <c r="B7" s="683" t="s">
        <v>18</v>
      </c>
      <c r="C7" s="521">
        <f>+C11+C14+9.4+7.5+7.5+0.5+10</f>
        <v>97.9</v>
      </c>
      <c r="D7" s="654" t="s">
        <v>102</v>
      </c>
      <c r="E7" s="40" t="s">
        <v>145</v>
      </c>
      <c r="G7" s="889" t="s">
        <v>208</v>
      </c>
      <c r="H7" s="819">
        <f>(+SIN(($B$137*-1)*3.14159265358979/180)*H2)</f>
        <v>0</v>
      </c>
      <c r="I7" s="854"/>
      <c r="J7" s="820">
        <f>ABS($H$1/J6)</f>
        <v>51.778721886860055</v>
      </c>
      <c r="K7" s="820">
        <f>ABS($H$1/K6)</f>
        <v>77.668082830290075</v>
      </c>
      <c r="L7" s="820">
        <f>ABS($H$1/L6)</f>
        <v>95.770217480583185</v>
      </c>
      <c r="M7" s="821" t="s">
        <v>173</v>
      </c>
      <c r="N7" s="22"/>
      <c r="O7" s="883"/>
    </row>
    <row r="8" spans="2:15" hidden="1" x14ac:dyDescent="0.3">
      <c r="B8" s="683" t="s">
        <v>19</v>
      </c>
      <c r="C8" s="683">
        <f>+AS143</f>
        <v>334.46419216476215</v>
      </c>
      <c r="G8" s="889" t="s">
        <v>209</v>
      </c>
      <c r="H8" s="819">
        <f>(+COS(($B$137*-1)*3.14159265358979/180)*H3)</f>
        <v>168</v>
      </c>
      <c r="I8" s="22"/>
      <c r="J8" s="944">
        <f>ABS($E$20/BK29)</f>
        <v>115.16301936905082</v>
      </c>
      <c r="K8" s="944"/>
      <c r="L8" s="944">
        <f>ABS($E$20/CO29)</f>
        <v>71.002057787328923</v>
      </c>
      <c r="M8" s="942" t="s">
        <v>226</v>
      </c>
      <c r="N8" s="22"/>
      <c r="O8" s="883"/>
    </row>
    <row r="9" spans="2:15" ht="29" hidden="1" thickBot="1" x14ac:dyDescent="0.35">
      <c r="B9" s="683" t="s">
        <v>14</v>
      </c>
      <c r="C9" s="683">
        <f>+AP139</f>
        <v>188.44070303920472</v>
      </c>
      <c r="G9" s="813" t="s">
        <v>211</v>
      </c>
      <c r="H9" s="819">
        <f>+D2-E2+H7</f>
        <v>504</v>
      </c>
      <c r="I9" s="22"/>
      <c r="J9" s="22"/>
      <c r="K9" s="22"/>
      <c r="L9" s="22"/>
      <c r="M9" s="22"/>
      <c r="N9" s="22"/>
      <c r="O9" s="883"/>
    </row>
    <row r="10" spans="2:15" ht="29" hidden="1" thickBot="1" x14ac:dyDescent="0.35">
      <c r="G10" s="890"/>
      <c r="H10" s="22"/>
      <c r="I10" s="814">
        <v>2</v>
      </c>
      <c r="J10" s="937" t="s">
        <v>175</v>
      </c>
      <c r="K10" s="937"/>
      <c r="L10" s="940"/>
      <c r="M10" s="940"/>
      <c r="N10" s="22"/>
      <c r="O10" s="883"/>
    </row>
    <row r="11" spans="2:15" ht="40" hidden="1" x14ac:dyDescent="0.3">
      <c r="B11" s="657" t="s">
        <v>127</v>
      </c>
      <c r="C11" s="643">
        <f>+B177*33</f>
        <v>33</v>
      </c>
      <c r="G11" s="813" t="s">
        <v>212</v>
      </c>
      <c r="H11" s="819">
        <f>+D2-H7-E2</f>
        <v>504</v>
      </c>
      <c r="I11" s="888" t="s">
        <v>210</v>
      </c>
      <c r="J11" s="817" t="s">
        <v>176</v>
      </c>
      <c r="K11" s="816" t="s">
        <v>177</v>
      </c>
      <c r="L11" s="816" t="s">
        <v>178</v>
      </c>
      <c r="M11" s="887"/>
      <c r="N11" s="22"/>
      <c r="O11" s="883"/>
    </row>
    <row r="12" spans="2:15" hidden="1" x14ac:dyDescent="0.3">
      <c r="B12" s="657" t="s">
        <v>128</v>
      </c>
      <c r="C12" s="643">
        <v>547.61</v>
      </c>
      <c r="D12" s="291"/>
      <c r="G12" s="890"/>
      <c r="H12" s="25"/>
      <c r="I12" s="22"/>
      <c r="J12" s="818">
        <f>(BV32)</f>
        <v>75.799089256765029</v>
      </c>
      <c r="K12" s="818">
        <f>((+H8-H11)/H8*CY32)</f>
        <v>-44.201821486469932</v>
      </c>
      <c r="L12" s="818">
        <f>(H11/H8*CY32)</f>
        <v>66.302732229704901</v>
      </c>
      <c r="M12" s="816" t="s">
        <v>172</v>
      </c>
      <c r="N12" s="22"/>
      <c r="O12" s="883"/>
    </row>
    <row r="13" spans="2:15" hidden="1" x14ac:dyDescent="0.3">
      <c r="D13" s="291"/>
      <c r="G13" s="890"/>
      <c r="H13" s="22"/>
      <c r="I13" s="22"/>
      <c r="J13" s="820">
        <f>ABS($H$1/J12)</f>
        <v>76.518069766680654</v>
      </c>
      <c r="K13" s="820">
        <f>ABS($H$1/K12)</f>
        <v>131.21631201952539</v>
      </c>
      <c r="L13" s="820">
        <f>ABS($H$1/L12)</f>
        <v>87.47754134635025</v>
      </c>
      <c r="M13" s="821" t="s">
        <v>173</v>
      </c>
      <c r="N13" s="22"/>
      <c r="O13" s="883"/>
    </row>
    <row r="14" spans="2:15" hidden="1" x14ac:dyDescent="0.3">
      <c r="B14" s="657" t="s">
        <v>130</v>
      </c>
      <c r="C14" s="657">
        <f>(+B201*15)+(B140*15)</f>
        <v>30</v>
      </c>
      <c r="D14" s="291"/>
      <c r="G14" s="890"/>
      <c r="H14" s="22"/>
      <c r="I14" s="22"/>
      <c r="J14" s="944">
        <f>ABS($E$20/BV32)</f>
        <v>56.728913792539103</v>
      </c>
      <c r="K14" s="944"/>
      <c r="L14" s="944">
        <f>ABS($E$20/CY32)</f>
        <v>194.56211782205489</v>
      </c>
      <c r="M14" s="942" t="s">
        <v>226</v>
      </c>
      <c r="N14" s="22"/>
      <c r="O14" s="883"/>
    </row>
    <row r="15" spans="2:15" ht="29" hidden="1" thickBot="1" x14ac:dyDescent="0.35">
      <c r="B15" s="657" t="s">
        <v>131</v>
      </c>
      <c r="C15" s="641">
        <v>334.46</v>
      </c>
      <c r="D15" s="291"/>
      <c r="G15" s="890"/>
      <c r="H15" s="22"/>
      <c r="I15" s="22"/>
      <c r="J15" s="22"/>
      <c r="K15" s="22"/>
      <c r="L15" s="22"/>
      <c r="M15" s="22"/>
      <c r="N15" s="22"/>
      <c r="O15" s="883"/>
    </row>
    <row r="16" spans="2:15" ht="29" hidden="1" thickBot="1" x14ac:dyDescent="0.35">
      <c r="B16" s="292"/>
      <c r="C16" s="292"/>
      <c r="D16" s="291"/>
      <c r="G16" s="813" t="s">
        <v>213</v>
      </c>
      <c r="H16" s="819">
        <f>+D2-(H7+E2)-BG121</f>
        <v>19.012114170620919</v>
      </c>
      <c r="I16" s="814" t="s">
        <v>179</v>
      </c>
      <c r="J16" s="937" t="s">
        <v>224</v>
      </c>
      <c r="K16" s="938"/>
      <c r="L16" s="938"/>
      <c r="M16" s="938"/>
      <c r="N16" s="22"/>
      <c r="O16" s="883"/>
    </row>
    <row r="17" spans="2:105" ht="40" hidden="1" x14ac:dyDescent="0.3">
      <c r="B17" s="292"/>
      <c r="C17" s="292"/>
      <c r="D17" s="291"/>
      <c r="G17" s="890"/>
      <c r="H17" s="25"/>
      <c r="I17" s="888" t="s">
        <v>210</v>
      </c>
      <c r="J17" s="816" t="s">
        <v>169</v>
      </c>
      <c r="K17" s="816" t="s">
        <v>170</v>
      </c>
      <c r="L17" s="816"/>
      <c r="M17" s="887"/>
      <c r="N17" s="22"/>
      <c r="O17" s="883"/>
    </row>
    <row r="18" spans="2:105" hidden="1" x14ac:dyDescent="0.3">
      <c r="B18" s="648" t="s">
        <v>99</v>
      </c>
      <c r="C18" s="649">
        <v>4000</v>
      </c>
      <c r="D18" s="649">
        <v>4400</v>
      </c>
      <c r="G18" s="890"/>
      <c r="H18" s="22"/>
      <c r="I18" s="22"/>
      <c r="J18" s="818">
        <f>+H16/H8*BK27</f>
        <v>11.079083198236834</v>
      </c>
      <c r="K18" s="818">
        <f>((H8-H16)/H8)*BK27</f>
        <v>86.820916801763175</v>
      </c>
      <c r="L18" s="818"/>
      <c r="M18" s="816" t="s">
        <v>172</v>
      </c>
      <c r="N18" s="22"/>
      <c r="O18" s="883"/>
    </row>
    <row r="19" spans="2:105" ht="44" hidden="1" x14ac:dyDescent="0.3">
      <c r="B19" s="648" t="s">
        <v>118</v>
      </c>
      <c r="C19" s="524">
        <v>3000</v>
      </c>
      <c r="D19" s="524">
        <v>3000</v>
      </c>
      <c r="G19" s="890"/>
      <c r="H19" s="22"/>
      <c r="I19" s="22"/>
      <c r="J19" s="820">
        <f>ABS($H$1/J18)</f>
        <v>523.50902111855544</v>
      </c>
      <c r="K19" s="820">
        <f>ABS($H$1/K18)</f>
        <v>66.804178228652532</v>
      </c>
      <c r="L19" s="820"/>
      <c r="M19" s="821" t="s">
        <v>173</v>
      </c>
      <c r="N19" s="22"/>
      <c r="O19" s="883"/>
    </row>
    <row r="20" spans="2:105" hidden="1" x14ac:dyDescent="0.3">
      <c r="B20" s="523" t="s">
        <v>117</v>
      </c>
      <c r="C20" s="525">
        <v>4300</v>
      </c>
      <c r="D20" s="525">
        <v>4000</v>
      </c>
      <c r="E20" s="945">
        <v>4300</v>
      </c>
      <c r="G20" s="890"/>
      <c r="H20" s="22"/>
      <c r="I20" s="22"/>
      <c r="J20" s="944">
        <f>ABS($E$20/BK27)</f>
        <v>43.922369765066392</v>
      </c>
      <c r="K20" s="944"/>
      <c r="L20" s="944"/>
      <c r="M20" s="942" t="s">
        <v>226</v>
      </c>
      <c r="N20" s="22"/>
      <c r="O20" s="883"/>
    </row>
    <row r="21" spans="2:105" ht="29" hidden="1" thickBot="1" x14ac:dyDescent="0.35">
      <c r="B21" s="683"/>
      <c r="C21" s="683" t="s">
        <v>20</v>
      </c>
      <c r="D21" s="683" t="s">
        <v>21</v>
      </c>
      <c r="G21" s="890"/>
      <c r="H21" s="22"/>
      <c r="I21" s="22"/>
      <c r="J21" s="22"/>
      <c r="K21" s="22"/>
      <c r="L21" s="22"/>
      <c r="M21" s="22"/>
      <c r="N21" s="22"/>
      <c r="O21" s="883"/>
    </row>
    <row r="22" spans="2:105" ht="29" hidden="1" thickBot="1" x14ac:dyDescent="0.35">
      <c r="B22" s="684" t="s">
        <v>56</v>
      </c>
      <c r="C22" s="683">
        <f>+((C8-C9)/C8)*C7</f>
        <v>42.742092936363704</v>
      </c>
      <c r="D22" s="683">
        <f>+(C9/C8)*C7</f>
        <v>55.157907063636301</v>
      </c>
      <c r="G22" s="813" t="s">
        <v>180</v>
      </c>
      <c r="H22" s="819">
        <f>(+COS(($B$137*-1)*3.14159265358979/180)*(H4))</f>
        <v>616</v>
      </c>
      <c r="I22" s="814" t="s">
        <v>179</v>
      </c>
      <c r="J22" s="937" t="s">
        <v>225</v>
      </c>
      <c r="K22" s="938"/>
      <c r="L22" s="938"/>
      <c r="M22" s="938"/>
      <c r="N22" s="22"/>
      <c r="O22" s="883"/>
    </row>
    <row r="23" spans="2:105" s="686" customFormat="1" hidden="1" x14ac:dyDescent="0.3">
      <c r="B23" s="706"/>
      <c r="C23" s="706"/>
      <c r="G23" s="813" t="s">
        <v>214</v>
      </c>
      <c r="H23" s="892">
        <f>+BG121-H22+H7</f>
        <v>-131.01211417062092</v>
      </c>
      <c r="I23" s="824"/>
      <c r="J23" s="816"/>
      <c r="K23" s="816" t="s">
        <v>177</v>
      </c>
      <c r="L23" s="816" t="s">
        <v>178</v>
      </c>
      <c r="M23" s="887"/>
      <c r="N23" s="22"/>
      <c r="O23" s="883"/>
      <c r="P23" s="707"/>
      <c r="Q23" s="707"/>
      <c r="R23" s="707"/>
      <c r="S23" s="707"/>
      <c r="T23" s="707"/>
      <c r="U23" s="707"/>
      <c r="V23" s="707"/>
      <c r="W23" s="707"/>
      <c r="X23" s="707"/>
      <c r="Y23" s="707"/>
      <c r="Z23" s="707"/>
      <c r="AA23" s="707"/>
      <c r="AB23" s="707"/>
      <c r="AC23" s="707"/>
      <c r="AD23" s="707"/>
      <c r="AE23" s="707"/>
      <c r="AF23" s="707"/>
      <c r="AG23" s="707"/>
      <c r="AH23" s="707"/>
      <c r="AI23" s="707"/>
      <c r="AJ23" s="707"/>
      <c r="AK23" s="707"/>
      <c r="AL23" s="707"/>
      <c r="AM23" s="707"/>
      <c r="AN23" s="707"/>
      <c r="AO23" s="707"/>
      <c r="AP23" s="707"/>
      <c r="AQ23" s="707"/>
      <c r="AR23" s="707"/>
      <c r="AS23" s="707"/>
      <c r="AT23" s="707"/>
      <c r="AU23" s="707"/>
      <c r="AV23" s="707"/>
      <c r="AW23" s="707"/>
      <c r="AX23" s="707"/>
      <c r="AY23" s="707"/>
      <c r="AZ23" s="707"/>
      <c r="BA23" s="707"/>
      <c r="BB23" s="707"/>
      <c r="BF23" s="912"/>
      <c r="BG23" s="708"/>
      <c r="BI23" s="928"/>
    </row>
    <row r="24" spans="2:105" hidden="1" x14ac:dyDescent="0.3">
      <c r="G24" s="890"/>
      <c r="H24" s="22"/>
      <c r="I24" s="22"/>
      <c r="J24" s="818"/>
      <c r="K24" s="818">
        <f>((+H8-H23)/H8*BK27)</f>
        <v>174.24574986490353</v>
      </c>
      <c r="L24" s="818">
        <f>(H23/H8*BK27)</f>
        <v>-76.345749864903496</v>
      </c>
      <c r="M24" s="816" t="s">
        <v>172</v>
      </c>
      <c r="N24" s="22"/>
      <c r="O24" s="883"/>
    </row>
    <row r="25" spans="2:105" hidden="1" x14ac:dyDescent="0.3">
      <c r="G25" s="890"/>
      <c r="H25" s="22"/>
      <c r="I25" s="22"/>
      <c r="J25" s="820"/>
      <c r="K25" s="820">
        <f>ABS($H$1/K24)</f>
        <v>33.286321212981463</v>
      </c>
      <c r="L25" s="820">
        <f>ABS($H$1/L24)</f>
        <v>75.970175291529713</v>
      </c>
      <c r="M25" s="821" t="s">
        <v>173</v>
      </c>
      <c r="N25" s="22"/>
      <c r="O25" s="883"/>
    </row>
    <row r="26" spans="2:105" hidden="1" x14ac:dyDescent="0.3">
      <c r="G26" s="890"/>
      <c r="H26" s="22"/>
      <c r="I26" s="22"/>
      <c r="J26" s="944"/>
      <c r="K26" s="944"/>
      <c r="L26" s="944">
        <f>ABS($E$20/BK27)</f>
        <v>43.922369765066392</v>
      </c>
      <c r="M26" s="942" t="s">
        <v>226</v>
      </c>
      <c r="N26" s="22"/>
      <c r="O26" s="883"/>
    </row>
    <row r="27" spans="2:105" ht="39.75" customHeight="1" thickBot="1" x14ac:dyDescent="0.35">
      <c r="G27" s="890"/>
      <c r="H27" s="22"/>
      <c r="I27" s="22"/>
      <c r="J27" s="22"/>
      <c r="K27" s="22"/>
      <c r="L27" s="22"/>
      <c r="M27" s="22"/>
      <c r="N27" s="22"/>
      <c r="O27" s="883"/>
      <c r="BI27" s="27"/>
      <c r="BJ27" s="961" t="s">
        <v>25</v>
      </c>
      <c r="BK27" s="995">
        <f>+C7</f>
        <v>97.9</v>
      </c>
      <c r="BL27" s="995"/>
      <c r="BM27" s="139" t="s">
        <v>17</v>
      </c>
      <c r="BN27" s="139"/>
      <c r="BO27" s="962" t="s">
        <v>159</v>
      </c>
      <c r="BP27" s="963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37"/>
      <c r="CZ27" s="37"/>
      <c r="DA27" s="37"/>
    </row>
    <row r="28" spans="2:105" ht="50.25" customHeight="1" thickBot="1" x14ac:dyDescent="0.35">
      <c r="G28" s="890"/>
      <c r="H28" s="22"/>
      <c r="I28" s="814">
        <v>60</v>
      </c>
      <c r="J28" s="937" t="s">
        <v>181</v>
      </c>
      <c r="K28" s="938"/>
      <c r="L28" s="938"/>
      <c r="M28" s="938"/>
      <c r="N28" s="22"/>
      <c r="O28" s="883"/>
      <c r="BG28" s="667" t="b">
        <f>AND(BK29&gt;0,CO29&gt;0)</f>
        <v>1</v>
      </c>
      <c r="BH28" s="43" t="str">
        <f>IF(BG28=TRUE,"","negative force at the motor")</f>
        <v/>
      </c>
      <c r="BI28" s="876" t="s">
        <v>110</v>
      </c>
      <c r="BJ28" s="439" t="s">
        <v>27</v>
      </c>
      <c r="BK28" s="726" t="s">
        <v>28</v>
      </c>
      <c r="BL28" s="727"/>
      <c r="BM28" s="728"/>
      <c r="BN28" s="728"/>
      <c r="BO28" s="728"/>
      <c r="BP28" s="728"/>
      <c r="BQ28" s="728"/>
      <c r="BR28" s="728"/>
      <c r="BS28" s="728"/>
      <c r="BT28" s="728"/>
      <c r="BU28" s="728"/>
      <c r="BV28" s="728"/>
      <c r="BW28" s="728"/>
      <c r="BX28" s="728"/>
      <c r="BY28" s="728"/>
      <c r="BZ28" s="728"/>
      <c r="CA28" s="728"/>
      <c r="CB28" s="728"/>
      <c r="CC28" s="729"/>
      <c r="CD28" s="730"/>
      <c r="CE28" s="731"/>
      <c r="CF28" s="731"/>
      <c r="CG28" s="731"/>
      <c r="CH28" s="731"/>
      <c r="CI28" s="731"/>
      <c r="CJ28" s="731"/>
      <c r="CK28" s="731"/>
      <c r="CL28" s="731"/>
      <c r="CM28" s="731"/>
      <c r="CN28" s="727"/>
      <c r="CO28" s="732" t="s">
        <v>29</v>
      </c>
      <c r="CP28" s="529"/>
      <c r="CQ28" s="529"/>
      <c r="CR28" s="529"/>
      <c r="CS28" s="529"/>
      <c r="CT28" s="529"/>
      <c r="CU28" s="529"/>
      <c r="CV28" s="529"/>
      <c r="CW28" s="529"/>
      <c r="CX28" s="529"/>
      <c r="CY28" s="530"/>
    </row>
    <row r="29" spans="2:105" ht="40.5" customHeight="1" thickBot="1" x14ac:dyDescent="0.35">
      <c r="G29" s="890"/>
      <c r="H29" s="22"/>
      <c r="I29" s="22"/>
      <c r="J29" s="816"/>
      <c r="K29" s="816" t="s">
        <v>177</v>
      </c>
      <c r="L29" s="816" t="s">
        <v>178</v>
      </c>
      <c r="M29" s="887"/>
      <c r="N29" s="22"/>
      <c r="O29" s="883"/>
      <c r="BF29" s="746">
        <v>1</v>
      </c>
      <c r="BG29" s="958" t="b">
        <f>AND(BI29&gt;=10,$BA$143&gt;=10,$BB$143&gt;=10,$BA$180&gt;=10,$BB$180&gt;=10,$BA$204&gt;=10,$BB$204&gt;=10)</f>
        <v>1</v>
      </c>
      <c r="BH29" s="45" t="str">
        <f>IF(BG29=TRUE,"O K","OVERLOAD")</f>
        <v>O K</v>
      </c>
      <c r="BI29" s="934">
        <f>+MIN(J7:L8)</f>
        <v>51.778721886860055</v>
      </c>
      <c r="BJ29" s="440" t="s">
        <v>112</v>
      </c>
      <c r="BK29" s="733">
        <f>+((D4-D5)/D4)*C7</f>
        <v>37.338374971050754</v>
      </c>
      <c r="BL29" s="734"/>
      <c r="BM29" s="735"/>
      <c r="BN29" s="735"/>
      <c r="BO29" s="735"/>
      <c r="BP29" s="736"/>
      <c r="BQ29" s="736"/>
      <c r="BR29" s="736"/>
      <c r="BS29" s="737"/>
      <c r="BT29" s="737"/>
      <c r="BU29" s="737"/>
      <c r="BV29" s="737"/>
      <c r="BW29" s="737"/>
      <c r="BX29" s="737"/>
      <c r="BY29" s="737"/>
      <c r="BZ29" s="737"/>
      <c r="CA29" s="737"/>
      <c r="CB29" s="737"/>
      <c r="CC29" s="738"/>
      <c r="CD29" s="735"/>
      <c r="CE29" s="735"/>
      <c r="CF29" s="735"/>
      <c r="CG29" s="736"/>
      <c r="CH29" s="736"/>
      <c r="CI29" s="736"/>
      <c r="CJ29" s="736"/>
      <c r="CK29" s="736"/>
      <c r="CL29" s="736"/>
      <c r="CM29" s="736"/>
      <c r="CN29" s="739"/>
      <c r="CO29" s="740">
        <f>+(D5/D4)*C7</f>
        <v>60.561625028949251</v>
      </c>
      <c r="CP29" s="531"/>
      <c r="CQ29" s="531"/>
      <c r="CR29" s="531"/>
      <c r="CS29" s="531"/>
      <c r="CT29" s="531"/>
      <c r="CU29" s="531"/>
      <c r="CV29" s="531"/>
      <c r="CW29" s="531"/>
      <c r="CX29" s="531"/>
      <c r="CY29" s="532"/>
    </row>
    <row r="30" spans="2:105" ht="15" customHeight="1" thickBot="1" x14ac:dyDescent="0.35">
      <c r="G30" s="950"/>
      <c r="H30" s="368"/>
      <c r="I30" s="22"/>
      <c r="J30" s="818"/>
      <c r="K30" s="818">
        <f>((+H8-H23)/H8*BK27)</f>
        <v>174.24574986490353</v>
      </c>
      <c r="L30" s="818">
        <f>(H23/H8*BK27)</f>
        <v>-76.345749864903496</v>
      </c>
      <c r="M30" s="816" t="s">
        <v>172</v>
      </c>
      <c r="N30" s="22"/>
      <c r="O30" s="883"/>
      <c r="BH30" s="47"/>
      <c r="BI30" s="929"/>
      <c r="BJ30" s="48"/>
      <c r="BK30" s="49"/>
      <c r="BL30" s="49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D30" s="38"/>
      <c r="CE30" s="38"/>
      <c r="CF30" s="49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40"/>
      <c r="CX30" s="40"/>
      <c r="CY30" s="40"/>
    </row>
    <row r="31" spans="2:105" ht="50.25" customHeight="1" thickBot="1" x14ac:dyDescent="0.35">
      <c r="G31" s="950"/>
      <c r="H31" s="368"/>
      <c r="I31" s="22"/>
      <c r="J31" s="820"/>
      <c r="K31" s="820">
        <f>ABS($H$1/K30)</f>
        <v>33.286321212981463</v>
      </c>
      <c r="L31" s="820">
        <f>ABS($H$1/L30)</f>
        <v>75.970175291529713</v>
      </c>
      <c r="M31" s="821" t="s">
        <v>173</v>
      </c>
      <c r="N31" s="22"/>
      <c r="O31" s="883"/>
      <c r="BG31" s="667" t="b">
        <f>AND(BV32&gt;0,CY32&gt;0)</f>
        <v>1</v>
      </c>
      <c r="BH31" s="43" t="str">
        <f>IF(BG31=TRUE,"","negative force at the motor")</f>
        <v/>
      </c>
      <c r="BI31" s="876" t="s">
        <v>110</v>
      </c>
      <c r="BJ31" s="441" t="s">
        <v>27</v>
      </c>
      <c r="BK31" s="598"/>
      <c r="BL31" s="593"/>
      <c r="BM31" s="593"/>
      <c r="BN31" s="593"/>
      <c r="BO31" s="593"/>
      <c r="BP31" s="593"/>
      <c r="BQ31" s="593"/>
      <c r="BR31" s="593"/>
      <c r="BS31" s="593"/>
      <c r="BT31" s="593"/>
      <c r="BU31" s="593"/>
      <c r="BV31" s="709" t="s">
        <v>28</v>
      </c>
      <c r="BW31" s="710"/>
      <c r="BX31" s="711"/>
      <c r="BY31" s="711"/>
      <c r="BZ31" s="711"/>
      <c r="CA31" s="711"/>
      <c r="CB31" s="711"/>
      <c r="CC31" s="711"/>
      <c r="CD31" s="711"/>
      <c r="CE31" s="711"/>
      <c r="CF31" s="711"/>
      <c r="CG31" s="711"/>
      <c r="CH31" s="712"/>
      <c r="CI31" s="713"/>
      <c r="CJ31" s="713"/>
      <c r="CK31" s="713"/>
      <c r="CL31" s="713"/>
      <c r="CM31" s="714"/>
      <c r="CN31" s="714"/>
      <c r="CO31" s="712"/>
      <c r="CP31" s="712"/>
      <c r="CQ31" s="712"/>
      <c r="CR31" s="712"/>
      <c r="CS31" s="712"/>
      <c r="CT31" s="714"/>
      <c r="CU31" s="714"/>
      <c r="CV31" s="712"/>
      <c r="CW31" s="713"/>
      <c r="CX31" s="715"/>
      <c r="CY31" s="716" t="s">
        <v>29</v>
      </c>
    </row>
    <row r="32" spans="2:105" ht="40.5" customHeight="1" thickBot="1" x14ac:dyDescent="0.35">
      <c r="G32" s="950"/>
      <c r="H32" s="368"/>
      <c r="I32" s="22"/>
      <c r="J32" s="944"/>
      <c r="K32" s="944"/>
      <c r="L32" s="944">
        <f>ABS($E$20/BK27)*2</f>
        <v>87.844739530132784</v>
      </c>
      <c r="M32" s="942" t="s">
        <v>226</v>
      </c>
      <c r="N32" s="946" t="s">
        <v>229</v>
      </c>
      <c r="O32" s="883"/>
      <c r="BF32" s="746">
        <v>2</v>
      </c>
      <c r="BG32" s="958" t="b">
        <f>AND(BI32&gt;=10,$BA$143&gt;=10,$BB$143&gt;=10,$BA$180&gt;=10,$BB$180&gt;=10,$BA$204&gt;=10,$BB$204&gt;=10)</f>
        <v>1</v>
      </c>
      <c r="BH32" s="45" t="str">
        <f>IF(BG32=TRUE,"O K","OVERLOAD")</f>
        <v>O K</v>
      </c>
      <c r="BI32" s="934">
        <f>+MIN(J13:L14)</f>
        <v>56.728913792539103</v>
      </c>
      <c r="BJ32" s="442" t="s">
        <v>113</v>
      </c>
      <c r="BK32" s="599"/>
      <c r="BL32" s="596"/>
      <c r="BM32" s="596"/>
      <c r="BN32" s="596"/>
      <c r="BO32" s="596"/>
      <c r="BP32" s="596"/>
      <c r="BQ32" s="596"/>
      <c r="BR32" s="596"/>
      <c r="BS32" s="596"/>
      <c r="BT32" s="596"/>
      <c r="BU32" s="596"/>
      <c r="BV32" s="717">
        <f>+((D4-D3)/D4)*C7</f>
        <v>75.799089256765029</v>
      </c>
      <c r="BW32" s="718"/>
      <c r="BX32" s="719"/>
      <c r="BY32" s="719"/>
      <c r="BZ32" s="719"/>
      <c r="CA32" s="719"/>
      <c r="CB32" s="719"/>
      <c r="CC32" s="719"/>
      <c r="CD32" s="719"/>
      <c r="CE32" s="719"/>
      <c r="CF32" s="719"/>
      <c r="CG32" s="719"/>
      <c r="CH32" s="720"/>
      <c r="CI32" s="721"/>
      <c r="CJ32" s="721"/>
      <c r="CK32" s="721"/>
      <c r="CL32" s="721"/>
      <c r="CM32" s="722"/>
      <c r="CN32" s="722"/>
      <c r="CO32" s="723"/>
      <c r="CP32" s="723"/>
      <c r="CQ32" s="723"/>
      <c r="CR32" s="723"/>
      <c r="CS32" s="723"/>
      <c r="CT32" s="722"/>
      <c r="CU32" s="722"/>
      <c r="CV32" s="723"/>
      <c r="CW32" s="724"/>
      <c r="CX32" s="722"/>
      <c r="CY32" s="725">
        <f>+(D3/D4)*C7</f>
        <v>22.100910743234966</v>
      </c>
    </row>
    <row r="33" spans="7:103" ht="15" customHeight="1" thickBot="1" x14ac:dyDescent="0.35">
      <c r="G33" s="950"/>
      <c r="H33" s="368"/>
      <c r="I33" s="22"/>
      <c r="J33" s="22"/>
      <c r="K33" s="22"/>
      <c r="L33" s="22"/>
      <c r="M33" s="22"/>
      <c r="N33" s="22"/>
      <c r="O33" s="883"/>
      <c r="BH33" s="47"/>
      <c r="BI33" s="930"/>
      <c r="BJ33" s="53"/>
      <c r="BK33" s="53"/>
      <c r="BL33" s="53"/>
      <c r="BM33" s="53"/>
      <c r="BN33" s="53"/>
      <c r="BO33" s="53"/>
      <c r="BP33" s="53"/>
      <c r="BQ33" s="53"/>
      <c r="BR33" s="53"/>
      <c r="BS33" s="54"/>
      <c r="BT33" s="54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17"/>
      <c r="CI33" s="55"/>
      <c r="CJ33" s="55"/>
      <c r="CK33" s="55"/>
      <c r="CL33" s="55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40"/>
      <c r="CX33" s="40"/>
      <c r="CY33" s="40"/>
    </row>
    <row r="34" spans="7:103" ht="50.25" customHeight="1" thickBot="1" x14ac:dyDescent="0.35">
      <c r="G34" s="950"/>
      <c r="H34" s="368"/>
      <c r="I34" s="814">
        <v>61</v>
      </c>
      <c r="J34" s="937" t="s">
        <v>182</v>
      </c>
      <c r="K34" s="938"/>
      <c r="L34" s="938"/>
      <c r="M34" s="938"/>
      <c r="N34" s="22"/>
      <c r="O34" s="883"/>
      <c r="BG34" s="667" t="b">
        <f>AND(BV35&gt;0,CO35&gt;0)</f>
        <v>1</v>
      </c>
      <c r="BH34" s="43" t="str">
        <f>IF(BG34=TRUE,"","negative force at the motor")</f>
        <v/>
      </c>
      <c r="BI34" s="876" t="s">
        <v>110</v>
      </c>
      <c r="BJ34" s="443" t="s">
        <v>27</v>
      </c>
      <c r="BK34" s="598"/>
      <c r="BL34" s="593"/>
      <c r="BM34" s="593"/>
      <c r="BN34" s="593"/>
      <c r="BO34" s="593"/>
      <c r="BP34" s="593"/>
      <c r="BQ34" s="593"/>
      <c r="BR34" s="593"/>
      <c r="BS34" s="593"/>
      <c r="BT34" s="593"/>
      <c r="BU34" s="593"/>
      <c r="BV34" s="503" t="s">
        <v>28</v>
      </c>
      <c r="BW34" s="504"/>
      <c r="BX34" s="506"/>
      <c r="BY34" s="506"/>
      <c r="BZ34" s="506"/>
      <c r="CA34" s="506"/>
      <c r="CB34" s="506"/>
      <c r="CC34" s="507"/>
      <c r="CD34" s="508"/>
      <c r="CE34" s="509"/>
      <c r="CF34" s="509"/>
      <c r="CG34" s="508"/>
      <c r="CH34" s="508"/>
      <c r="CI34" s="508"/>
      <c r="CJ34" s="509"/>
      <c r="CK34" s="509"/>
      <c r="CL34" s="509"/>
      <c r="CM34" s="509"/>
      <c r="CN34" s="504"/>
      <c r="CO34" s="505" t="s">
        <v>29</v>
      </c>
      <c r="CP34" s="592"/>
      <c r="CQ34" s="593"/>
      <c r="CR34" s="593"/>
      <c r="CS34" s="593"/>
      <c r="CT34" s="593"/>
      <c r="CU34" s="593"/>
      <c r="CV34" s="593"/>
      <c r="CW34" s="593"/>
      <c r="CX34" s="593"/>
      <c r="CY34" s="594"/>
    </row>
    <row r="35" spans="7:103" ht="40.5" customHeight="1" thickBot="1" x14ac:dyDescent="0.35">
      <c r="G35" s="950"/>
      <c r="H35" s="368"/>
      <c r="I35" s="22"/>
      <c r="J35" s="816" t="s">
        <v>169</v>
      </c>
      <c r="K35" s="816" t="s">
        <v>170</v>
      </c>
      <c r="L35" s="816"/>
      <c r="M35" s="887"/>
      <c r="N35" s="22"/>
      <c r="O35" s="883"/>
      <c r="BF35" s="746">
        <v>3</v>
      </c>
      <c r="BG35" s="958" t="b">
        <f>AND(BI35&gt;=10,$BA$143&gt;=10,$BB$143&gt;=10,$BA$180&gt;=10,$BB$180&gt;=10,$BA$204&gt;=10,$BB$204&gt;=10)</f>
        <v>1</v>
      </c>
      <c r="BH35" s="45" t="str">
        <f>IF(BG35=TRUE,"O K","OVERLOAD")</f>
        <v>O K</v>
      </c>
      <c r="BI35" s="947">
        <f>+$E$20/(MAX(BV35,CO35))</f>
        <v>65.819446104267712</v>
      </c>
      <c r="BJ35" s="444" t="s">
        <v>114</v>
      </c>
      <c r="BK35" s="599"/>
      <c r="BL35" s="596"/>
      <c r="BM35" s="596"/>
      <c r="BN35" s="596"/>
      <c r="BO35" s="596"/>
      <c r="BP35" s="596"/>
      <c r="BQ35" s="596"/>
      <c r="BR35" s="596"/>
      <c r="BS35" s="596"/>
      <c r="BT35" s="596"/>
      <c r="BU35" s="596"/>
      <c r="BV35" s="680">
        <f>+((D2-D3)/D2)*C7</f>
        <v>65.330236799443213</v>
      </c>
      <c r="BW35" s="681"/>
      <c r="BX35" s="510"/>
      <c r="BY35" s="510"/>
      <c r="BZ35" s="510"/>
      <c r="CA35" s="510"/>
      <c r="CB35" s="510"/>
      <c r="CC35" s="511"/>
      <c r="CD35" s="512"/>
      <c r="CE35" s="513"/>
      <c r="CF35" s="513"/>
      <c r="CG35" s="514"/>
      <c r="CH35" s="514"/>
      <c r="CI35" s="514"/>
      <c r="CJ35" s="513"/>
      <c r="CK35" s="513"/>
      <c r="CL35" s="513"/>
      <c r="CM35" s="513"/>
      <c r="CN35" s="513"/>
      <c r="CO35" s="682">
        <f>+(D3/D2)*C7</f>
        <v>32.569763200556793</v>
      </c>
      <c r="CP35" s="595"/>
      <c r="CQ35" s="596"/>
      <c r="CR35" s="596"/>
      <c r="CS35" s="596"/>
      <c r="CT35" s="596"/>
      <c r="CU35" s="596"/>
      <c r="CV35" s="596"/>
      <c r="CW35" s="596"/>
      <c r="CX35" s="596"/>
      <c r="CY35" s="597"/>
    </row>
    <row r="36" spans="7:103" ht="15" customHeight="1" thickBot="1" x14ac:dyDescent="0.35">
      <c r="G36" s="950"/>
      <c r="H36" s="368"/>
      <c r="I36" s="22"/>
      <c r="J36" s="818">
        <f>+H16/H8*BK27</f>
        <v>11.079083198236834</v>
      </c>
      <c r="K36" s="818">
        <f>((H8-H16)/H8)*BK27</f>
        <v>86.820916801763175</v>
      </c>
      <c r="L36" s="818"/>
      <c r="M36" s="816" t="s">
        <v>172</v>
      </c>
      <c r="N36" s="22"/>
      <c r="O36" s="883"/>
      <c r="BH36" s="47"/>
      <c r="BI36" s="930"/>
      <c r="BJ36" s="53"/>
      <c r="BK36" s="53"/>
      <c r="BL36" s="53"/>
      <c r="BM36" s="53"/>
      <c r="BN36" s="53"/>
      <c r="BO36" s="53"/>
      <c r="BP36" s="53"/>
      <c r="BQ36" s="53"/>
      <c r="BR36" s="53"/>
      <c r="BS36" s="54"/>
      <c r="BT36" s="54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3"/>
      <c r="CF36" s="50"/>
      <c r="CG36" s="50"/>
      <c r="CH36" s="17"/>
      <c r="CI36" s="55"/>
      <c r="CJ36" s="55"/>
      <c r="CK36" s="55"/>
      <c r="CL36" s="55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40"/>
      <c r="CX36" s="40"/>
      <c r="CY36" s="40"/>
    </row>
    <row r="37" spans="7:103" ht="29" hidden="1" thickBot="1" x14ac:dyDescent="0.35">
      <c r="G37" s="950"/>
      <c r="H37" s="368"/>
      <c r="I37" s="22"/>
      <c r="J37" s="820">
        <f>ABS($H$1/J36)</f>
        <v>523.50902111855544</v>
      </c>
      <c r="K37" s="820">
        <f>ABS($H$1/K36)</f>
        <v>66.804178228652532</v>
      </c>
      <c r="L37" s="820"/>
      <c r="M37" s="821" t="s">
        <v>173</v>
      </c>
      <c r="N37" s="22"/>
      <c r="O37" s="883"/>
      <c r="BH37" s="47"/>
      <c r="BI37" s="105"/>
    </row>
    <row r="38" spans="7:103" ht="29" hidden="1" thickBot="1" x14ac:dyDescent="0.35">
      <c r="G38" s="950"/>
      <c r="H38" s="368"/>
      <c r="I38" s="22"/>
      <c r="J38" s="944">
        <f>ABS($E$20/BK27)*2</f>
        <v>87.844739530132784</v>
      </c>
      <c r="K38" s="944"/>
      <c r="L38" s="944"/>
      <c r="M38" s="942" t="s">
        <v>226</v>
      </c>
      <c r="N38" s="946" t="s">
        <v>229</v>
      </c>
      <c r="O38" s="883"/>
      <c r="BH38" s="47"/>
      <c r="BI38" s="105"/>
      <c r="CM38" s="60" t="b">
        <f>IF(CN59=30,18)</f>
        <v>0</v>
      </c>
      <c r="CO38" s="60" t="b">
        <f>IF(CN59=30,20)</f>
        <v>0</v>
      </c>
    </row>
    <row r="39" spans="7:103" ht="29" hidden="1" thickBot="1" x14ac:dyDescent="0.35">
      <c r="G39" s="890"/>
      <c r="H39" s="22"/>
      <c r="I39" s="22"/>
      <c r="J39" s="22"/>
      <c r="K39" s="22"/>
      <c r="L39" s="22"/>
      <c r="M39" s="22"/>
      <c r="N39" s="22"/>
      <c r="O39" s="883"/>
      <c r="BH39" s="47"/>
      <c r="BI39" s="931"/>
      <c r="BJ39" s="100"/>
      <c r="BK39" s="101"/>
      <c r="BL39" s="101"/>
      <c r="BM39" s="101"/>
      <c r="BN39" s="101"/>
      <c r="BO39" s="101"/>
      <c r="BP39" s="101"/>
      <c r="BQ39" s="101"/>
      <c r="BR39" s="101"/>
      <c r="BS39" s="102"/>
      <c r="BT39" s="102"/>
      <c r="BU39" s="103"/>
      <c r="BV39" s="103"/>
      <c r="BW39" s="103"/>
      <c r="BX39" s="103"/>
      <c r="BY39" s="103"/>
      <c r="BZ39" s="103"/>
      <c r="CA39" s="103"/>
      <c r="CB39" s="103"/>
      <c r="CC39" s="17"/>
      <c r="CD39" s="50"/>
      <c r="CE39" s="104"/>
      <c r="CF39" s="104"/>
      <c r="CG39" s="50"/>
      <c r="CH39" s="50"/>
      <c r="CI39" s="50"/>
      <c r="CJ39" s="50"/>
      <c r="CK39" s="60" t="b">
        <f>IF(CM59=29,16)</f>
        <v>0</v>
      </c>
      <c r="CL39" s="50"/>
      <c r="CM39" s="50"/>
      <c r="CN39" s="50"/>
      <c r="CO39" s="60" t="b">
        <f>IF(CM59=29,20)</f>
        <v>0</v>
      </c>
      <c r="CP39" s="50"/>
      <c r="CQ39" s="101"/>
      <c r="CR39" s="101"/>
      <c r="CS39" s="101"/>
      <c r="CT39" s="101"/>
      <c r="CU39" s="101"/>
      <c r="CV39" s="101"/>
      <c r="CW39" s="101"/>
      <c r="CX39" s="101"/>
      <c r="CY39" s="101"/>
    </row>
    <row r="40" spans="7:103" ht="29" hidden="1" thickBot="1" x14ac:dyDescent="0.35">
      <c r="G40" s="890"/>
      <c r="H40" s="827" t="s">
        <v>183</v>
      </c>
      <c r="I40" s="814">
        <v>62</v>
      </c>
      <c r="J40" s="937" t="s">
        <v>184</v>
      </c>
      <c r="K40" s="938"/>
      <c r="L40" s="938"/>
      <c r="M40" s="938"/>
      <c r="N40" s="22"/>
      <c r="O40" s="883"/>
      <c r="BH40" s="47"/>
      <c r="BI40" s="931"/>
      <c r="BJ40" s="100"/>
      <c r="BK40" s="101"/>
      <c r="BL40" s="101"/>
      <c r="BM40" s="101"/>
      <c r="BN40" s="101"/>
      <c r="BO40" s="101"/>
      <c r="BP40" s="101"/>
      <c r="BQ40" s="101"/>
      <c r="BR40" s="101"/>
      <c r="BS40" s="102"/>
      <c r="BT40" s="102"/>
      <c r="BU40" s="103"/>
      <c r="BV40" s="103"/>
      <c r="BW40" s="103"/>
      <c r="BX40" s="103"/>
      <c r="BY40" s="103"/>
      <c r="BZ40" s="103"/>
      <c r="CA40" s="103"/>
      <c r="CB40" s="103"/>
      <c r="CC40" s="17"/>
      <c r="CD40" s="50"/>
      <c r="CE40" s="104"/>
      <c r="CF40" s="104"/>
      <c r="CG40" s="50"/>
      <c r="CH40" s="50"/>
      <c r="CI40" s="60" t="b">
        <f>IF(CL59=28,14)</f>
        <v>0</v>
      </c>
      <c r="CJ40" s="50"/>
      <c r="CK40" s="50"/>
      <c r="CL40" s="50"/>
      <c r="CM40" s="50"/>
      <c r="CN40" s="50"/>
      <c r="CO40" s="60" t="b">
        <f>IF(CL59=28,20)</f>
        <v>0</v>
      </c>
      <c r="CP40" s="50"/>
      <c r="CQ40" s="101"/>
      <c r="CR40" s="101"/>
      <c r="CS40" s="101"/>
      <c r="CT40" s="101"/>
      <c r="CU40" s="101"/>
      <c r="CV40" s="101"/>
      <c r="CW40" s="101"/>
      <c r="CX40" s="101"/>
      <c r="CY40" s="101"/>
    </row>
    <row r="41" spans="7:103" ht="29" hidden="1" thickBot="1" x14ac:dyDescent="0.35">
      <c r="G41" s="890"/>
      <c r="H41" s="828" t="s">
        <v>185</v>
      </c>
      <c r="I41" s="22"/>
      <c r="J41" s="816" t="s">
        <v>169</v>
      </c>
      <c r="K41" s="816" t="s">
        <v>170</v>
      </c>
      <c r="L41" s="817" t="s">
        <v>186</v>
      </c>
      <c r="M41" s="887"/>
      <c r="N41" s="22"/>
      <c r="O41" s="883"/>
      <c r="BH41" s="47"/>
      <c r="BI41" s="931"/>
      <c r="BJ41" s="100"/>
      <c r="BK41" s="101"/>
      <c r="BL41" s="101"/>
      <c r="BM41" s="101"/>
      <c r="BN41" s="101"/>
      <c r="BO41" s="101"/>
      <c r="BP41" s="101"/>
      <c r="BQ41" s="101"/>
      <c r="BR41" s="101"/>
      <c r="BS41" s="102"/>
      <c r="BT41" s="102"/>
      <c r="BU41" s="105">
        <v>16</v>
      </c>
      <c r="BV41" s="103"/>
      <c r="BW41" s="103"/>
      <c r="BX41" s="103"/>
      <c r="BY41" s="103"/>
      <c r="BZ41" s="103"/>
      <c r="CA41" s="103"/>
      <c r="CB41" s="103"/>
      <c r="CC41" s="17"/>
      <c r="CD41" s="50"/>
      <c r="CE41" s="104"/>
      <c r="CF41" s="104"/>
      <c r="CG41" s="68" t="b">
        <f>IF(CK59=27,12)</f>
        <v>0</v>
      </c>
      <c r="CH41" s="50"/>
      <c r="CI41" s="50"/>
      <c r="CK41" s="106"/>
      <c r="CM41" s="50"/>
      <c r="CN41" s="50"/>
      <c r="CO41" s="60" t="b">
        <f>IF(CK59=27,20)</f>
        <v>0</v>
      </c>
      <c r="CP41" s="50"/>
      <c r="CQ41" s="101"/>
      <c r="CR41" s="101"/>
      <c r="CS41" s="101"/>
      <c r="CT41" s="101"/>
      <c r="CU41" s="101"/>
      <c r="CV41" s="101"/>
      <c r="CW41" s="101"/>
      <c r="CX41" s="101"/>
      <c r="CY41" s="101"/>
    </row>
    <row r="42" spans="7:103" ht="29" hidden="1" thickBot="1" x14ac:dyDescent="0.35">
      <c r="G42" s="951" t="s">
        <v>187</v>
      </c>
      <c r="H42" s="948">
        <f>SUM(BK113:BV113)</f>
        <v>8</v>
      </c>
      <c r="I42" s="22"/>
      <c r="J42" s="818">
        <f>+H43/H8*BK27/2</f>
        <v>89.741666666666674</v>
      </c>
      <c r="K42" s="818">
        <f>((H8-H43)/H8)*BK27/2</f>
        <v>-40.791666666666671</v>
      </c>
      <c r="L42" s="818">
        <f>+BK27/2</f>
        <v>48.95</v>
      </c>
      <c r="M42" s="816" t="s">
        <v>172</v>
      </c>
      <c r="N42" s="22"/>
      <c r="O42" s="883"/>
      <c r="BH42" s="47"/>
      <c r="BI42" s="931"/>
      <c r="BJ42" s="100"/>
      <c r="BK42" s="101"/>
      <c r="BL42" s="101"/>
      <c r="BM42" s="101"/>
      <c r="BN42" s="101"/>
      <c r="BO42" s="101"/>
      <c r="BP42" s="101"/>
      <c r="BQ42" s="101"/>
      <c r="BR42" s="101"/>
      <c r="BS42" s="102"/>
      <c r="BT42" s="102"/>
      <c r="BU42" s="105">
        <v>15</v>
      </c>
      <c r="BV42" s="103"/>
      <c r="BW42" s="103"/>
      <c r="BX42" s="103"/>
      <c r="BY42" s="103"/>
      <c r="BZ42" s="103"/>
      <c r="CA42" s="103"/>
      <c r="CB42" s="103"/>
      <c r="CC42" s="17"/>
      <c r="CD42" s="50"/>
      <c r="CE42" s="68" t="b">
        <f>IF(CJ59=26,10)</f>
        <v>0</v>
      </c>
      <c r="CF42" s="104"/>
      <c r="CG42" s="50"/>
      <c r="CI42" s="106"/>
      <c r="CJ42" s="106"/>
      <c r="CK42" s="106"/>
      <c r="CM42" s="50"/>
      <c r="CN42" s="50"/>
      <c r="CO42" s="60" t="b">
        <f>IF(CJ59=26,20)</f>
        <v>0</v>
      </c>
      <c r="CP42" s="50"/>
      <c r="CQ42" s="101"/>
      <c r="CR42" s="101"/>
      <c r="CS42" s="101"/>
      <c r="CT42" s="101"/>
      <c r="CU42" s="101"/>
      <c r="CV42" s="101"/>
      <c r="CW42" s="101"/>
      <c r="CX42" s="101"/>
      <c r="CY42" s="101"/>
    </row>
    <row r="43" spans="7:103" ht="29" hidden="1" thickBot="1" x14ac:dyDescent="0.35">
      <c r="G43" s="813" t="s">
        <v>215</v>
      </c>
      <c r="H43" s="819">
        <f>$H$5-((H42-1)*$E$2)</f>
        <v>308</v>
      </c>
      <c r="I43" s="22"/>
      <c r="J43" s="820">
        <f>ABS($H$1/J42)</f>
        <v>64.629956356207629</v>
      </c>
      <c r="K43" s="820">
        <f>ABS($H$1/K42)</f>
        <v>142.18590398365677</v>
      </c>
      <c r="L43" s="820">
        <f>ABS($H$1/L42)</f>
        <v>118.48825331971399</v>
      </c>
      <c r="M43" s="821" t="s">
        <v>173</v>
      </c>
      <c r="N43" s="22"/>
      <c r="O43" s="883"/>
      <c r="BH43" s="47"/>
      <c r="BI43" s="931"/>
      <c r="BJ43" s="100"/>
      <c r="BK43" s="101"/>
      <c r="BL43" s="101"/>
      <c r="BM43" s="101"/>
      <c r="BN43" s="101"/>
      <c r="BO43" s="101"/>
      <c r="BP43" s="101"/>
      <c r="BQ43" s="101"/>
      <c r="BR43" s="101"/>
      <c r="BS43" s="102"/>
      <c r="BT43" s="102"/>
      <c r="BU43" s="105">
        <v>14</v>
      </c>
      <c r="BV43" s="103"/>
      <c r="BW43" s="103"/>
      <c r="BX43" s="103"/>
      <c r="BY43" s="103"/>
      <c r="BZ43" s="103"/>
      <c r="CA43" s="103"/>
      <c r="CB43" s="103"/>
      <c r="CC43" s="68" t="b">
        <f>IF(CI59=25,8)</f>
        <v>0</v>
      </c>
      <c r="CD43" s="50"/>
      <c r="CE43" s="104"/>
      <c r="CG43" s="106"/>
      <c r="CH43" s="107"/>
      <c r="CI43" s="107"/>
      <c r="CJ43" s="107"/>
      <c r="CK43" s="107"/>
      <c r="CM43" s="50"/>
      <c r="CN43" s="50"/>
      <c r="CO43" s="75" t="b">
        <f>IF(CI59=25,20)</f>
        <v>0</v>
      </c>
      <c r="CP43" s="50"/>
      <c r="CQ43" s="101"/>
      <c r="CR43" s="101"/>
      <c r="CS43" s="101"/>
      <c r="CT43" s="101"/>
      <c r="CU43" s="101"/>
      <c r="CV43" s="101"/>
      <c r="CW43" s="101"/>
      <c r="CX43" s="101"/>
      <c r="CY43" s="101"/>
    </row>
    <row r="44" spans="7:103" ht="29" hidden="1" thickBot="1" x14ac:dyDescent="0.35">
      <c r="G44" s="950"/>
      <c r="H44" s="368"/>
      <c r="I44" s="22"/>
      <c r="J44" s="944"/>
      <c r="K44" s="944"/>
      <c r="L44" s="944">
        <f>ABS($E$20/BK27)*2</f>
        <v>87.844739530132784</v>
      </c>
      <c r="M44" s="942" t="s">
        <v>226</v>
      </c>
      <c r="N44" s="946" t="s">
        <v>229</v>
      </c>
      <c r="O44" s="883"/>
      <c r="BH44" s="47"/>
      <c r="BI44" s="932"/>
      <c r="BJ44" s="100"/>
      <c r="BK44" s="101"/>
      <c r="BL44" s="101"/>
      <c r="BM44" s="101"/>
      <c r="BN44" s="101"/>
      <c r="BO44" s="101"/>
      <c r="BP44" s="101"/>
      <c r="BQ44" s="101"/>
      <c r="BR44" s="101"/>
      <c r="BU44" s="105">
        <v>13</v>
      </c>
      <c r="BV44" s="101"/>
      <c r="BW44" s="100"/>
      <c r="BX44" s="100"/>
      <c r="BY44" s="100"/>
      <c r="BZ44" s="100"/>
      <c r="CA44" s="68" t="b">
        <f>IF(CH59=24,6)</f>
        <v>0</v>
      </c>
      <c r="CB44" s="100"/>
      <c r="CC44" s="100"/>
      <c r="CE44" s="108"/>
      <c r="CF44" s="109"/>
      <c r="CG44" s="73"/>
      <c r="CH44" s="109"/>
      <c r="CI44" s="73"/>
      <c r="CJ44" s="73"/>
      <c r="CK44" s="72"/>
      <c r="CM44" s="40"/>
      <c r="CN44" s="40"/>
      <c r="CO44" s="75" t="b">
        <f>IF(CH59=24,20)</f>
        <v>0</v>
      </c>
      <c r="CP44" s="40"/>
      <c r="CQ44" s="40"/>
      <c r="CR44" s="40"/>
      <c r="CS44" s="40"/>
      <c r="CT44" s="40"/>
      <c r="CU44" s="40"/>
      <c r="CV44" s="40"/>
      <c r="CW44" s="40"/>
      <c r="CX44" s="40"/>
    </row>
    <row r="45" spans="7:103" ht="29" hidden="1" thickBot="1" x14ac:dyDescent="0.35">
      <c r="G45" s="890"/>
      <c r="H45" s="830" t="s">
        <v>188</v>
      </c>
      <c r="I45" s="22"/>
      <c r="J45" s="22"/>
      <c r="K45" s="22"/>
      <c r="L45" s="22"/>
      <c r="M45" s="22"/>
      <c r="N45" s="22"/>
      <c r="O45" s="883"/>
      <c r="BH45" s="47"/>
      <c r="BI45" s="932"/>
      <c r="BJ45" s="100"/>
      <c r="BK45" s="100"/>
      <c r="BL45" s="101"/>
      <c r="BM45" s="100"/>
      <c r="BN45" s="100"/>
      <c r="BO45" s="100"/>
      <c r="BU45" s="105">
        <v>12</v>
      </c>
      <c r="BV45" s="101"/>
      <c r="BW45" s="100"/>
      <c r="BX45" s="100"/>
      <c r="BY45" s="68" t="b">
        <f>IF(CG59=23,4)</f>
        <v>0</v>
      </c>
      <c r="BZ45" s="100"/>
      <c r="CA45" s="100"/>
      <c r="CC45" s="108"/>
      <c r="CD45" s="108"/>
      <c r="CE45" s="69"/>
      <c r="CF45" s="108"/>
      <c r="CG45" s="108"/>
      <c r="CH45" s="108"/>
      <c r="CI45" s="69"/>
      <c r="CJ45" s="69"/>
      <c r="CK45" s="64"/>
      <c r="CM45" s="40"/>
      <c r="CN45" s="40"/>
      <c r="CO45" s="60" t="b">
        <f>IF(CG59=23,20)</f>
        <v>0</v>
      </c>
      <c r="CP45" s="40"/>
      <c r="CQ45" s="40"/>
      <c r="CR45" s="40"/>
      <c r="CS45" s="40"/>
      <c r="CT45" s="40"/>
      <c r="CU45" s="40"/>
      <c r="CV45" s="40"/>
      <c r="CW45" s="40"/>
      <c r="CX45" s="40"/>
    </row>
    <row r="46" spans="7:103" ht="29" hidden="1" thickBot="1" x14ac:dyDescent="0.35">
      <c r="G46" s="895"/>
      <c r="H46" s="831" t="s">
        <v>185</v>
      </c>
      <c r="I46" s="814">
        <v>63</v>
      </c>
      <c r="J46" s="937" t="s">
        <v>189</v>
      </c>
      <c r="K46" s="938"/>
      <c r="L46" s="938"/>
      <c r="M46" s="938"/>
      <c r="N46" s="22"/>
      <c r="O46" s="883"/>
      <c r="BH46" s="47"/>
      <c r="BI46" s="932"/>
      <c r="BJ46" s="100"/>
      <c r="BK46" s="100"/>
      <c r="BL46" s="101"/>
      <c r="BM46" s="100"/>
      <c r="BN46" s="100"/>
      <c r="BO46" s="100"/>
      <c r="BU46" s="105">
        <v>11</v>
      </c>
      <c r="BW46" s="68" t="b">
        <f>IF(CF59=22,2)</f>
        <v>0</v>
      </c>
      <c r="BX46" s="100"/>
      <c r="BY46" s="100"/>
      <c r="CA46" s="108"/>
      <c r="CB46" s="108"/>
      <c r="CC46" s="69"/>
      <c r="CD46" s="108"/>
      <c r="CE46" s="69"/>
      <c r="CF46" s="108"/>
      <c r="CG46" s="69"/>
      <c r="CH46" s="108"/>
      <c r="CI46" s="69"/>
      <c r="CJ46" s="69"/>
      <c r="CK46" s="64"/>
      <c r="CM46" s="40"/>
      <c r="CN46" s="40"/>
      <c r="CO46" s="60" t="b">
        <f>IF(CF59=22,20)</f>
        <v>0</v>
      </c>
      <c r="CP46" s="40"/>
      <c r="CQ46" s="40"/>
      <c r="CR46" s="40"/>
      <c r="CS46" s="40"/>
      <c r="CT46" s="40"/>
      <c r="CU46" s="40"/>
      <c r="CV46" s="40"/>
      <c r="CW46" s="40"/>
      <c r="CX46" s="40"/>
    </row>
    <row r="47" spans="7:103" ht="29" hidden="1" thickBot="1" x14ac:dyDescent="0.35">
      <c r="G47" s="951" t="s">
        <v>187</v>
      </c>
      <c r="H47" s="949">
        <f>SUM(CN113:CY113)</f>
        <v>0</v>
      </c>
      <c r="I47" s="22"/>
      <c r="J47" s="817" t="s">
        <v>190</v>
      </c>
      <c r="K47" s="816" t="s">
        <v>177</v>
      </c>
      <c r="L47" s="816" t="s">
        <v>178</v>
      </c>
      <c r="M47" s="887"/>
      <c r="N47" s="22"/>
      <c r="O47" s="883"/>
      <c r="BH47" s="47"/>
      <c r="BI47" s="932"/>
      <c r="BJ47" s="100"/>
      <c r="BK47" s="100"/>
      <c r="BL47" s="101"/>
      <c r="BM47" s="100"/>
      <c r="BN47" s="100"/>
      <c r="BO47" s="100"/>
      <c r="BU47" s="105">
        <v>10</v>
      </c>
      <c r="BV47" s="68" t="b">
        <f>IF(CE59=21,1)</f>
        <v>0</v>
      </c>
      <c r="BW47" s="100"/>
      <c r="BY47" s="108"/>
      <c r="BZ47" s="108"/>
      <c r="CA47" s="69"/>
      <c r="CB47" s="69"/>
      <c r="CC47" s="69"/>
      <c r="CD47" s="108"/>
      <c r="CE47" s="108"/>
      <c r="CF47" s="108"/>
      <c r="CG47" s="69"/>
      <c r="CH47" s="108"/>
      <c r="CI47" s="69"/>
      <c r="CJ47" s="69"/>
      <c r="CK47" s="64"/>
      <c r="CM47" s="40"/>
      <c r="CN47" s="60" t="b">
        <f>IF(CE59=21,20)</f>
        <v>0</v>
      </c>
      <c r="CO47" s="40"/>
      <c r="CP47" s="40"/>
      <c r="CQ47" s="40"/>
      <c r="CR47" s="40"/>
      <c r="CS47" s="40"/>
      <c r="CT47" s="40"/>
      <c r="CU47" s="40"/>
      <c r="CV47" s="40"/>
      <c r="CW47" s="40"/>
      <c r="CX47" s="40"/>
    </row>
    <row r="48" spans="7:103" ht="29" hidden="1" thickBot="1" x14ac:dyDescent="0.35">
      <c r="G48" s="813" t="s">
        <v>216</v>
      </c>
      <c r="H48" s="819">
        <f>($E$2*(H47-1))-$H$4</f>
        <v>-644</v>
      </c>
      <c r="I48" s="22"/>
      <c r="J48" s="818">
        <f>+BK27/2</f>
        <v>48.95</v>
      </c>
      <c r="K48" s="818">
        <f>((H8-H48)/H8)*BK27/2</f>
        <v>236.59166666666667</v>
      </c>
      <c r="L48" s="818">
        <f>+H48/H8*BK27/2</f>
        <v>-187.64166666666668</v>
      </c>
      <c r="M48" s="816" t="s">
        <v>172</v>
      </c>
      <c r="N48" s="22"/>
      <c r="O48" s="883"/>
      <c r="BH48" s="47"/>
      <c r="BI48" s="932"/>
      <c r="BJ48" s="100"/>
      <c r="BK48" s="100"/>
      <c r="BL48" s="101"/>
      <c r="BM48" s="100"/>
      <c r="BN48" s="100"/>
      <c r="BO48" s="100"/>
      <c r="BU48" s="105">
        <v>9</v>
      </c>
      <c r="BV48" s="68" t="b">
        <f>IF(CD59=20,1)</f>
        <v>0</v>
      </c>
      <c r="BW48" s="108"/>
      <c r="BX48" s="108"/>
      <c r="BY48" s="69"/>
      <c r="BZ48" s="108"/>
      <c r="CA48" s="108"/>
      <c r="CB48" s="108"/>
      <c r="CC48" s="108"/>
      <c r="CD48" s="108"/>
      <c r="CE48" s="108"/>
      <c r="CF48" s="108"/>
      <c r="CG48" s="108"/>
      <c r="CH48" s="108"/>
      <c r="CI48" s="69"/>
      <c r="CJ48" s="69"/>
      <c r="CK48" s="64"/>
      <c r="CL48" s="60" t="b">
        <f>IF(CD59=20,17)</f>
        <v>0</v>
      </c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40"/>
      <c r="CX48" s="40"/>
    </row>
    <row r="49" spans="2:105" ht="29" hidden="1" thickBot="1" x14ac:dyDescent="0.35">
      <c r="G49" s="890"/>
      <c r="H49" s="22"/>
      <c r="I49" s="22"/>
      <c r="J49" s="820">
        <f>ABS($H$1/J48)</f>
        <v>118.48825331971399</v>
      </c>
      <c r="K49" s="820">
        <f>ABS($H$1/K48)</f>
        <v>24.514811031664966</v>
      </c>
      <c r="L49" s="820">
        <f>ABS($H$1/L48)</f>
        <v>30.909979126881908</v>
      </c>
      <c r="M49" s="821" t="s">
        <v>173</v>
      </c>
      <c r="O49" s="832"/>
      <c r="BH49" s="47"/>
      <c r="BI49" s="932"/>
      <c r="BJ49" s="100"/>
      <c r="BK49" s="100"/>
      <c r="BL49" s="101"/>
      <c r="BM49" s="100"/>
      <c r="BN49" s="100"/>
      <c r="BO49" s="100"/>
      <c r="BU49" s="105">
        <v>8</v>
      </c>
      <c r="BV49" s="71" t="b">
        <f>IF(CC59=19,1)</f>
        <v>0</v>
      </c>
      <c r="BW49" s="73"/>
      <c r="BX49" s="109"/>
      <c r="BY49" s="109"/>
      <c r="BZ49" s="109"/>
      <c r="CA49" s="109"/>
      <c r="CB49" s="109"/>
      <c r="CC49" s="109"/>
      <c r="CD49" s="109"/>
      <c r="CE49" s="109"/>
      <c r="CF49" s="109"/>
      <c r="CG49" s="109"/>
      <c r="CH49" s="109"/>
      <c r="CI49" s="73"/>
      <c r="CJ49" s="75" t="b">
        <f>IF(CC59=19,15)</f>
        <v>0</v>
      </c>
      <c r="CK49" s="40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40"/>
      <c r="CW49" s="40"/>
      <c r="CX49" s="40"/>
    </row>
    <row r="50" spans="2:105" ht="29" hidden="1" thickBot="1" x14ac:dyDescent="0.35">
      <c r="G50" s="890"/>
      <c r="H50" s="22"/>
      <c r="I50" s="22"/>
      <c r="J50" s="944">
        <f>ABS($E$20/BK27)*2</f>
        <v>87.844739530132784</v>
      </c>
      <c r="K50" s="944"/>
      <c r="L50" s="944"/>
      <c r="M50" s="942" t="s">
        <v>226</v>
      </c>
      <c r="N50" s="946" t="s">
        <v>229</v>
      </c>
      <c r="O50" s="883"/>
      <c r="BH50" s="47"/>
      <c r="BI50" s="932"/>
      <c r="BJ50" s="100"/>
      <c r="BK50" s="100"/>
      <c r="BL50" s="101"/>
      <c r="BM50" s="100"/>
      <c r="BN50" s="100"/>
      <c r="BO50" s="100"/>
      <c r="BU50" s="105">
        <v>7</v>
      </c>
      <c r="BV50" s="71">
        <f>IF(CB59=18,1)</f>
        <v>1</v>
      </c>
      <c r="BW50" s="109"/>
      <c r="BX50" s="109"/>
      <c r="BY50" s="109"/>
      <c r="BZ50" s="109"/>
      <c r="CA50" s="109"/>
      <c r="CB50" s="109"/>
      <c r="CC50" s="109"/>
      <c r="CD50" s="109"/>
      <c r="CE50" s="109"/>
      <c r="CF50" s="109"/>
      <c r="CG50" s="109"/>
      <c r="CH50" s="75">
        <f>IF(CB59=18,13)</f>
        <v>13</v>
      </c>
      <c r="CI50" s="101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</row>
    <row r="51" spans="2:105" ht="29" hidden="1" thickBot="1" x14ac:dyDescent="0.35">
      <c r="G51" s="890"/>
      <c r="H51" s="22"/>
      <c r="I51" s="22"/>
      <c r="J51" s="22"/>
      <c r="K51" s="22"/>
      <c r="L51" s="22"/>
      <c r="M51" s="22"/>
      <c r="N51" s="22"/>
      <c r="O51" s="883"/>
      <c r="BH51" s="47"/>
      <c r="BI51" s="932"/>
      <c r="BJ51" s="100"/>
      <c r="BK51" s="100"/>
      <c r="BL51" s="101"/>
      <c r="BM51" s="100"/>
      <c r="BN51" s="100"/>
      <c r="BO51" s="100"/>
      <c r="BU51" s="105">
        <v>6</v>
      </c>
      <c r="BV51" s="71" t="b">
        <f>IF(CA59=17,1)</f>
        <v>0</v>
      </c>
      <c r="BW51" s="109"/>
      <c r="BX51" s="109"/>
      <c r="BY51" s="109"/>
      <c r="BZ51" s="109"/>
      <c r="CA51" s="109"/>
      <c r="CB51" s="109"/>
      <c r="CC51" s="109"/>
      <c r="CD51" s="109"/>
      <c r="CE51" s="109"/>
      <c r="CF51" s="75" t="b">
        <f>IF(CA59=17,11)</f>
        <v>0</v>
      </c>
      <c r="CG51" s="100"/>
      <c r="CH51" s="100"/>
      <c r="CI51" s="101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</row>
    <row r="52" spans="2:105" ht="29" hidden="1" thickBot="1" x14ac:dyDescent="0.35">
      <c r="G52" s="890"/>
      <c r="H52" s="22"/>
      <c r="I52" s="814">
        <v>64</v>
      </c>
      <c r="J52" s="937" t="s">
        <v>191</v>
      </c>
      <c r="K52" s="938"/>
      <c r="L52" s="938"/>
      <c r="M52" s="938"/>
      <c r="N52" s="22"/>
      <c r="O52" s="883"/>
      <c r="BH52" s="47"/>
      <c r="BI52" s="932"/>
      <c r="BJ52" s="100"/>
      <c r="BK52" s="100"/>
      <c r="BL52" s="101"/>
      <c r="BM52" s="100"/>
      <c r="BN52" s="100"/>
      <c r="BO52" s="100"/>
      <c r="BU52" s="105">
        <v>5</v>
      </c>
      <c r="BV52" s="68" t="b">
        <f>IF(BZ59=16,1)</f>
        <v>0</v>
      </c>
      <c r="BW52" s="108"/>
      <c r="BX52" s="108"/>
      <c r="BY52" s="69"/>
      <c r="BZ52" s="108"/>
      <c r="CA52" s="69"/>
      <c r="CB52" s="108"/>
      <c r="CC52" s="108"/>
      <c r="CD52" s="60" t="b">
        <f>IF(BZ59=16,9)</f>
        <v>0</v>
      </c>
      <c r="CE52" s="100"/>
      <c r="CF52" s="100"/>
      <c r="CG52" s="100"/>
      <c r="CH52" s="100"/>
      <c r="CI52" s="101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</row>
    <row r="53" spans="2:105" ht="29" hidden="1" thickBot="1" x14ac:dyDescent="0.35">
      <c r="G53" s="951" t="s">
        <v>187</v>
      </c>
      <c r="H53" s="952" t="s">
        <v>217</v>
      </c>
      <c r="I53" s="22"/>
      <c r="J53" s="817" t="s">
        <v>190</v>
      </c>
      <c r="K53" s="816"/>
      <c r="L53" s="817" t="s">
        <v>186</v>
      </c>
      <c r="M53" s="887"/>
      <c r="N53" s="22"/>
      <c r="O53" s="883"/>
      <c r="BH53" s="47"/>
      <c r="BI53" s="932"/>
      <c r="BJ53" s="100"/>
      <c r="BK53" s="100"/>
      <c r="BL53" s="101"/>
      <c r="BM53" s="100"/>
      <c r="BN53" s="100"/>
      <c r="BO53" s="100"/>
      <c r="BU53" s="105">
        <v>4</v>
      </c>
      <c r="BV53" s="68" t="b">
        <f>IF(BY59=15,1)</f>
        <v>0</v>
      </c>
      <c r="BW53" s="69"/>
      <c r="BX53" s="69"/>
      <c r="BY53" s="108"/>
      <c r="BZ53" s="69"/>
      <c r="CA53" s="69"/>
      <c r="CB53" s="60" t="b">
        <f>IF(BY59=15,7)</f>
        <v>0</v>
      </c>
      <c r="CC53" s="100"/>
      <c r="CD53" s="100"/>
      <c r="CE53" s="100"/>
      <c r="CF53" s="100"/>
      <c r="CG53" s="100"/>
      <c r="CH53" s="100"/>
      <c r="CI53" s="101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</row>
    <row r="54" spans="2:105" ht="29" hidden="1" thickBot="1" x14ac:dyDescent="0.35">
      <c r="G54" s="813"/>
      <c r="H54" s="819"/>
      <c r="I54" s="22"/>
      <c r="J54" s="818">
        <f>+((H6-D3)/H6)*BK27</f>
        <v>59.223406199338818</v>
      </c>
      <c r="K54" s="818"/>
      <c r="L54" s="818">
        <f>+(D3/H6)*BK27</f>
        <v>38.676593800661195</v>
      </c>
      <c r="M54" s="816" t="s">
        <v>172</v>
      </c>
      <c r="N54" s="22"/>
      <c r="O54" s="883"/>
      <c r="BH54" s="47"/>
      <c r="BI54" s="932"/>
      <c r="BJ54" s="100"/>
      <c r="BK54" s="100"/>
      <c r="BL54" s="101"/>
      <c r="BM54" s="100"/>
      <c r="BN54" s="100"/>
      <c r="BO54" s="100"/>
      <c r="BU54" s="105">
        <v>3</v>
      </c>
      <c r="BV54" s="71" t="b">
        <f>IF(BX59=14,1)</f>
        <v>0</v>
      </c>
      <c r="BW54" s="109"/>
      <c r="BX54" s="109"/>
      <c r="BY54" s="109"/>
      <c r="BZ54" s="75" t="b">
        <f>IF(BX59=14,5)</f>
        <v>0</v>
      </c>
      <c r="CA54" s="100"/>
      <c r="CB54" s="100"/>
      <c r="CC54" s="100"/>
      <c r="CD54" s="100"/>
      <c r="CE54" s="100"/>
      <c r="CF54" s="100"/>
      <c r="CG54" s="100"/>
      <c r="CH54" s="100"/>
      <c r="CI54" s="101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40"/>
      <c r="CW54" s="40"/>
      <c r="CX54" s="40"/>
    </row>
    <row r="55" spans="2:105" ht="29" hidden="1" thickBot="1" x14ac:dyDescent="0.35">
      <c r="G55" s="950"/>
      <c r="H55" s="368"/>
      <c r="I55" s="22"/>
      <c r="J55" s="820">
        <f>ABS($H$1/J54)</f>
        <v>97.93425221909564</v>
      </c>
      <c r="K55" s="820"/>
      <c r="L55" s="820">
        <f>ABS($H$1/L54)</f>
        <v>149.96149945088615</v>
      </c>
      <c r="M55" s="821" t="s">
        <v>173</v>
      </c>
      <c r="N55" s="22"/>
      <c r="O55" s="883"/>
      <c r="BH55" s="47"/>
      <c r="BI55" s="932"/>
      <c r="BJ55" s="100"/>
      <c r="BK55" s="100"/>
      <c r="BL55" s="101"/>
      <c r="BM55" s="100"/>
      <c r="BN55" s="100"/>
      <c r="BO55" s="100"/>
      <c r="BU55" s="105">
        <v>2</v>
      </c>
      <c r="BV55" s="71" t="b">
        <f>IF(BW59=13,1)</f>
        <v>0</v>
      </c>
      <c r="BW55" s="109"/>
      <c r="BX55" s="75" t="b">
        <f>IF(BW59=13,3)</f>
        <v>0</v>
      </c>
      <c r="BY55" s="100"/>
      <c r="BZ55" s="100"/>
      <c r="CA55" s="100"/>
      <c r="CB55" s="100"/>
      <c r="CC55" s="100"/>
      <c r="CD55" s="100"/>
      <c r="CE55" s="100"/>
      <c r="CF55" s="100"/>
      <c r="CG55" s="100"/>
      <c r="CH55" s="100"/>
      <c r="CI55" s="101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</row>
    <row r="56" spans="2:105" ht="28.5" hidden="1" customHeight="1" thickBot="1" x14ac:dyDescent="0.35">
      <c r="G56" s="950"/>
      <c r="H56" s="368"/>
      <c r="I56" s="855"/>
      <c r="J56" s="944">
        <f>ABS($E$20/BK27)*2</f>
        <v>87.844739530132784</v>
      </c>
      <c r="K56" s="944"/>
      <c r="L56" s="944"/>
      <c r="M56" s="942" t="s">
        <v>226</v>
      </c>
      <c r="N56" s="946" t="s">
        <v>229</v>
      </c>
      <c r="O56" s="883"/>
      <c r="BH56" s="47"/>
      <c r="BI56" s="932"/>
      <c r="BJ56" s="100"/>
      <c r="BK56" s="100"/>
      <c r="BL56" s="101"/>
      <c r="BM56" s="100"/>
      <c r="BN56" s="100"/>
      <c r="BO56" s="100"/>
      <c r="BP56" s="38"/>
      <c r="BQ56" s="100"/>
      <c r="BU56" s="100"/>
      <c r="BV56" s="100"/>
      <c r="BW56" s="100"/>
      <c r="BX56" s="100"/>
      <c r="BY56" s="100"/>
      <c r="BZ56" s="100"/>
      <c r="CA56" s="100"/>
      <c r="CB56" s="100"/>
      <c r="CC56" s="100"/>
      <c r="CD56" s="100"/>
      <c r="CE56" s="100"/>
      <c r="CF56" s="101"/>
      <c r="CG56" s="62"/>
      <c r="CH56" s="62"/>
      <c r="CI56" s="62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</row>
    <row r="57" spans="2:105" ht="50.25" customHeight="1" thickBot="1" x14ac:dyDescent="0.35">
      <c r="G57" s="890"/>
      <c r="H57" s="22"/>
      <c r="I57" s="22"/>
      <c r="J57" s="22"/>
      <c r="K57" s="22"/>
      <c r="L57" s="22"/>
      <c r="M57" s="22"/>
      <c r="N57" s="22"/>
      <c r="O57" s="883"/>
      <c r="BG57" s="668"/>
      <c r="BH57" s="111"/>
      <c r="BI57" s="936" t="s">
        <v>110</v>
      </c>
      <c r="BJ57" s="874" t="s">
        <v>115</v>
      </c>
      <c r="BK57" s="112"/>
      <c r="BL57" s="113"/>
      <c r="BM57" s="113"/>
      <c r="BN57" s="113"/>
      <c r="BO57" s="113"/>
      <c r="BP57" s="113"/>
      <c r="BQ57" s="113"/>
      <c r="BR57" s="113"/>
      <c r="BS57" s="113"/>
      <c r="BT57" s="113"/>
      <c r="BU57" s="113"/>
      <c r="BV57" s="450">
        <f t="shared" ref="BV57:CO57" si="0">SUM(BV38:BV56)</f>
        <v>1</v>
      </c>
      <c r="BW57" s="451">
        <f t="shared" si="0"/>
        <v>0</v>
      </c>
      <c r="BX57" s="451">
        <f t="shared" si="0"/>
        <v>0</v>
      </c>
      <c r="BY57" s="451">
        <f t="shared" si="0"/>
        <v>0</v>
      </c>
      <c r="BZ57" s="451">
        <f t="shared" si="0"/>
        <v>0</v>
      </c>
      <c r="CA57" s="451">
        <f t="shared" si="0"/>
        <v>0</v>
      </c>
      <c r="CB57" s="451">
        <f t="shared" si="0"/>
        <v>0</v>
      </c>
      <c r="CC57" s="451">
        <f t="shared" si="0"/>
        <v>0</v>
      </c>
      <c r="CD57" s="451">
        <f t="shared" si="0"/>
        <v>0</v>
      </c>
      <c r="CE57" s="451">
        <f t="shared" si="0"/>
        <v>0</v>
      </c>
      <c r="CF57" s="451">
        <f t="shared" si="0"/>
        <v>0</v>
      </c>
      <c r="CG57" s="451">
        <f t="shared" si="0"/>
        <v>0</v>
      </c>
      <c r="CH57" s="451">
        <f t="shared" si="0"/>
        <v>13</v>
      </c>
      <c r="CI57" s="451">
        <f t="shared" si="0"/>
        <v>0</v>
      </c>
      <c r="CJ57" s="451">
        <f t="shared" si="0"/>
        <v>0</v>
      </c>
      <c r="CK57" s="451">
        <f t="shared" si="0"/>
        <v>0</v>
      </c>
      <c r="CL57" s="451">
        <f t="shared" si="0"/>
        <v>0</v>
      </c>
      <c r="CM57" s="451">
        <f t="shared" si="0"/>
        <v>0</v>
      </c>
      <c r="CN57" s="451">
        <f t="shared" si="0"/>
        <v>0</v>
      </c>
      <c r="CO57" s="452">
        <f t="shared" si="0"/>
        <v>0</v>
      </c>
      <c r="CP57" s="113"/>
      <c r="CQ57" s="113"/>
      <c r="CR57" s="113"/>
      <c r="CS57" s="114"/>
      <c r="CT57" s="114"/>
      <c r="CU57" s="114"/>
      <c r="CV57" s="114"/>
      <c r="CW57" s="114"/>
      <c r="CX57" s="114"/>
      <c r="CY57" s="115"/>
    </row>
    <row r="58" spans="2:105" ht="40.5" customHeight="1" thickBot="1" x14ac:dyDescent="0.35">
      <c r="G58" s="890"/>
      <c r="H58" s="22"/>
      <c r="I58" s="22"/>
      <c r="J58" s="22"/>
      <c r="K58" s="22"/>
      <c r="L58" s="22"/>
      <c r="M58" s="22"/>
      <c r="N58" s="22"/>
      <c r="O58" s="883"/>
      <c r="BE58" s="37"/>
      <c r="BF58" s="746">
        <v>4</v>
      </c>
      <c r="BG58" s="958" t="b">
        <f>AND(BI58&gt;=10,$BA$143&gt;=10,$BB$143&gt;=10,$BA$180&gt;=10,$BB$180&gt;=10,$BA$204&gt;=10,$BB$204&gt;=10)</f>
        <v>1</v>
      </c>
      <c r="BH58" s="873" t="str">
        <f>IF(BG58=TRUE,"O K","OVERLOAD")</f>
        <v>O K</v>
      </c>
      <c r="BI58" s="947">
        <f>+$E$20/(BK27/2)</f>
        <v>87.844739530132784</v>
      </c>
      <c r="BJ58" s="116"/>
      <c r="BK58" s="62"/>
      <c r="BL58" s="63"/>
      <c r="BM58" s="62"/>
      <c r="BN58" s="62"/>
      <c r="BO58" s="62"/>
      <c r="BP58" s="63"/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62"/>
      <c r="CC58" s="62"/>
      <c r="CD58" s="62"/>
      <c r="CE58" s="62"/>
      <c r="CF58" s="62"/>
      <c r="CG58" s="62"/>
      <c r="CH58" s="62"/>
      <c r="CI58" s="62"/>
      <c r="CJ58" s="62"/>
      <c r="CK58" s="62"/>
      <c r="CL58" s="62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</row>
    <row r="59" spans="2:105" s="37" customFormat="1" ht="45.75" hidden="1" customHeight="1" x14ac:dyDescent="0.3">
      <c r="B59" s="110"/>
      <c r="C59" s="110"/>
      <c r="G59" s="890"/>
      <c r="H59" s="22"/>
      <c r="I59" s="22"/>
      <c r="J59" s="22"/>
      <c r="K59" s="22"/>
      <c r="L59" s="22"/>
      <c r="M59" s="22"/>
      <c r="N59" s="22"/>
      <c r="O59" s="883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D59"/>
      <c r="BE59" s="46"/>
      <c r="BF59" s="746"/>
      <c r="BG59" s="668"/>
      <c r="BH59" s="111"/>
      <c r="BI59" s="932"/>
      <c r="BJ59" s="38"/>
      <c r="BK59" s="117" t="b">
        <f>+CG232</f>
        <v>0</v>
      </c>
      <c r="BL59" s="117" t="b">
        <f>+CG233</f>
        <v>0</v>
      </c>
      <c r="BM59" s="117" t="b">
        <f>+CG234</f>
        <v>0</v>
      </c>
      <c r="BN59" s="117" t="b">
        <f>+CG235</f>
        <v>0</v>
      </c>
      <c r="BO59" s="117" t="b">
        <f>+CG236</f>
        <v>0</v>
      </c>
      <c r="BP59" s="117" t="b">
        <f>+CG237</f>
        <v>0</v>
      </c>
      <c r="BQ59" s="117" t="b">
        <f>+CG238</f>
        <v>0</v>
      </c>
      <c r="BR59" s="117" t="b">
        <f>+CG239</f>
        <v>0</v>
      </c>
      <c r="BS59" s="117" t="b">
        <f>+CG240</f>
        <v>0</v>
      </c>
      <c r="BT59" s="117" t="b">
        <f>+CG241</f>
        <v>0</v>
      </c>
      <c r="BU59" s="117" t="b">
        <f>+CG242</f>
        <v>0</v>
      </c>
      <c r="BV59" s="117" t="b">
        <f>+CG243</f>
        <v>0</v>
      </c>
      <c r="BW59" s="117" t="b">
        <f>+CG244</f>
        <v>0</v>
      </c>
      <c r="BX59" s="117" t="b">
        <f>+CG245</f>
        <v>0</v>
      </c>
      <c r="BY59" s="117" t="b">
        <f>+CG246</f>
        <v>0</v>
      </c>
      <c r="BZ59" s="117" t="b">
        <f>+CG247</f>
        <v>0</v>
      </c>
      <c r="CA59" s="117" t="b">
        <f>+CG248</f>
        <v>0</v>
      </c>
      <c r="CB59" s="117">
        <f>+CG249</f>
        <v>18</v>
      </c>
      <c r="CC59" s="117" t="b">
        <f>+CG250</f>
        <v>0</v>
      </c>
      <c r="CD59" s="117" t="b">
        <f>+CG251</f>
        <v>0</v>
      </c>
      <c r="CE59" s="117" t="b">
        <f>+CG252</f>
        <v>0</v>
      </c>
      <c r="CF59" s="117" t="b">
        <f>+CG253</f>
        <v>0</v>
      </c>
      <c r="CG59" s="117" t="b">
        <f>+CG254</f>
        <v>0</v>
      </c>
      <c r="CH59" s="117" t="b">
        <f>+CG255</f>
        <v>0</v>
      </c>
      <c r="CI59" s="117" t="b">
        <f>+CG256</f>
        <v>0</v>
      </c>
      <c r="CJ59" s="117" t="b">
        <f>+CG257</f>
        <v>0</v>
      </c>
      <c r="CK59" s="117" t="b">
        <f>+CG258</f>
        <v>0</v>
      </c>
      <c r="CL59" s="117" t="b">
        <f>+CG259</f>
        <v>0</v>
      </c>
      <c r="CM59" s="117" t="b">
        <f>+CG260</f>
        <v>0</v>
      </c>
      <c r="CN59" s="117" t="b">
        <f>+CG261</f>
        <v>0</v>
      </c>
      <c r="CO59" s="117" t="b">
        <f>+CG262</f>
        <v>0</v>
      </c>
      <c r="CP59" s="117" t="b">
        <f>+CG263</f>
        <v>0</v>
      </c>
      <c r="CQ59" s="117" t="b">
        <f>+CG264</f>
        <v>0</v>
      </c>
      <c r="CR59" s="117" t="b">
        <f>+CG265</f>
        <v>0</v>
      </c>
      <c r="CS59" s="117" t="b">
        <f>+CG266</f>
        <v>0</v>
      </c>
      <c r="CT59" s="117" t="b">
        <f>+CG267</f>
        <v>0</v>
      </c>
      <c r="CU59" s="117" t="b">
        <f>+CG268</f>
        <v>0</v>
      </c>
      <c r="CV59" s="117" t="b">
        <f>+CG269</f>
        <v>0</v>
      </c>
      <c r="CW59" s="117" t="b">
        <f>+CG270</f>
        <v>0</v>
      </c>
      <c r="CX59" s="117" t="b">
        <f>+CG271</f>
        <v>0</v>
      </c>
      <c r="CY59" s="117" t="b">
        <f>+CG272</f>
        <v>0</v>
      </c>
      <c r="CZ59"/>
      <c r="DA59"/>
    </row>
    <row r="60" spans="2:105" ht="45" hidden="1" customHeight="1" x14ac:dyDescent="0.3">
      <c r="G60" s="890"/>
      <c r="H60" s="22"/>
      <c r="I60" s="22"/>
      <c r="J60" s="22"/>
      <c r="K60" s="22"/>
      <c r="L60" s="22"/>
      <c r="M60" s="22"/>
      <c r="N60" s="22"/>
      <c r="O60" s="883"/>
      <c r="U60" s="67"/>
      <c r="BE60" s="46"/>
      <c r="BG60" s="668"/>
      <c r="BH60" s="111"/>
      <c r="BI60" s="932"/>
      <c r="BJ60" s="40"/>
      <c r="BK60" s="118" t="b">
        <f t="shared" ref="BK60:CY60" si="1">+BK59</f>
        <v>0</v>
      </c>
      <c r="BL60" s="118" t="b">
        <f t="shared" si="1"/>
        <v>0</v>
      </c>
      <c r="BM60" s="118" t="b">
        <f t="shared" si="1"/>
        <v>0</v>
      </c>
      <c r="BN60" s="118" t="b">
        <f t="shared" si="1"/>
        <v>0</v>
      </c>
      <c r="BO60" s="118" t="b">
        <f t="shared" si="1"/>
        <v>0</v>
      </c>
      <c r="BP60" s="118" t="b">
        <f t="shared" si="1"/>
        <v>0</v>
      </c>
      <c r="BQ60" s="118" t="b">
        <f t="shared" si="1"/>
        <v>0</v>
      </c>
      <c r="BR60" s="118" t="b">
        <f t="shared" si="1"/>
        <v>0</v>
      </c>
      <c r="BS60" s="118" t="b">
        <f t="shared" si="1"/>
        <v>0</v>
      </c>
      <c r="BT60" s="118" t="b">
        <f t="shared" si="1"/>
        <v>0</v>
      </c>
      <c r="BU60" s="118" t="b">
        <f t="shared" si="1"/>
        <v>0</v>
      </c>
      <c r="BV60" s="118" t="b">
        <f t="shared" si="1"/>
        <v>0</v>
      </c>
      <c r="BW60" s="118" t="b">
        <f t="shared" si="1"/>
        <v>0</v>
      </c>
      <c r="BX60" s="118" t="b">
        <f t="shared" si="1"/>
        <v>0</v>
      </c>
      <c r="BY60" s="118" t="b">
        <f t="shared" si="1"/>
        <v>0</v>
      </c>
      <c r="BZ60" s="118" t="b">
        <f t="shared" si="1"/>
        <v>0</v>
      </c>
      <c r="CA60" s="118" t="b">
        <f t="shared" si="1"/>
        <v>0</v>
      </c>
      <c r="CB60" s="118">
        <f t="shared" si="1"/>
        <v>18</v>
      </c>
      <c r="CC60" s="118" t="b">
        <f t="shared" si="1"/>
        <v>0</v>
      </c>
      <c r="CD60" s="118" t="b">
        <f t="shared" si="1"/>
        <v>0</v>
      </c>
      <c r="CE60" s="118" t="b">
        <f t="shared" si="1"/>
        <v>0</v>
      </c>
      <c r="CF60" s="118" t="b">
        <f t="shared" si="1"/>
        <v>0</v>
      </c>
      <c r="CG60" s="118" t="b">
        <f t="shared" si="1"/>
        <v>0</v>
      </c>
      <c r="CH60" s="118" t="b">
        <f t="shared" si="1"/>
        <v>0</v>
      </c>
      <c r="CI60" s="118" t="b">
        <f t="shared" si="1"/>
        <v>0</v>
      </c>
      <c r="CJ60" s="118" t="b">
        <f t="shared" si="1"/>
        <v>0</v>
      </c>
      <c r="CK60" s="118" t="b">
        <f t="shared" si="1"/>
        <v>0</v>
      </c>
      <c r="CL60" s="118" t="b">
        <f t="shared" si="1"/>
        <v>0</v>
      </c>
      <c r="CM60" s="118" t="b">
        <f t="shared" si="1"/>
        <v>0</v>
      </c>
      <c r="CN60" s="118" t="b">
        <f t="shared" si="1"/>
        <v>0</v>
      </c>
      <c r="CO60" s="118" t="b">
        <f t="shared" si="1"/>
        <v>0</v>
      </c>
      <c r="CP60" s="118" t="b">
        <f t="shared" si="1"/>
        <v>0</v>
      </c>
      <c r="CQ60" s="118" t="b">
        <f t="shared" si="1"/>
        <v>0</v>
      </c>
      <c r="CR60" s="118" t="b">
        <f t="shared" si="1"/>
        <v>0</v>
      </c>
      <c r="CS60" s="118" t="b">
        <f t="shared" si="1"/>
        <v>0</v>
      </c>
      <c r="CT60" s="118" t="b">
        <f t="shared" si="1"/>
        <v>0</v>
      </c>
      <c r="CU60" s="118" t="b">
        <f t="shared" si="1"/>
        <v>0</v>
      </c>
      <c r="CV60" s="118" t="b">
        <f t="shared" si="1"/>
        <v>0</v>
      </c>
      <c r="CW60" s="118" t="b">
        <f t="shared" si="1"/>
        <v>0</v>
      </c>
      <c r="CX60" s="118" t="b">
        <f t="shared" si="1"/>
        <v>0</v>
      </c>
      <c r="CY60" s="118" t="b">
        <f t="shared" si="1"/>
        <v>0</v>
      </c>
    </row>
    <row r="61" spans="2:105" ht="15" customHeight="1" thickBot="1" x14ac:dyDescent="0.35">
      <c r="G61" s="890"/>
      <c r="H61" s="22"/>
      <c r="I61" s="22"/>
      <c r="J61" s="22"/>
      <c r="K61" s="22"/>
      <c r="L61" s="22"/>
      <c r="M61" s="22"/>
      <c r="N61" s="22"/>
      <c r="O61" s="883"/>
      <c r="BE61" s="46"/>
      <c r="BG61" s="668"/>
      <c r="BH61" s="111"/>
      <c r="BI61" s="932"/>
      <c r="BJ61" s="40"/>
      <c r="BK61" s="118"/>
      <c r="BL61" s="118"/>
      <c r="BM61" s="118"/>
      <c r="BN61" s="118"/>
      <c r="BO61" s="118"/>
      <c r="BP61" s="118"/>
      <c r="BQ61" s="118"/>
      <c r="BR61" s="118"/>
      <c r="BS61" s="118"/>
      <c r="BT61" s="118"/>
      <c r="BU61" s="118"/>
      <c r="BV61" s="118"/>
      <c r="BW61" s="118"/>
      <c r="BX61" s="118"/>
      <c r="BY61" s="118"/>
      <c r="BZ61" s="118"/>
      <c r="CA61" s="118"/>
      <c r="CB61" s="118"/>
      <c r="CC61" s="118"/>
      <c r="CD61" s="118"/>
      <c r="CE61" s="118"/>
      <c r="CF61" s="118"/>
      <c r="CG61" s="118"/>
      <c r="CH61" s="118"/>
      <c r="CI61" s="118"/>
      <c r="CJ61" s="118"/>
      <c r="CK61" s="118"/>
      <c r="CL61" s="118"/>
      <c r="CM61" s="118"/>
      <c r="CN61" s="118"/>
      <c r="CO61" s="118"/>
      <c r="CP61" s="118"/>
      <c r="CQ61" s="118"/>
      <c r="CR61" s="118"/>
      <c r="CS61" s="118"/>
      <c r="CT61" s="118"/>
      <c r="CU61" s="118"/>
      <c r="CV61" s="118"/>
      <c r="CW61" s="40"/>
      <c r="CX61" s="40"/>
    </row>
    <row r="62" spans="2:105" ht="50.25" customHeight="1" thickBot="1" x14ac:dyDescent="0.35">
      <c r="F62" s="370"/>
      <c r="G62" s="890"/>
      <c r="H62" s="22"/>
      <c r="I62" s="22"/>
      <c r="J62" s="22"/>
      <c r="K62" s="22"/>
      <c r="L62" s="22"/>
      <c r="M62" s="22"/>
      <c r="N62" s="22"/>
      <c r="O62" s="883"/>
      <c r="BE62" s="46"/>
      <c r="BG62" s="668"/>
      <c r="BH62" s="111"/>
      <c r="BI62" s="876" t="s">
        <v>110</v>
      </c>
      <c r="BJ62" s="119" t="s">
        <v>80</v>
      </c>
      <c r="BK62" s="446" t="str">
        <f>IF(BK60=1,20,"")</f>
        <v/>
      </c>
      <c r="BL62" s="447" t="str">
        <f>IF(BL60=2,19,"")</f>
        <v/>
      </c>
      <c r="BM62" s="447" t="str">
        <f>IF(BM60=3,18,"")</f>
        <v/>
      </c>
      <c r="BN62" s="447" t="str">
        <f>IF(BN60=4,17,"")</f>
        <v/>
      </c>
      <c r="BO62" s="447" t="str">
        <f>IF(BO60=5,16,"")</f>
        <v/>
      </c>
      <c r="BP62" s="447" t="str">
        <f>IF(BP60=6,15,"")</f>
        <v/>
      </c>
      <c r="BQ62" s="447" t="str">
        <f>IF(BQ60=7,14,"")</f>
        <v/>
      </c>
      <c r="BR62" s="447" t="str">
        <f>IF(BR60=8,13,"")</f>
        <v/>
      </c>
      <c r="BS62" s="447" t="str">
        <f>IF(BS60=9,12,"")</f>
        <v/>
      </c>
      <c r="BT62" s="447" t="str">
        <f>IF(BT60=10,11,"")</f>
        <v/>
      </c>
      <c r="BU62" s="447" t="str">
        <f>IF(BU60=11,10,"")</f>
        <v/>
      </c>
      <c r="BV62" s="515" t="str">
        <f>IF(BV60=12,1,"")</f>
        <v/>
      </c>
      <c r="BW62" s="445" t="str">
        <f>IF(BW60=13,2,"")</f>
        <v/>
      </c>
      <c r="BX62" s="445" t="str">
        <f>IF(BX60=14,3,"")</f>
        <v/>
      </c>
      <c r="BY62" s="445" t="str">
        <f>IF(BY60=15,4,"")</f>
        <v/>
      </c>
      <c r="BZ62" s="445" t="str">
        <f>IF(BZ60=16,5,"")</f>
        <v/>
      </c>
      <c r="CA62" s="445" t="str">
        <f>IF(CA60=17,6,"")</f>
        <v/>
      </c>
      <c r="CB62" s="445">
        <f>IF(CB60=18,7,"")</f>
        <v>7</v>
      </c>
      <c r="CC62" s="445" t="str">
        <f>IF(CC60=19,8,"")</f>
        <v/>
      </c>
      <c r="CD62" s="445" t="str">
        <f>IF(CD60=20,9,"")</f>
        <v/>
      </c>
      <c r="CE62" s="445" t="str">
        <f>IF(CE60=21,10,"")</f>
        <v/>
      </c>
      <c r="CF62" s="445" t="str">
        <f>IF(CF60=22,11,"")</f>
        <v/>
      </c>
      <c r="CG62" s="445" t="str">
        <f>IF(CG60=23,12,"")</f>
        <v/>
      </c>
      <c r="CH62" s="445" t="str">
        <f>IF(CH60=24,13,"")</f>
        <v/>
      </c>
      <c r="CI62" s="445" t="str">
        <f>IF(CI60=25,14,"")</f>
        <v/>
      </c>
      <c r="CJ62" s="445" t="str">
        <f>IF(CJ60=26,15,"")</f>
        <v/>
      </c>
      <c r="CK62" s="445" t="str">
        <f>IF(CK60=27,16,"")</f>
        <v/>
      </c>
      <c r="CL62" s="445" t="str">
        <f>IF(CL60=28,17,"")</f>
        <v/>
      </c>
      <c r="CM62" s="445" t="str">
        <f>IF(CM60=29,18,"")</f>
        <v/>
      </c>
      <c r="CN62" s="445" t="str">
        <f>IF(CN60=30,19,"")</f>
        <v/>
      </c>
      <c r="CO62" s="516" t="str">
        <f>IF(CO60=31,20,"")</f>
        <v/>
      </c>
      <c r="CP62" s="448" t="str">
        <f>IF(CP60=32,11,"")</f>
        <v/>
      </c>
      <c r="CQ62" s="448" t="str">
        <f>IF(CQ60=33,12,"")</f>
        <v/>
      </c>
      <c r="CR62" s="448" t="str">
        <f>IF(CR60=34,13,"")</f>
        <v/>
      </c>
      <c r="CS62" s="448" t="str">
        <f>IF(CS60=35,14,"")</f>
        <v/>
      </c>
      <c r="CT62" s="448" t="str">
        <f>IF(CT60=36,15,"")</f>
        <v/>
      </c>
      <c r="CU62" s="448" t="str">
        <f>IF(CU60=37,16,"")</f>
        <v/>
      </c>
      <c r="CV62" s="448" t="str">
        <f>IF(CV60=38,17,"")</f>
        <v/>
      </c>
      <c r="CW62" s="448" t="str">
        <f>IF(CW60=39,18,"")</f>
        <v/>
      </c>
      <c r="CX62" s="448" t="str">
        <f>IF(CX60=40,19,"")</f>
        <v/>
      </c>
      <c r="CY62" s="449" t="str">
        <f>IF(CY60=41,20,"")</f>
        <v/>
      </c>
    </row>
    <row r="63" spans="2:105" ht="40.5" customHeight="1" thickBot="1" x14ac:dyDescent="0.35">
      <c r="G63" s="890"/>
      <c r="H63" s="22"/>
      <c r="I63" s="22"/>
      <c r="J63" s="22"/>
      <c r="K63" s="22"/>
      <c r="L63" s="22"/>
      <c r="M63" s="22"/>
      <c r="N63" s="22"/>
      <c r="O63" s="883"/>
      <c r="BF63" s="746">
        <v>5</v>
      </c>
      <c r="BG63" s="958" t="b">
        <f>AND(BI63&gt;=10,$BA$143&gt;=10,$BB$143&gt;=10,$BA$180&gt;=10,$BB$180&gt;=10,$BA$204&gt;=10,$BB$204&gt;=10)</f>
        <v>1</v>
      </c>
      <c r="BH63" s="45" t="str">
        <f>IF(BG63=TRUE,"O K","OVERLOAD")</f>
        <v>O K</v>
      </c>
      <c r="BI63" s="934">
        <f>IF(SUM(BK62:BU62)&gt;0,K85,0)+IF(SUM(BV62:CO62)&gt;0,L85,0)+IF(SUM(CP62:CY62)&gt;0,M85,0)</f>
        <v>43.922369765066392</v>
      </c>
      <c r="BJ63" s="781" t="s">
        <v>92</v>
      </c>
      <c r="BK63" s="780">
        <v>-10</v>
      </c>
      <c r="BL63" s="780">
        <v>-9</v>
      </c>
      <c r="BM63" s="780">
        <v>-8</v>
      </c>
      <c r="BN63" s="780">
        <v>-7</v>
      </c>
      <c r="BO63" s="780">
        <v>-6</v>
      </c>
      <c r="BP63" s="780">
        <v>-5</v>
      </c>
      <c r="BQ63" s="780">
        <v>-4</v>
      </c>
      <c r="BR63" s="780">
        <v>-3</v>
      </c>
      <c r="BS63" s="780">
        <v>-2</v>
      </c>
      <c r="BT63" s="780">
        <v>-1</v>
      </c>
      <c r="BU63" s="780">
        <v>0</v>
      </c>
      <c r="BV63" s="780">
        <v>1</v>
      </c>
      <c r="BW63" s="780">
        <v>2</v>
      </c>
      <c r="BX63" s="780">
        <v>3</v>
      </c>
      <c r="BY63" s="780">
        <v>4</v>
      </c>
      <c r="BZ63" s="780">
        <v>5</v>
      </c>
      <c r="CA63" s="780">
        <v>6</v>
      </c>
      <c r="CB63" s="780">
        <v>7</v>
      </c>
      <c r="CC63" s="780">
        <v>8</v>
      </c>
      <c r="CD63" s="780">
        <v>9</v>
      </c>
      <c r="CE63" s="780">
        <v>10</v>
      </c>
      <c r="CF63" s="780">
        <v>11</v>
      </c>
      <c r="CG63" s="780">
        <v>12</v>
      </c>
      <c r="CH63" s="780">
        <v>13</v>
      </c>
      <c r="CI63" s="780">
        <v>14</v>
      </c>
      <c r="CJ63" s="780">
        <v>15</v>
      </c>
      <c r="CK63" s="780">
        <v>16</v>
      </c>
      <c r="CL63" s="780">
        <v>17</v>
      </c>
      <c r="CM63" s="780">
        <v>18</v>
      </c>
      <c r="CN63" s="780">
        <v>19</v>
      </c>
      <c r="CO63" s="780">
        <v>20</v>
      </c>
      <c r="CP63" s="780">
        <v>21</v>
      </c>
      <c r="CQ63" s="780">
        <v>22</v>
      </c>
      <c r="CR63" s="780">
        <v>23</v>
      </c>
      <c r="CS63" s="780">
        <v>24</v>
      </c>
      <c r="CT63" s="780">
        <v>25</v>
      </c>
      <c r="CU63" s="780">
        <v>26</v>
      </c>
      <c r="CV63" s="780">
        <v>27</v>
      </c>
      <c r="CW63" s="780">
        <v>28</v>
      </c>
      <c r="CX63" s="780">
        <v>29</v>
      </c>
      <c r="CY63" s="780">
        <v>30</v>
      </c>
    </row>
    <row r="64" spans="2:105" ht="38.25" hidden="1" customHeight="1" x14ac:dyDescent="0.3">
      <c r="G64" s="890"/>
      <c r="H64" s="22"/>
      <c r="I64" s="22"/>
      <c r="J64" s="22"/>
      <c r="K64" s="22"/>
      <c r="L64" s="22"/>
      <c r="M64" s="22"/>
      <c r="N64" s="22"/>
      <c r="O64" s="883"/>
      <c r="BG64" s="668"/>
      <c r="BH64" s="81"/>
      <c r="BI64" s="105"/>
      <c r="BJ64" s="40"/>
      <c r="BK64" s="120">
        <v>1</v>
      </c>
      <c r="BL64" s="120">
        <v>2</v>
      </c>
      <c r="BM64" s="120">
        <v>3</v>
      </c>
      <c r="BN64" s="120">
        <v>4</v>
      </c>
      <c r="BO64" s="120">
        <v>5</v>
      </c>
      <c r="BP64" s="120">
        <v>6</v>
      </c>
      <c r="BQ64" s="120">
        <v>7</v>
      </c>
      <c r="BR64" s="120">
        <v>8</v>
      </c>
      <c r="BS64" s="120">
        <v>9</v>
      </c>
      <c r="BT64" s="120">
        <v>10</v>
      </c>
      <c r="BU64" s="120">
        <v>11</v>
      </c>
      <c r="BV64" s="120">
        <v>12</v>
      </c>
      <c r="BW64" s="120">
        <v>13</v>
      </c>
      <c r="BX64" s="120">
        <v>14</v>
      </c>
      <c r="BY64" s="120">
        <v>15</v>
      </c>
      <c r="BZ64" s="120">
        <v>16</v>
      </c>
      <c r="CA64" s="120">
        <v>17</v>
      </c>
      <c r="CB64" s="120">
        <v>18</v>
      </c>
      <c r="CC64" s="120">
        <v>19</v>
      </c>
      <c r="CD64" s="120">
        <v>20</v>
      </c>
      <c r="CE64" s="120">
        <v>21</v>
      </c>
      <c r="CF64" s="120">
        <v>22</v>
      </c>
      <c r="CG64" s="120">
        <v>23</v>
      </c>
      <c r="CH64" s="120">
        <v>24</v>
      </c>
      <c r="CI64" s="120">
        <v>25</v>
      </c>
      <c r="CJ64" s="120">
        <v>26</v>
      </c>
      <c r="CK64" s="120">
        <v>27</v>
      </c>
      <c r="CL64" s="120">
        <v>28</v>
      </c>
      <c r="CM64" s="120">
        <v>29</v>
      </c>
      <c r="CN64" s="120">
        <v>30</v>
      </c>
      <c r="CO64" s="120">
        <v>31</v>
      </c>
      <c r="CP64" s="120">
        <v>32</v>
      </c>
      <c r="CQ64" s="120">
        <v>33</v>
      </c>
      <c r="CR64" s="120">
        <v>34</v>
      </c>
      <c r="CS64" s="120">
        <v>35</v>
      </c>
      <c r="CT64" s="120">
        <v>36</v>
      </c>
      <c r="CU64" s="120">
        <v>37</v>
      </c>
      <c r="CV64" s="120">
        <v>38</v>
      </c>
      <c r="CW64" s="120">
        <v>39</v>
      </c>
      <c r="CX64" s="120">
        <v>40</v>
      </c>
      <c r="CY64" s="120">
        <v>41</v>
      </c>
    </row>
    <row r="65" spans="2:103" ht="48" hidden="1" customHeight="1" x14ac:dyDescent="0.3">
      <c r="E65" s="291"/>
      <c r="F65" s="291"/>
      <c r="G65" s="890"/>
      <c r="H65" s="22"/>
      <c r="I65" s="22"/>
      <c r="J65" s="22"/>
      <c r="K65" s="22"/>
      <c r="L65" s="22"/>
      <c r="M65" s="22"/>
      <c r="N65" s="22"/>
      <c r="O65" s="883"/>
      <c r="BG65" s="668"/>
      <c r="BH65" s="81"/>
      <c r="BI65" s="105"/>
      <c r="BJ65" s="40"/>
      <c r="BK65" s="120"/>
      <c r="BL65" s="120"/>
      <c r="BM65" s="120"/>
      <c r="BN65" s="120"/>
      <c r="BO65" s="120"/>
      <c r="BP65" s="120"/>
      <c r="BQ65" s="120"/>
      <c r="BR65" s="120"/>
      <c r="BS65" s="120"/>
      <c r="BT65" s="120"/>
      <c r="BU65" s="120"/>
      <c r="BV65" s="120"/>
      <c r="BW65" s="120"/>
      <c r="BX65" s="120"/>
      <c r="BY65" s="120"/>
      <c r="BZ65" s="120"/>
      <c r="CA65" s="120"/>
      <c r="CB65" s="120"/>
      <c r="CC65" s="120"/>
      <c r="CD65" s="120"/>
      <c r="CE65" s="120"/>
      <c r="CF65" s="120"/>
      <c r="CG65" s="120"/>
      <c r="CH65" s="120"/>
      <c r="CI65" s="120"/>
      <c r="CJ65" s="120"/>
      <c r="CK65" s="120"/>
      <c r="CL65" s="120"/>
      <c r="CM65" s="120"/>
      <c r="CN65" s="120"/>
      <c r="CO65" s="120"/>
      <c r="CP65" s="120"/>
      <c r="CQ65" s="120"/>
      <c r="CR65" s="120"/>
      <c r="CS65" s="120"/>
      <c r="CT65" s="120"/>
      <c r="CU65" s="120"/>
      <c r="CV65" s="120"/>
      <c r="CW65" s="120"/>
      <c r="CX65" s="120"/>
      <c r="CY65" s="120"/>
    </row>
    <row r="66" spans="2:103" ht="48" hidden="1" customHeight="1" x14ac:dyDescent="0.3">
      <c r="E66" s="291"/>
      <c r="F66" s="291"/>
      <c r="G66" s="890"/>
      <c r="H66" s="22"/>
      <c r="I66" s="22"/>
      <c r="J66" s="22"/>
      <c r="K66" s="22"/>
      <c r="L66" s="22"/>
      <c r="M66" s="22"/>
      <c r="N66" s="22"/>
      <c r="O66" s="883"/>
      <c r="BG66" s="668"/>
      <c r="BH66" s="81"/>
      <c r="BI66" s="105"/>
      <c r="BJ66" s="40"/>
      <c r="BK66" s="120"/>
      <c r="BL66" s="120"/>
      <c r="BM66" s="120"/>
      <c r="BN66" s="120"/>
      <c r="BO66" s="120"/>
      <c r="BP66" s="120"/>
      <c r="BQ66" s="120"/>
      <c r="BR66" s="120"/>
      <c r="BS66" s="120"/>
      <c r="BT66" s="120"/>
      <c r="BU66" s="120"/>
      <c r="BV66" s="120"/>
      <c r="BW66" s="120"/>
      <c r="BX66" s="120"/>
      <c r="BY66" s="120"/>
      <c r="BZ66" s="120"/>
      <c r="CA66" s="120"/>
      <c r="CB66" s="120"/>
      <c r="CC66" s="120"/>
      <c r="CD66" s="120"/>
      <c r="CE66" s="120"/>
      <c r="CF66" s="120"/>
      <c r="CG66" s="120"/>
      <c r="CH66" s="120"/>
      <c r="CI66" s="120"/>
      <c r="CJ66" s="120"/>
      <c r="CK66" s="120"/>
      <c r="CL66" s="120"/>
      <c r="CM66" s="120"/>
      <c r="CN66" s="120"/>
      <c r="CO66" s="120"/>
      <c r="CP66" s="120"/>
      <c r="CQ66" s="120"/>
      <c r="CR66" s="120"/>
      <c r="CS66" s="120"/>
      <c r="CT66" s="120"/>
      <c r="CU66" s="120"/>
      <c r="CV66" s="120"/>
      <c r="CW66" s="120"/>
      <c r="CX66" s="120"/>
      <c r="CY66" s="120"/>
    </row>
    <row r="67" spans="2:103" ht="48" hidden="1" customHeight="1" x14ac:dyDescent="0.3">
      <c r="E67" s="291"/>
      <c r="F67" s="291"/>
      <c r="G67" s="890"/>
      <c r="H67" s="22"/>
      <c r="I67" s="22"/>
      <c r="J67" s="22"/>
      <c r="K67" s="22"/>
      <c r="L67" s="22"/>
      <c r="M67" s="22"/>
      <c r="N67" s="22"/>
      <c r="O67" s="883"/>
      <c r="BG67" s="668"/>
      <c r="BH67" s="81"/>
      <c r="BI67" s="105"/>
      <c r="BJ67" s="40"/>
      <c r="BK67" s="120"/>
      <c r="BL67" s="120"/>
      <c r="BM67" s="120"/>
      <c r="BN67" s="120"/>
      <c r="BO67" s="120"/>
      <c r="BP67" s="120"/>
      <c r="BQ67" s="120"/>
      <c r="BR67" s="120"/>
      <c r="BS67" s="120"/>
      <c r="BT67" s="120"/>
      <c r="BU67" s="120"/>
      <c r="BV67" s="120"/>
      <c r="BW67" s="120"/>
      <c r="BX67" s="120"/>
      <c r="BY67" s="120"/>
      <c r="BZ67" s="120"/>
      <c r="CA67" s="120"/>
      <c r="CB67" s="120"/>
      <c r="CC67" s="120"/>
      <c r="CD67" s="120"/>
      <c r="CE67" s="120"/>
      <c r="CF67" s="120"/>
      <c r="CG67" s="120"/>
      <c r="CH67" s="120"/>
      <c r="CI67" s="120"/>
      <c r="CJ67" s="120"/>
      <c r="CK67" s="120"/>
      <c r="CL67" s="120"/>
      <c r="CM67" s="120"/>
      <c r="CN67" s="120"/>
      <c r="CO67" s="120"/>
      <c r="CP67" s="120"/>
      <c r="CQ67" s="120"/>
      <c r="CR67" s="120"/>
      <c r="CS67" s="120"/>
      <c r="CT67" s="120"/>
      <c r="CU67" s="120"/>
      <c r="CV67" s="120"/>
      <c r="CW67" s="120"/>
      <c r="CX67" s="120"/>
      <c r="CY67" s="120"/>
    </row>
    <row r="68" spans="2:103" ht="48" hidden="1" customHeight="1" x14ac:dyDescent="0.3">
      <c r="B68" s="292"/>
      <c r="C68" s="292"/>
      <c r="D68" s="291"/>
      <c r="E68" s="291"/>
      <c r="F68" s="291"/>
      <c r="G68" s="890"/>
      <c r="H68" s="22"/>
      <c r="I68" s="22"/>
      <c r="J68" s="22"/>
      <c r="K68" s="22"/>
      <c r="L68" s="22"/>
      <c r="M68" s="22"/>
      <c r="N68" s="22"/>
      <c r="O68" s="883"/>
      <c r="U68" s="67"/>
      <c r="AB68" s="67"/>
      <c r="AC68" s="67"/>
      <c r="AD68" s="67"/>
      <c r="AE68" s="67"/>
      <c r="BE68" s="81"/>
      <c r="BG68" s="668"/>
      <c r="BH68" s="81"/>
      <c r="BI68" s="105"/>
      <c r="BJ68" s="40"/>
      <c r="BK68" s="120"/>
      <c r="BL68" s="120"/>
      <c r="BM68" s="120"/>
      <c r="BN68" s="120"/>
      <c r="BO68" s="120"/>
      <c r="BP68" s="120"/>
      <c r="BQ68" s="120"/>
      <c r="BR68" s="120"/>
      <c r="BS68" s="120"/>
      <c r="BT68" s="120"/>
      <c r="BU68" s="120"/>
      <c r="BV68" s="120"/>
      <c r="BW68" s="120"/>
      <c r="BX68" s="120"/>
      <c r="BY68" s="120"/>
      <c r="BZ68" s="120"/>
      <c r="CA68" s="120"/>
      <c r="CB68" s="120"/>
      <c r="CC68" s="120"/>
      <c r="CD68" s="120"/>
      <c r="CE68" s="120"/>
      <c r="CF68" s="120"/>
      <c r="CG68" s="120"/>
      <c r="CH68" s="120"/>
      <c r="CI68" s="120"/>
      <c r="CJ68" s="120"/>
      <c r="CK68" s="120"/>
      <c r="CL68" s="120"/>
      <c r="CM68" s="120"/>
      <c r="CN68" s="120"/>
      <c r="CO68" s="120"/>
      <c r="CP68" s="120"/>
      <c r="CQ68" s="120"/>
      <c r="CR68" s="120"/>
      <c r="CS68" s="120"/>
      <c r="CT68" s="120"/>
      <c r="CU68" s="120"/>
      <c r="CV68" s="120"/>
      <c r="CW68" s="120"/>
      <c r="CX68" s="120"/>
      <c r="CY68" s="120"/>
    </row>
    <row r="69" spans="2:103" ht="48" hidden="1" customHeight="1" x14ac:dyDescent="0.3">
      <c r="B69" s="292"/>
      <c r="C69" s="292"/>
      <c r="D69" s="291"/>
      <c r="E69" s="291"/>
      <c r="F69" s="291"/>
      <c r="G69" s="890"/>
      <c r="H69" s="22"/>
      <c r="I69" s="22"/>
      <c r="J69" s="22"/>
      <c r="K69" s="22"/>
      <c r="L69" s="22"/>
      <c r="M69" s="22"/>
      <c r="N69" s="22"/>
      <c r="O69" s="883"/>
      <c r="U69" s="67"/>
      <c r="AB69" s="67"/>
      <c r="AC69" s="67"/>
      <c r="AD69" s="67"/>
      <c r="AE69" s="67"/>
      <c r="BE69" s="81"/>
      <c r="BG69" s="668"/>
      <c r="BH69" s="81"/>
      <c r="BI69" s="105"/>
      <c r="BJ69" s="40"/>
      <c r="BK69" s="120"/>
      <c r="BL69" s="120"/>
      <c r="BM69" s="120"/>
      <c r="BN69" s="120"/>
      <c r="BO69" s="120"/>
      <c r="BP69" s="120"/>
      <c r="BQ69" s="120"/>
      <c r="BR69" s="120"/>
      <c r="BS69" s="120"/>
      <c r="BT69" s="120"/>
      <c r="BU69" s="120"/>
      <c r="BV69" s="120"/>
      <c r="BW69" s="120"/>
      <c r="BX69" s="120"/>
      <c r="BY69" s="120"/>
      <c r="BZ69" s="120"/>
      <c r="CA69" s="120"/>
      <c r="CB69" s="120"/>
      <c r="CC69" s="120"/>
      <c r="CD69" s="120"/>
      <c r="CE69" s="120"/>
      <c r="CF69" s="120"/>
      <c r="CG69" s="120"/>
      <c r="CH69" s="120"/>
      <c r="CI69" s="120"/>
      <c r="CJ69" s="120"/>
      <c r="CK69" s="120"/>
      <c r="CL69" s="120"/>
      <c r="CM69" s="120"/>
      <c r="CN69" s="120"/>
      <c r="CO69" s="120"/>
      <c r="CP69" s="120"/>
      <c r="CQ69" s="120"/>
      <c r="CR69" s="120"/>
      <c r="CS69" s="120"/>
      <c r="CT69" s="120"/>
      <c r="CU69" s="120"/>
      <c r="CV69" s="120"/>
      <c r="CW69" s="120"/>
      <c r="CX69" s="120"/>
      <c r="CY69" s="120"/>
    </row>
    <row r="70" spans="2:103" hidden="1" x14ac:dyDescent="0.3">
      <c r="B70" s="292"/>
      <c r="C70" s="292"/>
      <c r="D70" s="291"/>
      <c r="E70" s="291"/>
      <c r="F70" s="291"/>
      <c r="G70" s="890"/>
      <c r="H70" s="22"/>
      <c r="I70" s="22"/>
      <c r="J70" s="22"/>
      <c r="K70" s="22"/>
      <c r="L70" s="22"/>
      <c r="M70" s="22"/>
      <c r="N70" s="22"/>
      <c r="O70" s="883"/>
      <c r="U70" s="67"/>
      <c r="AB70" s="67"/>
      <c r="AC70" s="67"/>
      <c r="AD70" s="67"/>
      <c r="AE70" s="67"/>
      <c r="BE70" s="81"/>
      <c r="BG70" s="668"/>
      <c r="BH70" s="81"/>
      <c r="BI70" s="105"/>
      <c r="BJ70" s="40"/>
      <c r="BK70" s="120"/>
      <c r="BL70" s="120"/>
      <c r="BM70" s="120"/>
      <c r="BN70" s="120"/>
      <c r="BO70" s="120"/>
      <c r="BP70" s="120"/>
      <c r="BQ70" s="120"/>
      <c r="BR70" s="120"/>
      <c r="BS70" s="120"/>
      <c r="BT70" s="120"/>
      <c r="BU70" s="120"/>
      <c r="BV70" s="120"/>
      <c r="BW70" s="120"/>
      <c r="BX70" s="120"/>
      <c r="BY70" s="120"/>
      <c r="BZ70" s="120"/>
      <c r="CA70" s="120"/>
      <c r="CB70" s="120"/>
      <c r="CC70" s="120"/>
      <c r="CD70" s="120"/>
      <c r="CE70" s="120"/>
      <c r="CF70" s="120"/>
      <c r="CG70" s="120"/>
      <c r="CH70" s="120"/>
      <c r="CI70" s="120"/>
      <c r="CJ70" s="120"/>
      <c r="CK70" s="120"/>
      <c r="CL70" s="120"/>
      <c r="CM70" s="120"/>
      <c r="CN70" s="120"/>
      <c r="CO70" s="120"/>
      <c r="CP70" s="120"/>
      <c r="CQ70" s="120"/>
      <c r="CR70" s="120"/>
      <c r="CS70" s="120"/>
      <c r="CT70" s="120"/>
      <c r="CU70" s="120"/>
      <c r="CV70" s="120"/>
      <c r="CW70" s="120"/>
      <c r="CX70" s="120"/>
      <c r="CY70" s="120"/>
    </row>
    <row r="71" spans="2:103" hidden="1" x14ac:dyDescent="0.3">
      <c r="B71" s="292"/>
      <c r="C71" s="292"/>
      <c r="D71" s="291"/>
      <c r="E71" s="291"/>
      <c r="F71" s="291"/>
      <c r="G71" s="890"/>
      <c r="H71" s="22"/>
      <c r="I71" s="22"/>
      <c r="J71" s="22"/>
      <c r="K71" s="22"/>
      <c r="L71" s="22"/>
      <c r="M71" s="22"/>
      <c r="N71" s="22"/>
      <c r="O71" s="883"/>
      <c r="U71" s="67"/>
      <c r="AB71" s="67"/>
      <c r="AC71" s="67"/>
      <c r="AD71" s="67"/>
      <c r="AE71" s="67"/>
      <c r="BE71" s="81"/>
      <c r="BG71" s="668"/>
      <c r="BH71" s="81"/>
      <c r="BI71" s="105"/>
      <c r="BJ71" s="40"/>
      <c r="BK71" s="120"/>
      <c r="BL71" s="120"/>
      <c r="BM71" s="120"/>
      <c r="BN71" s="120"/>
      <c r="BO71" s="120"/>
      <c r="BP71" s="120"/>
      <c r="BQ71" s="120"/>
      <c r="BR71" s="120"/>
      <c r="BS71" s="120"/>
      <c r="BT71" s="120"/>
      <c r="BU71" s="120"/>
      <c r="BV71" s="120"/>
      <c r="BW71" s="120"/>
      <c r="BX71" s="120"/>
      <c r="BY71" s="120"/>
      <c r="BZ71" s="120"/>
      <c r="CA71" s="120"/>
      <c r="CB71" s="120"/>
      <c r="CC71" s="120"/>
      <c r="CD71" s="120"/>
      <c r="CE71" s="120"/>
      <c r="CF71" s="120"/>
      <c r="CG71" s="120"/>
      <c r="CH71" s="120"/>
      <c r="CI71" s="120"/>
      <c r="CJ71" s="120"/>
      <c r="CK71" s="120"/>
      <c r="CL71" s="120"/>
      <c r="CM71" s="120"/>
      <c r="CN71" s="120"/>
      <c r="CO71" s="120"/>
      <c r="CP71" s="120"/>
      <c r="CQ71" s="120"/>
      <c r="CR71" s="120"/>
      <c r="CS71" s="120"/>
      <c r="CT71" s="120"/>
      <c r="CU71" s="120"/>
      <c r="CV71" s="120"/>
      <c r="CW71" s="120"/>
      <c r="CX71" s="120"/>
      <c r="CY71" s="120"/>
    </row>
    <row r="72" spans="2:103" ht="26.25" hidden="1" customHeight="1" thickBot="1" x14ac:dyDescent="0.35">
      <c r="B72" s="292"/>
      <c r="C72" s="292"/>
      <c r="D72" s="291"/>
      <c r="E72" s="291"/>
      <c r="F72" s="291"/>
      <c r="G72" s="890"/>
      <c r="H72" s="22"/>
      <c r="I72" s="22"/>
      <c r="J72" s="22"/>
      <c r="K72" s="22"/>
      <c r="L72" s="22"/>
      <c r="M72" s="22"/>
      <c r="N72" s="22"/>
      <c r="O72" s="883"/>
      <c r="U72" s="67"/>
      <c r="AB72" s="67"/>
      <c r="AC72" s="67"/>
      <c r="AD72" s="67"/>
      <c r="AE72" s="67"/>
      <c r="BE72" s="81"/>
      <c r="BG72" s="668"/>
      <c r="BH72" s="81"/>
      <c r="BI72" s="105"/>
      <c r="BJ72" s="40"/>
      <c r="BK72" s="120"/>
      <c r="BL72" s="120"/>
      <c r="BM72" s="120"/>
      <c r="BN72" s="120"/>
      <c r="BO72" s="120"/>
      <c r="BP72" s="120"/>
      <c r="BQ72" s="120"/>
      <c r="BR72" s="120"/>
      <c r="BS72" s="120"/>
      <c r="BT72" s="120"/>
      <c r="BU72" s="120"/>
      <c r="BV72" s="120"/>
      <c r="BW72" s="120"/>
      <c r="BX72" s="120"/>
      <c r="BY72" s="120"/>
      <c r="BZ72" s="120"/>
      <c r="CA72" s="120"/>
      <c r="CB72" s="120"/>
      <c r="CC72" s="120"/>
      <c r="CD72" s="120"/>
      <c r="CE72" s="120"/>
      <c r="CF72" s="120"/>
      <c r="CG72" s="120"/>
      <c r="CH72" s="120"/>
      <c r="CI72" s="120"/>
      <c r="CJ72" s="120"/>
      <c r="CK72" s="120"/>
      <c r="CL72" s="120"/>
      <c r="CM72" s="120"/>
      <c r="CN72" s="120"/>
      <c r="CO72" s="120"/>
      <c r="CP72" s="120"/>
      <c r="CQ72" s="120"/>
      <c r="CR72" s="120"/>
      <c r="CS72" s="120"/>
      <c r="CT72" s="120"/>
      <c r="CU72" s="120"/>
      <c r="CV72" s="120"/>
      <c r="CW72" s="120"/>
      <c r="CX72" s="120"/>
      <c r="CY72" s="120"/>
    </row>
    <row r="73" spans="2:103" ht="29" hidden="1" thickBot="1" x14ac:dyDescent="0.35">
      <c r="B73" s="27"/>
      <c r="C73" s="292"/>
      <c r="E73" s="27"/>
      <c r="G73" s="890"/>
      <c r="H73" s="22"/>
      <c r="I73" s="22"/>
      <c r="J73" s="22"/>
      <c r="K73" s="22"/>
      <c r="L73" s="22"/>
      <c r="M73" s="22"/>
      <c r="N73" s="22"/>
      <c r="O73" s="883"/>
      <c r="U73" s="67"/>
      <c r="AB73" s="67"/>
      <c r="AC73" s="67"/>
      <c r="AD73" s="67"/>
      <c r="AE73" s="67"/>
      <c r="BE73" s="81"/>
      <c r="BH73" s="47"/>
      <c r="BI73" s="930"/>
      <c r="BJ73" s="56"/>
      <c r="BK73" s="57"/>
      <c r="BL73" s="57"/>
      <c r="BM73" s="57"/>
      <c r="BN73" s="57"/>
      <c r="BO73" s="57"/>
      <c r="BP73" s="57"/>
      <c r="BQ73" s="57"/>
      <c r="BR73" s="57"/>
      <c r="BS73" s="54"/>
      <c r="BT73" s="54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90"/>
      <c r="CF73" s="50"/>
      <c r="CG73" s="50"/>
      <c r="CH73" s="17"/>
      <c r="CI73" s="55"/>
      <c r="CJ73" s="55"/>
      <c r="CK73" s="55"/>
      <c r="CL73" s="55"/>
      <c r="CM73" s="52"/>
      <c r="CN73" s="52"/>
      <c r="CO73" s="52"/>
      <c r="CP73" s="52"/>
      <c r="CQ73" s="52"/>
      <c r="CR73" s="52"/>
      <c r="CS73" s="52"/>
      <c r="CT73" s="52"/>
      <c r="CU73" s="52"/>
      <c r="CV73" s="52"/>
      <c r="CW73" s="4"/>
      <c r="CX73" s="40"/>
    </row>
    <row r="74" spans="2:103" ht="31" hidden="1" thickBot="1" x14ac:dyDescent="0.35">
      <c r="B74" s="30"/>
      <c r="C74" s="292"/>
      <c r="E74" s="31"/>
      <c r="G74" s="890"/>
      <c r="H74" s="22"/>
      <c r="I74" s="22"/>
      <c r="J74" s="22"/>
      <c r="K74" s="22"/>
      <c r="L74" s="22"/>
      <c r="M74" s="22"/>
      <c r="N74" s="22"/>
      <c r="O74" s="883"/>
      <c r="U74" s="67"/>
      <c r="AB74" s="67"/>
      <c r="AC74" s="67"/>
      <c r="AD74" s="67"/>
      <c r="AE74" s="67"/>
      <c r="BE74" s="81"/>
      <c r="BH74" s="47"/>
      <c r="BI74" s="930"/>
      <c r="BJ74" s="56"/>
      <c r="BK74" s="57"/>
      <c r="BL74" s="57"/>
      <c r="BM74" s="57"/>
      <c r="BN74" s="57"/>
      <c r="BO74" s="57"/>
      <c r="BP74" s="57"/>
      <c r="BQ74" s="57"/>
      <c r="BR74" s="57"/>
      <c r="BS74" s="54"/>
      <c r="BT74" s="54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78"/>
      <c r="CF74" s="50"/>
      <c r="CG74" s="50"/>
      <c r="CH74" s="17"/>
      <c r="CI74" s="55"/>
      <c r="CJ74" s="55"/>
      <c r="CK74" s="55"/>
      <c r="CL74" s="55"/>
      <c r="CM74" s="52"/>
      <c r="CN74" s="52"/>
      <c r="CO74" s="52"/>
      <c r="CP74" s="52"/>
      <c r="CQ74" s="52"/>
      <c r="CR74" s="52"/>
      <c r="CS74" s="52"/>
      <c r="CT74" s="52"/>
      <c r="CU74" s="52"/>
      <c r="CV74" s="52"/>
      <c r="CW74" s="60" t="b">
        <f>IF(CX59=40,39)</f>
        <v>0</v>
      </c>
      <c r="CX74" s="40"/>
      <c r="CY74" s="60" t="b">
        <f>IF(CX59=40,41)</f>
        <v>0</v>
      </c>
    </row>
    <row r="75" spans="2:103" ht="29" hidden="1" thickBot="1" x14ac:dyDescent="0.35">
      <c r="B75" s="371"/>
      <c r="C75" s="371"/>
      <c r="D75" s="371"/>
      <c r="E75" s="371"/>
      <c r="G75" s="890"/>
      <c r="H75" s="22"/>
      <c r="I75" s="22"/>
      <c r="J75" s="22"/>
      <c r="K75" s="22"/>
      <c r="L75" s="22"/>
      <c r="M75" s="22"/>
      <c r="N75" s="22"/>
      <c r="O75" s="883"/>
      <c r="U75" s="67"/>
      <c r="AB75" s="67"/>
      <c r="AC75" s="67"/>
      <c r="AD75" s="67"/>
      <c r="AE75" s="67"/>
      <c r="BE75" s="81"/>
      <c r="BH75" s="47"/>
      <c r="BI75" s="930"/>
      <c r="BJ75" s="56"/>
      <c r="BK75" s="57"/>
      <c r="BL75" s="57"/>
      <c r="BM75" s="57"/>
      <c r="BN75" s="57"/>
      <c r="BO75" s="57"/>
      <c r="BP75" s="57"/>
      <c r="BQ75" s="57"/>
      <c r="BR75" s="57"/>
      <c r="BS75" s="54"/>
      <c r="BT75" s="54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78"/>
      <c r="CF75" s="50"/>
      <c r="CG75" s="50"/>
      <c r="CH75" s="17"/>
      <c r="CI75" s="55"/>
      <c r="CJ75" s="55"/>
      <c r="CK75" s="55"/>
      <c r="CL75" s="55"/>
      <c r="CM75" s="52"/>
      <c r="CN75" s="52"/>
      <c r="CO75" s="52"/>
      <c r="CP75" s="52"/>
      <c r="CQ75" s="52"/>
      <c r="CR75" s="52"/>
      <c r="CS75" s="52"/>
      <c r="CT75" s="52"/>
      <c r="CU75" s="60" t="b">
        <f>IF(CW59=39,37)</f>
        <v>0</v>
      </c>
      <c r="CV75" s="52"/>
      <c r="CW75" s="4"/>
      <c r="CX75" s="40"/>
      <c r="CY75" s="60" t="b">
        <f>IF(CW59=39,41)</f>
        <v>0</v>
      </c>
    </row>
    <row r="76" spans="2:103" ht="29" hidden="1" thickBot="1" x14ac:dyDescent="0.35">
      <c r="B76" s="372"/>
      <c r="C76" s="373"/>
      <c r="D76" s="372"/>
      <c r="E76" s="372"/>
      <c r="G76" s="890"/>
      <c r="H76" s="22"/>
      <c r="I76" s="22"/>
      <c r="J76" s="22"/>
      <c r="K76" s="22"/>
      <c r="L76" s="22"/>
      <c r="M76" s="22"/>
      <c r="N76" s="22"/>
      <c r="O76" s="883"/>
      <c r="U76" s="67"/>
      <c r="AB76" s="67"/>
      <c r="AC76" s="67"/>
      <c r="AD76" s="67"/>
      <c r="AE76" s="67"/>
      <c r="BE76" s="81"/>
      <c r="BF76" s="747"/>
      <c r="BH76" s="47"/>
      <c r="BI76" s="930"/>
      <c r="BJ76" s="56"/>
      <c r="BK76" s="57"/>
      <c r="BL76" s="57"/>
      <c r="BM76" s="57"/>
      <c r="BN76" s="57"/>
      <c r="BO76" s="57"/>
      <c r="BP76" s="57"/>
      <c r="BQ76" s="57"/>
      <c r="BR76" s="57"/>
      <c r="BS76" s="54"/>
      <c r="BT76" s="54"/>
      <c r="BU76" s="50"/>
      <c r="BV76" s="50"/>
      <c r="BW76" s="50"/>
      <c r="BX76" s="50"/>
      <c r="BY76" s="50"/>
      <c r="BZ76" s="50"/>
      <c r="CA76" s="50"/>
      <c r="CB76" s="50"/>
      <c r="CC76" s="50"/>
      <c r="CD76" s="50"/>
      <c r="CE76" s="578"/>
      <c r="CF76" s="50"/>
      <c r="CG76" s="50"/>
      <c r="CH76" s="17"/>
      <c r="CI76" s="55"/>
      <c r="CJ76" s="55"/>
      <c r="CK76" s="55"/>
      <c r="CL76" s="55"/>
      <c r="CM76" s="52"/>
      <c r="CN76" s="52"/>
      <c r="CO76" s="52"/>
      <c r="CP76" s="52"/>
      <c r="CQ76" s="52"/>
      <c r="CR76" s="52"/>
      <c r="CS76" s="60" t="b">
        <f>IF(CV59=38,35)</f>
        <v>0</v>
      </c>
      <c r="CT76" s="52"/>
      <c r="CU76" s="52"/>
      <c r="CV76" s="52"/>
      <c r="CW76" s="4"/>
      <c r="CX76" s="40"/>
      <c r="CY76" s="60" t="b">
        <f>IF(CV59=38,41)</f>
        <v>0</v>
      </c>
    </row>
    <row r="77" spans="2:103" ht="29" hidden="1" thickBot="1" x14ac:dyDescent="0.35">
      <c r="B77" s="292"/>
      <c r="C77" s="292"/>
      <c r="G77" s="890"/>
      <c r="H77" s="22"/>
      <c r="I77" s="22"/>
      <c r="J77" s="22"/>
      <c r="K77" s="22"/>
      <c r="L77" s="22"/>
      <c r="M77" s="22"/>
      <c r="N77" s="22"/>
      <c r="O77" s="883"/>
      <c r="U77" s="67"/>
      <c r="AB77" s="67"/>
      <c r="AC77" s="67"/>
      <c r="AD77" s="67"/>
      <c r="AE77" s="67"/>
      <c r="BE77" s="81"/>
      <c r="BF77" s="747"/>
      <c r="BH77" s="47"/>
      <c r="BI77" s="930"/>
      <c r="BJ77" s="56"/>
      <c r="BK77" s="57"/>
      <c r="BL77" s="57"/>
      <c r="BM77" s="57"/>
      <c r="BN77" s="57"/>
      <c r="BO77" s="57"/>
      <c r="BP77" s="57"/>
      <c r="BQ77" s="57"/>
      <c r="BR77" s="57"/>
      <c r="BS77" s="54"/>
      <c r="BT77" s="54"/>
      <c r="BU77" s="50"/>
      <c r="BV77" s="50"/>
      <c r="BW77" s="50"/>
      <c r="BX77" s="50"/>
      <c r="BY77" s="50"/>
      <c r="BZ77" s="50"/>
      <c r="CA77" s="50"/>
      <c r="CB77" s="50"/>
      <c r="CC77" s="50"/>
      <c r="CD77" s="50"/>
      <c r="CE77" s="578"/>
      <c r="CF77" s="50"/>
      <c r="CG77" s="50"/>
      <c r="CH77" s="17"/>
      <c r="CI77" s="55"/>
      <c r="CJ77" s="55"/>
      <c r="CK77" s="55"/>
      <c r="CL77" s="55"/>
      <c r="CM77" s="52"/>
      <c r="CN77" s="52"/>
      <c r="CO77" s="52"/>
      <c r="CP77" s="52"/>
      <c r="CQ77" s="60" t="b">
        <f>IF(CU59=37,33)</f>
        <v>0</v>
      </c>
      <c r="CR77" s="52"/>
      <c r="CS77" s="52"/>
      <c r="CT77" s="52"/>
      <c r="CU77" s="52"/>
      <c r="CV77" s="52"/>
      <c r="CW77" s="4"/>
      <c r="CX77" s="40"/>
      <c r="CY77" s="60" t="b">
        <f>IF(CU59=37,41)</f>
        <v>0</v>
      </c>
    </row>
    <row r="78" spans="2:103" ht="29" hidden="1" thickBot="1" x14ac:dyDescent="0.35">
      <c r="B78" s="374"/>
      <c r="C78" s="292"/>
      <c r="D78" s="375"/>
      <c r="E78" s="376"/>
      <c r="F78" s="291"/>
      <c r="G78" s="890"/>
      <c r="H78" s="22"/>
      <c r="I78" s="22"/>
      <c r="J78" s="22"/>
      <c r="K78" s="22"/>
      <c r="L78" s="22"/>
      <c r="M78" s="22"/>
      <c r="N78" s="22"/>
      <c r="O78" s="883"/>
      <c r="U78" s="67"/>
      <c r="AB78" s="67"/>
      <c r="AC78" s="67"/>
      <c r="AD78" s="67"/>
      <c r="AE78" s="67"/>
      <c r="BE78" s="81"/>
      <c r="BF78" s="747"/>
      <c r="BH78" s="47"/>
      <c r="BI78" s="930"/>
      <c r="BJ78" s="56">
        <v>36</v>
      </c>
      <c r="BK78" s="57"/>
      <c r="BL78" s="57"/>
      <c r="BM78" s="57"/>
      <c r="BN78" s="57"/>
      <c r="BO78" s="57"/>
      <c r="BP78" s="57"/>
      <c r="BQ78" s="57"/>
      <c r="BR78" s="57"/>
      <c r="BS78" s="54"/>
      <c r="BT78" s="54"/>
      <c r="BU78" s="50"/>
      <c r="BV78" s="50"/>
      <c r="BW78" s="50"/>
      <c r="BX78" s="50"/>
      <c r="BY78" s="50"/>
      <c r="BZ78" s="50"/>
      <c r="CA78" s="50"/>
      <c r="CB78" s="50"/>
      <c r="CC78" s="50"/>
      <c r="CD78" s="50"/>
      <c r="CE78" s="578"/>
      <c r="CF78" s="50"/>
      <c r="CG78" s="50"/>
      <c r="CH78" s="17"/>
      <c r="CI78" s="55"/>
      <c r="CJ78" s="55"/>
      <c r="CK78" s="55"/>
      <c r="CL78" s="55"/>
      <c r="CM78" s="52"/>
      <c r="CN78" s="52"/>
      <c r="CO78" s="58" t="b">
        <f>IF(CT59=36,31)</f>
        <v>0</v>
      </c>
      <c r="CP78" s="52"/>
      <c r="CQ78" s="52"/>
      <c r="CR78" s="52"/>
      <c r="CT78" s="59"/>
      <c r="CV78" s="52"/>
      <c r="CW78" s="4"/>
      <c r="CX78" s="40"/>
      <c r="CY78" s="60" t="b">
        <f>IF(CT59=36,41)</f>
        <v>0</v>
      </c>
    </row>
    <row r="79" spans="2:103" ht="29" hidden="1" thickBot="1" x14ac:dyDescent="0.35">
      <c r="B79" s="372"/>
      <c r="C79" s="292"/>
      <c r="D79" s="372"/>
      <c r="E79" s="7"/>
      <c r="F79" s="291"/>
      <c r="G79" s="834"/>
      <c r="H79" s="22"/>
      <c r="I79" s="22"/>
      <c r="J79" s="22"/>
      <c r="K79" s="22"/>
      <c r="L79" s="22"/>
      <c r="M79" s="22"/>
      <c r="N79" s="22"/>
      <c r="O79" s="883"/>
      <c r="U79" s="67"/>
      <c r="AB79" s="67"/>
      <c r="AC79" s="67"/>
      <c r="AD79" s="67"/>
      <c r="AE79" s="67"/>
      <c r="BE79" s="81"/>
      <c r="BF79" s="747"/>
      <c r="BH79" s="47"/>
      <c r="BI79" s="930"/>
      <c r="BJ79" s="56">
        <v>35</v>
      </c>
      <c r="BK79" s="57"/>
      <c r="BL79" s="57"/>
      <c r="BM79" s="57"/>
      <c r="BN79" s="57"/>
      <c r="BO79" s="57"/>
      <c r="BP79" s="57"/>
      <c r="BQ79" s="57"/>
      <c r="BR79" s="57"/>
      <c r="BS79" s="54"/>
      <c r="BT79" s="54"/>
      <c r="BU79" s="50"/>
      <c r="BV79" s="50"/>
      <c r="BW79" s="50"/>
      <c r="BX79" s="50"/>
      <c r="BY79" s="50"/>
      <c r="BZ79" s="50"/>
      <c r="CA79" s="50"/>
      <c r="CB79" s="50"/>
      <c r="CC79" s="50"/>
      <c r="CD79" s="50"/>
      <c r="CE79" s="578"/>
      <c r="CF79" s="50"/>
      <c r="CG79" s="50"/>
      <c r="CH79" s="17"/>
      <c r="CI79" s="55"/>
      <c r="CJ79" s="55"/>
      <c r="CK79" s="55"/>
      <c r="CL79" s="55"/>
      <c r="CM79" s="58" t="b">
        <f>IF(CS59=35,29)</f>
        <v>0</v>
      </c>
      <c r="CN79" s="52"/>
      <c r="CO79" s="52"/>
      <c r="CP79" s="52"/>
      <c r="CR79" s="59"/>
      <c r="CS79" s="59"/>
      <c r="CT79" s="59"/>
      <c r="CV79" s="52"/>
      <c r="CW79" s="4"/>
      <c r="CX79" s="40"/>
      <c r="CY79" s="60" t="b">
        <f>IF(CS59=35,41)</f>
        <v>0</v>
      </c>
    </row>
    <row r="80" spans="2:103" ht="29" hidden="1" thickBot="1" x14ac:dyDescent="0.35">
      <c r="B80" s="292"/>
      <c r="C80" s="292"/>
      <c r="F80" s="291"/>
      <c r="G80" s="890"/>
      <c r="H80" s="22"/>
      <c r="I80" s="22"/>
      <c r="J80" s="22"/>
      <c r="K80" s="22"/>
      <c r="L80" s="22"/>
      <c r="M80" s="22"/>
      <c r="N80" s="22"/>
      <c r="O80" s="883"/>
      <c r="U80" s="67"/>
      <c r="AB80" s="67"/>
      <c r="AC80" s="67"/>
      <c r="AD80" s="67"/>
      <c r="AE80" s="67"/>
      <c r="BE80" s="81"/>
      <c r="BF80" s="747"/>
      <c r="BH80" s="47"/>
      <c r="BI80" s="930"/>
      <c r="BJ80" s="56">
        <v>34</v>
      </c>
      <c r="BK80" s="57"/>
      <c r="BL80" s="57"/>
      <c r="BM80" s="57"/>
      <c r="BN80" s="57"/>
      <c r="BO80" s="57"/>
      <c r="BP80" s="57"/>
      <c r="BQ80" s="57"/>
      <c r="BR80" s="57"/>
      <c r="BS80" s="54"/>
      <c r="BT80" s="54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78"/>
      <c r="CF80" s="50"/>
      <c r="CG80" s="50"/>
      <c r="CH80" s="17"/>
      <c r="CI80" s="55"/>
      <c r="CJ80" s="55"/>
      <c r="CK80" s="58" t="b">
        <f>IF(CR59=34,27)</f>
        <v>0</v>
      </c>
      <c r="CL80" s="55"/>
      <c r="CM80" s="52"/>
      <c r="CN80" s="52"/>
      <c r="CP80" s="59"/>
      <c r="CQ80" s="59"/>
      <c r="CR80" s="59"/>
      <c r="CS80" s="59"/>
      <c r="CT80" s="59"/>
      <c r="CV80" s="52"/>
      <c r="CW80" s="4"/>
      <c r="CX80" s="40"/>
      <c r="CY80" s="60" t="b">
        <f>IF(CR59=34,41)</f>
        <v>0</v>
      </c>
    </row>
    <row r="81" spans="2:103" ht="29" hidden="1" thickBot="1" x14ac:dyDescent="0.35">
      <c r="B81" s="292"/>
      <c r="C81" s="292"/>
      <c r="G81" s="890"/>
      <c r="H81" s="22"/>
      <c r="I81" s="22"/>
      <c r="J81" s="22"/>
      <c r="K81" s="22"/>
      <c r="L81" s="22"/>
      <c r="M81" s="22"/>
      <c r="N81" s="22"/>
      <c r="O81" s="883"/>
      <c r="U81" s="67"/>
      <c r="AB81" s="67"/>
      <c r="AC81" s="67"/>
      <c r="AD81" s="67"/>
      <c r="AE81" s="67"/>
      <c r="BE81" s="81"/>
      <c r="BF81" s="747"/>
      <c r="BH81" s="47"/>
      <c r="BI81" s="930"/>
      <c r="BJ81" s="56">
        <v>33</v>
      </c>
      <c r="BK81" s="57"/>
      <c r="BL81" s="57"/>
      <c r="BM81" s="57"/>
      <c r="BN81" s="57"/>
      <c r="BO81" s="57"/>
      <c r="BP81" s="57"/>
      <c r="BQ81" s="57"/>
      <c r="BR81" s="57"/>
      <c r="BS81" s="54"/>
      <c r="BT81" s="54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78"/>
      <c r="CF81" s="50"/>
      <c r="CG81" s="50"/>
      <c r="CH81" s="17"/>
      <c r="CI81" s="58" t="b">
        <f>IF(CQ59=33,25)</f>
        <v>0</v>
      </c>
      <c r="CJ81" s="55"/>
      <c r="CK81" s="55"/>
      <c r="CL81" s="55"/>
      <c r="CN81" s="59"/>
      <c r="CO81" s="59"/>
      <c r="CP81" s="59"/>
      <c r="CQ81" s="59"/>
      <c r="CR81" s="59"/>
      <c r="CS81" s="59"/>
      <c r="CT81" s="59"/>
      <c r="CV81" s="52"/>
      <c r="CW81" s="4"/>
      <c r="CX81" s="40"/>
      <c r="CY81" s="60" t="b">
        <f>IF(CQ59=33,41)</f>
        <v>0</v>
      </c>
    </row>
    <row r="82" spans="2:103" ht="29" hidden="1" thickBot="1" x14ac:dyDescent="0.35">
      <c r="G82" s="890"/>
      <c r="H82" s="22"/>
      <c r="I82" s="22"/>
      <c r="J82" s="22"/>
      <c r="K82" s="22"/>
      <c r="L82" s="22"/>
      <c r="M82" s="22"/>
      <c r="N82" s="22"/>
      <c r="O82" s="883"/>
      <c r="U82" s="67"/>
      <c r="AB82" s="67"/>
      <c r="AC82" s="67"/>
      <c r="AD82" s="67"/>
      <c r="AE82" s="67"/>
      <c r="BE82" s="81"/>
      <c r="BF82" s="747"/>
      <c r="BH82" s="47"/>
      <c r="BI82" s="105"/>
      <c r="BJ82" s="56">
        <v>32</v>
      </c>
      <c r="BK82" s="62"/>
      <c r="BL82" s="62"/>
      <c r="BM82" s="62"/>
      <c r="BN82" s="62"/>
      <c r="BO82" s="62"/>
      <c r="BP82" s="63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579"/>
      <c r="CF82" s="62"/>
      <c r="CG82" s="58" t="b">
        <f>IF(CP59=32,23)</f>
        <v>0</v>
      </c>
      <c r="CH82" s="63"/>
      <c r="CI82" s="40"/>
      <c r="CJ82" s="40"/>
      <c r="CL82" s="64"/>
      <c r="CM82" s="64"/>
      <c r="CN82" s="64"/>
      <c r="CO82" s="64"/>
      <c r="CP82" s="64"/>
      <c r="CQ82" s="64"/>
      <c r="CR82" s="64"/>
      <c r="CS82" s="64"/>
      <c r="CT82" s="64"/>
      <c r="CV82" s="40"/>
      <c r="CW82" s="40"/>
      <c r="CY82" s="60" t="b">
        <f>IF(CP59=32,41)</f>
        <v>0</v>
      </c>
    </row>
    <row r="83" spans="2:103" ht="29" hidden="1" thickBot="1" x14ac:dyDescent="0.35">
      <c r="G83" s="890"/>
      <c r="H83" s="22"/>
      <c r="I83" s="22"/>
      <c r="J83" s="22"/>
      <c r="K83" s="835">
        <v>5</v>
      </c>
      <c r="L83" s="22"/>
      <c r="M83" s="835">
        <v>51</v>
      </c>
      <c r="N83" s="22"/>
      <c r="O83" s="883"/>
      <c r="U83" s="67"/>
      <c r="AB83" s="67"/>
      <c r="AC83" s="67"/>
      <c r="AD83" s="67"/>
      <c r="AE83" s="67"/>
      <c r="BE83" s="81"/>
      <c r="BF83" s="747"/>
      <c r="BH83" s="47"/>
      <c r="BI83" s="105"/>
      <c r="BJ83" s="56">
        <v>31</v>
      </c>
      <c r="BK83" s="62"/>
      <c r="BL83" s="62"/>
      <c r="BM83" s="62"/>
      <c r="BN83" s="62"/>
      <c r="BO83" s="62"/>
      <c r="BP83" s="63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  <c r="CE83" s="579"/>
      <c r="CF83" s="58" t="b">
        <f>IF(CO59=31,22)</f>
        <v>0</v>
      </c>
      <c r="CG83" s="62"/>
      <c r="CH83" s="63"/>
      <c r="CJ83" s="64"/>
      <c r="CK83" s="64"/>
      <c r="CL83" s="64"/>
      <c r="CM83" s="64"/>
      <c r="CN83" s="64"/>
      <c r="CO83" s="64"/>
      <c r="CP83" s="64"/>
      <c r="CQ83" s="64"/>
      <c r="CR83" s="64"/>
      <c r="CS83" s="64"/>
      <c r="CT83" s="64"/>
      <c r="CV83" s="40"/>
      <c r="CW83" s="40"/>
      <c r="CX83" s="60" t="b">
        <f>IF(CO59=31,40)</f>
        <v>0</v>
      </c>
    </row>
    <row r="84" spans="2:103" ht="66" hidden="1" thickBot="1" x14ac:dyDescent="0.35">
      <c r="B84" s="297"/>
      <c r="C84" s="297"/>
      <c r="D84" s="298"/>
      <c r="E84" s="298"/>
      <c r="F84" s="298"/>
      <c r="G84" s="890"/>
      <c r="H84" s="22"/>
      <c r="I84" s="22"/>
      <c r="J84" s="22"/>
      <c r="K84" s="836" t="s">
        <v>220</v>
      </c>
      <c r="L84" s="836" t="s">
        <v>221</v>
      </c>
      <c r="M84" s="836" t="s">
        <v>222</v>
      </c>
      <c r="N84" s="22"/>
      <c r="O84" s="883"/>
      <c r="BD84" s="77"/>
      <c r="BE84" s="81"/>
      <c r="BF84" s="747"/>
      <c r="BH84" s="47"/>
      <c r="BI84" s="105"/>
      <c r="BJ84" s="56">
        <v>30</v>
      </c>
      <c r="BK84" s="62"/>
      <c r="BL84" s="62"/>
      <c r="BM84" s="62"/>
      <c r="BN84" s="62"/>
      <c r="BO84" s="62"/>
      <c r="BP84" s="63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579"/>
      <c r="CF84" s="58" t="b">
        <f>IF(CN59=30,22)</f>
        <v>0</v>
      </c>
      <c r="CH84" s="65"/>
      <c r="CI84" s="64"/>
      <c r="CJ84" s="64"/>
      <c r="CK84" s="64"/>
      <c r="CL84" s="64"/>
      <c r="CM84" s="64"/>
      <c r="CN84" s="64"/>
      <c r="CO84" s="64"/>
      <c r="CP84" s="64"/>
      <c r="CQ84" s="64"/>
      <c r="CR84" s="64"/>
      <c r="CS84" s="64"/>
      <c r="CT84" s="64"/>
      <c r="CV84" s="60" t="b">
        <f>IF(CN59=30,38)</f>
        <v>0</v>
      </c>
      <c r="CW84" s="40"/>
      <c r="CX84" s="40"/>
    </row>
    <row r="85" spans="2:103" ht="47.25" hidden="1" customHeight="1" thickBot="1" x14ac:dyDescent="0.35">
      <c r="G85" s="890"/>
      <c r="H85" s="22"/>
      <c r="I85" s="22"/>
      <c r="J85" s="871" t="s">
        <v>192</v>
      </c>
      <c r="K85" s="858">
        <f>+MIN(J19:K20)</f>
        <v>43.922369765066392</v>
      </c>
      <c r="L85" s="859">
        <f>+$E$20/(BK27)</f>
        <v>43.922369765066392</v>
      </c>
      <c r="M85" s="859">
        <f>+MIN(K25:L26)</f>
        <v>33.286321212981463</v>
      </c>
      <c r="N85" s="22"/>
      <c r="O85" s="883"/>
      <c r="BD85" s="77"/>
      <c r="BE85" s="81"/>
      <c r="BF85" s="747"/>
      <c r="BH85" s="47"/>
      <c r="BI85" s="929"/>
      <c r="BJ85" s="56">
        <v>29</v>
      </c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F85" s="580" t="b">
        <f>IF(CM59=29,22)</f>
        <v>0</v>
      </c>
      <c r="CG85" s="64"/>
      <c r="CH85" s="64"/>
      <c r="CI85" s="64"/>
      <c r="CJ85" s="64"/>
      <c r="CK85" s="64"/>
      <c r="CL85" s="69"/>
      <c r="CM85" s="64"/>
      <c r="CN85" s="69"/>
      <c r="CO85" s="70"/>
      <c r="CP85" s="70"/>
      <c r="CQ85" s="70"/>
      <c r="CR85" s="70"/>
      <c r="CS85" s="70"/>
      <c r="CT85" s="60" t="b">
        <f>IF(CM59=29,36)</f>
        <v>0</v>
      </c>
      <c r="CV85" s="38"/>
      <c r="CW85" s="40"/>
      <c r="CX85" s="40"/>
    </row>
    <row r="86" spans="2:103" ht="29" hidden="1" thickBot="1" x14ac:dyDescent="0.35">
      <c r="B86"/>
      <c r="G86" s="890"/>
      <c r="H86" s="22"/>
      <c r="I86" s="814">
        <v>6</v>
      </c>
      <c r="J86" s="814">
        <v>61</v>
      </c>
      <c r="K86" s="814">
        <v>62</v>
      </c>
      <c r="L86" s="814">
        <v>63</v>
      </c>
      <c r="M86" s="835">
        <v>64</v>
      </c>
      <c r="N86" s="22"/>
      <c r="O86" s="883"/>
      <c r="BD86" s="77"/>
      <c r="BE86" s="81"/>
      <c r="BF86" s="747"/>
      <c r="BH86" s="47"/>
      <c r="BI86" s="929"/>
      <c r="BJ86" s="56">
        <v>28</v>
      </c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F86" s="581" t="b">
        <f>IF(CL59=28,22)</f>
        <v>0</v>
      </c>
      <c r="CG86" s="72"/>
      <c r="CH86" s="72"/>
      <c r="CI86" s="72"/>
      <c r="CJ86" s="73"/>
      <c r="CK86" s="72"/>
      <c r="CL86" s="72"/>
      <c r="CM86" s="72"/>
      <c r="CN86" s="73"/>
      <c r="CO86" s="74"/>
      <c r="CP86" s="74"/>
      <c r="CQ86" s="74"/>
      <c r="CR86" s="75" t="b">
        <f>IF(CL59=28,34)</f>
        <v>0</v>
      </c>
      <c r="CT86" s="38"/>
      <c r="CU86" s="38"/>
      <c r="CV86" s="38"/>
      <c r="CW86" s="40"/>
      <c r="CX86" s="40"/>
    </row>
    <row r="87" spans="2:103" ht="16" hidden="1" customHeight="1" thickBot="1" x14ac:dyDescent="0.35">
      <c r="B87" s="297"/>
      <c r="C87" s="297"/>
      <c r="D87" s="298"/>
      <c r="E87" s="298"/>
      <c r="F87" s="298"/>
      <c r="G87" s="890"/>
      <c r="H87" s="22"/>
      <c r="I87" s="22"/>
      <c r="J87" s="22"/>
      <c r="K87" s="22"/>
      <c r="L87" s="22"/>
      <c r="M87" s="22"/>
      <c r="N87" s="22"/>
      <c r="O87" s="883"/>
      <c r="BD87" s="77"/>
      <c r="BE87" s="81"/>
      <c r="BF87" s="747"/>
      <c r="BH87" s="47"/>
      <c r="BI87" s="929"/>
      <c r="BJ87" s="56">
        <v>27</v>
      </c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581" t="b">
        <f>IF(CK59=27,13)</f>
        <v>0</v>
      </c>
      <c r="BX87" s="40"/>
      <c r="BY87" s="40"/>
      <c r="BZ87" s="40"/>
      <c r="CA87" s="40"/>
      <c r="CB87" s="40"/>
      <c r="CC87" s="40"/>
      <c r="CD87" s="40"/>
      <c r="CF87" s="72"/>
      <c r="CG87" s="72"/>
      <c r="CH87" s="73"/>
      <c r="CI87" s="72"/>
      <c r="CJ87" s="72"/>
      <c r="CK87" s="72"/>
      <c r="CL87" s="72"/>
      <c r="CM87" s="72"/>
      <c r="CN87" s="73"/>
      <c r="CO87" s="74"/>
      <c r="CP87" s="74"/>
      <c r="CR87" s="38"/>
      <c r="CS87" s="38"/>
      <c r="CT87" s="38"/>
      <c r="CU87" s="38"/>
      <c r="CV87" s="38"/>
      <c r="CW87" s="40"/>
      <c r="CX87" s="75" t="b">
        <f>IF(CK59=27,40)</f>
        <v>0</v>
      </c>
    </row>
    <row r="88" spans="2:103" ht="55.5" hidden="1" customHeight="1" thickBot="1" x14ac:dyDescent="0.35">
      <c r="B88" s="297"/>
      <c r="C88" s="297"/>
      <c r="D88" s="298"/>
      <c r="E88" s="298"/>
      <c r="F88" s="298"/>
      <c r="G88" s="890"/>
      <c r="H88" s="22"/>
      <c r="I88" s="22"/>
      <c r="J88" s="22"/>
      <c r="K88" s="22"/>
      <c r="L88" s="22"/>
      <c r="M88" s="22"/>
      <c r="N88" s="22"/>
      <c r="O88" s="883"/>
      <c r="BD88" s="77"/>
      <c r="BE88" s="81"/>
      <c r="BF88" s="747"/>
      <c r="BH88" s="47"/>
      <c r="BI88" s="105"/>
      <c r="BJ88" s="56">
        <v>26</v>
      </c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581" t="b">
        <f>IF(CJ59=26,13)</f>
        <v>0</v>
      </c>
      <c r="BX88" s="40"/>
      <c r="BY88" s="40"/>
      <c r="BZ88" s="40"/>
      <c r="CA88" s="40"/>
      <c r="CB88" s="40"/>
      <c r="CC88" s="40"/>
      <c r="CD88" s="40"/>
      <c r="CF88" s="73"/>
      <c r="CG88" s="72"/>
      <c r="CH88" s="72"/>
      <c r="CI88" s="72"/>
      <c r="CJ88" s="72"/>
      <c r="CK88" s="72"/>
      <c r="CL88" s="72"/>
      <c r="CM88" s="72"/>
      <c r="CN88" s="73"/>
      <c r="CP88" s="38"/>
      <c r="CQ88" s="38"/>
      <c r="CR88" s="38"/>
      <c r="CS88" s="38"/>
      <c r="CT88" s="38"/>
      <c r="CU88" s="38"/>
      <c r="CV88" s="75" t="b">
        <f>IF(CJ59=26,38)</f>
        <v>0</v>
      </c>
      <c r="CW88" s="40"/>
      <c r="CX88" s="40"/>
    </row>
    <row r="89" spans="2:103" ht="50" hidden="1" customHeight="1" thickBot="1" x14ac:dyDescent="0.35">
      <c r="G89" s="890"/>
      <c r="H89" s="22"/>
      <c r="I89" s="22"/>
      <c r="J89" s="22"/>
      <c r="K89" s="22"/>
      <c r="L89" s="22"/>
      <c r="M89" s="22"/>
      <c r="N89" s="22"/>
      <c r="O89" s="883"/>
      <c r="BD89" s="81"/>
      <c r="BE89" s="81"/>
      <c r="BF89" s="747"/>
      <c r="BH89" s="47"/>
      <c r="BI89" s="38"/>
      <c r="BJ89" s="56">
        <v>25</v>
      </c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W89" s="581" t="b">
        <f>IF(CI59=25,13)</f>
        <v>0</v>
      </c>
      <c r="BX89" s="40"/>
      <c r="BY89" s="40"/>
      <c r="BZ89" s="40"/>
      <c r="CA89" s="40"/>
      <c r="CB89" s="40"/>
      <c r="CC89" s="40"/>
      <c r="CF89" s="72"/>
      <c r="CG89" s="72"/>
      <c r="CH89" s="72"/>
      <c r="CI89" s="72"/>
      <c r="CJ89" s="72"/>
      <c r="CK89" s="72"/>
      <c r="CL89" s="72"/>
      <c r="CO89" s="38"/>
      <c r="CP89" s="38"/>
      <c r="CQ89" s="38"/>
      <c r="CR89" s="38"/>
      <c r="CS89" s="38"/>
      <c r="CT89" s="75" t="b">
        <f>IF(CI59=25,36)</f>
        <v>0</v>
      </c>
      <c r="CU89" s="38"/>
      <c r="CV89" s="38"/>
      <c r="CW89" s="40"/>
      <c r="CX89" s="40"/>
    </row>
    <row r="90" spans="2:103" ht="29" hidden="1" thickBot="1" x14ac:dyDescent="0.35">
      <c r="B90" s="299"/>
      <c r="C90" s="299"/>
      <c r="G90" s="890"/>
      <c r="H90" s="22"/>
      <c r="I90" s="22"/>
      <c r="J90" s="22"/>
      <c r="K90" s="22"/>
      <c r="L90" s="22"/>
      <c r="M90" s="22"/>
      <c r="N90" s="22"/>
      <c r="O90" s="883"/>
      <c r="U90" s="110"/>
      <c r="V90" s="110"/>
      <c r="W90" s="110"/>
      <c r="X90" s="110"/>
      <c r="Y90" s="110"/>
      <c r="Z90" s="110"/>
      <c r="AA90" s="110"/>
      <c r="AF90" s="110"/>
      <c r="AG90" s="110"/>
      <c r="AH90" s="110"/>
      <c r="AI90" s="110"/>
      <c r="AJ90" s="110"/>
      <c r="AK90" s="110"/>
      <c r="AL90" s="110"/>
      <c r="AM90" s="110"/>
      <c r="AN90" s="110"/>
      <c r="AO90" s="110"/>
      <c r="AP90" s="110"/>
      <c r="AQ90" s="110"/>
      <c r="AR90" s="110"/>
      <c r="AS90" s="110"/>
      <c r="AT90" s="110"/>
      <c r="AU90" s="110"/>
      <c r="AV90" s="110"/>
      <c r="AW90" s="110"/>
      <c r="AX90" s="110"/>
      <c r="AY90" s="110"/>
      <c r="AZ90" s="110"/>
      <c r="BA90" s="110"/>
      <c r="BB90" s="110"/>
      <c r="BC90" s="77"/>
      <c r="BD90" s="81"/>
      <c r="BE90" s="81"/>
      <c r="BF90" s="747"/>
      <c r="BH90" s="47"/>
      <c r="BI90" s="38"/>
      <c r="BJ90" s="56">
        <v>24</v>
      </c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W90" s="68" t="b">
        <f>IF(CH59=24,13)</f>
        <v>0</v>
      </c>
      <c r="BX90" s="64"/>
      <c r="BY90" s="64"/>
      <c r="BZ90" s="64"/>
      <c r="CA90" s="64"/>
      <c r="CB90" s="256"/>
      <c r="CC90" s="575"/>
      <c r="CD90" s="575"/>
      <c r="CE90" s="582"/>
      <c r="CF90" s="64"/>
      <c r="CG90" s="64"/>
      <c r="CH90" s="64"/>
      <c r="CI90" s="64"/>
      <c r="CJ90" s="64"/>
      <c r="CK90" s="64"/>
      <c r="CL90" s="64"/>
      <c r="CM90" s="64"/>
      <c r="CN90" s="69"/>
      <c r="CO90" s="70"/>
      <c r="CP90" s="70"/>
      <c r="CQ90" s="70"/>
      <c r="CR90" s="60" t="b">
        <f>IF(CH59=24,34)</f>
        <v>0</v>
      </c>
      <c r="CS90" s="70"/>
      <c r="CU90" s="38"/>
      <c r="CV90" s="38"/>
      <c r="CW90" s="40"/>
      <c r="CX90" s="40"/>
    </row>
    <row r="91" spans="2:103" ht="29" hidden="1" thickBot="1" x14ac:dyDescent="0.35">
      <c r="E91" s="129"/>
      <c r="F91" s="129"/>
      <c r="G91" s="890"/>
      <c r="H91" s="22"/>
      <c r="I91" s="22"/>
      <c r="J91" s="22"/>
      <c r="K91" s="22"/>
      <c r="L91" s="22"/>
      <c r="M91" s="22"/>
      <c r="N91" s="22"/>
      <c r="O91" s="883"/>
      <c r="BD91" s="81"/>
      <c r="BE91" s="81"/>
      <c r="BF91" s="747"/>
      <c r="BH91" s="47"/>
      <c r="BI91" s="38"/>
      <c r="BJ91" s="56">
        <v>23</v>
      </c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W91" s="71" t="b">
        <f>IF(CG59=23,13)</f>
        <v>0</v>
      </c>
      <c r="BX91" s="72"/>
      <c r="BY91" s="72"/>
      <c r="BZ91" s="73"/>
      <c r="CA91" s="72"/>
      <c r="CB91" s="575"/>
      <c r="CC91" s="575"/>
      <c r="CD91" s="575"/>
      <c r="CE91" s="583"/>
      <c r="CF91" s="72"/>
      <c r="CG91" s="72"/>
      <c r="CH91" s="72"/>
      <c r="CI91" s="72"/>
      <c r="CJ91" s="72"/>
      <c r="CK91" s="72"/>
      <c r="CL91" s="72"/>
      <c r="CM91" s="72"/>
      <c r="CN91" s="73"/>
      <c r="CO91" s="74"/>
      <c r="CP91" s="75" t="b">
        <f>IF(CG59=23,32)</f>
        <v>0</v>
      </c>
      <c r="CQ91" s="74"/>
      <c r="CS91" s="38"/>
      <c r="CT91" s="38"/>
      <c r="CU91" s="38"/>
      <c r="CV91" s="38"/>
      <c r="CW91" s="40"/>
      <c r="CX91" s="40"/>
    </row>
    <row r="92" spans="2:103" ht="60.75" hidden="1" customHeight="1" thickBot="1" x14ac:dyDescent="0.35">
      <c r="E92" s="129"/>
      <c r="F92" s="129"/>
      <c r="G92" s="890"/>
      <c r="H92" s="22"/>
      <c r="I92" s="22"/>
      <c r="J92" s="22"/>
      <c r="K92" s="22"/>
      <c r="L92" s="22"/>
      <c r="M92" s="22"/>
      <c r="N92" s="22"/>
      <c r="O92" s="883"/>
      <c r="V92" s="301"/>
      <c r="W92" s="301"/>
      <c r="X92" s="301"/>
      <c r="Y92" s="301"/>
      <c r="Z92" s="301"/>
      <c r="AA92" s="301"/>
      <c r="AF92" s="293"/>
      <c r="AG92" s="293"/>
      <c r="AH92" s="293"/>
      <c r="AI92" s="293"/>
      <c r="AJ92" s="293"/>
      <c r="AK92" s="293"/>
      <c r="AL92" s="293"/>
      <c r="AM92" s="293"/>
      <c r="AN92" s="293"/>
      <c r="AO92" s="293"/>
      <c r="AP92" s="293"/>
      <c r="AQ92" s="293"/>
      <c r="AR92" s="293"/>
      <c r="AS92" s="293"/>
      <c r="AT92" s="293"/>
      <c r="AU92" s="293"/>
      <c r="AV92" s="293"/>
      <c r="AW92" s="293"/>
      <c r="AX92" s="293"/>
      <c r="AY92" s="293"/>
      <c r="AZ92" s="293"/>
      <c r="BA92" s="293"/>
      <c r="BB92" s="293"/>
      <c r="BC92" s="85"/>
      <c r="BD92" s="81"/>
      <c r="BE92" s="81"/>
      <c r="BH92" s="47"/>
      <c r="BI92" s="38"/>
      <c r="BJ92" s="56">
        <v>22</v>
      </c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W92" s="71" t="b">
        <f>IF(CF59=22,13)</f>
        <v>0</v>
      </c>
      <c r="BX92" s="74"/>
      <c r="BY92" s="74"/>
      <c r="BZ92" s="73"/>
      <c r="CA92" s="74"/>
      <c r="CB92" s="95"/>
      <c r="CC92" s="95"/>
      <c r="CD92" s="95"/>
      <c r="CE92" s="581"/>
      <c r="CF92" s="74"/>
      <c r="CG92" s="74"/>
      <c r="CH92" s="74"/>
      <c r="CI92" s="72"/>
      <c r="CJ92" s="72"/>
      <c r="CK92" s="73"/>
      <c r="CL92" s="72"/>
      <c r="CM92" s="72"/>
      <c r="CN92" s="75" t="b">
        <f>IF(CF59=22,30)</f>
        <v>0</v>
      </c>
      <c r="CO92" s="72"/>
      <c r="CQ92" s="40"/>
      <c r="CR92" s="40"/>
      <c r="CS92" s="40"/>
      <c r="CT92" s="40"/>
      <c r="CU92" s="40"/>
      <c r="CV92" s="40"/>
      <c r="CW92" s="40"/>
      <c r="CX92" s="40"/>
    </row>
    <row r="93" spans="2:103" ht="50" hidden="1" customHeight="1" thickBot="1" x14ac:dyDescent="0.35">
      <c r="E93" s="129"/>
      <c r="F93" s="129"/>
      <c r="G93" s="890"/>
      <c r="H93" s="22"/>
      <c r="I93" s="22"/>
      <c r="J93" s="22"/>
      <c r="K93" s="22"/>
      <c r="L93" s="22"/>
      <c r="M93" s="22"/>
      <c r="N93" s="22"/>
      <c r="O93" s="883"/>
      <c r="BD93" s="81"/>
      <c r="BE93" s="81"/>
      <c r="BH93" s="47"/>
      <c r="BI93" s="38"/>
      <c r="BJ93" s="56">
        <v>21</v>
      </c>
      <c r="BK93" s="40"/>
      <c r="BL93" s="40"/>
      <c r="BM93" s="40"/>
      <c r="BN93" s="40"/>
      <c r="BO93" s="40"/>
      <c r="BP93" s="40"/>
      <c r="BQ93" s="40"/>
      <c r="BR93" s="40"/>
      <c r="BS93" s="40"/>
      <c r="BT93" s="40"/>
      <c r="BU93" s="40"/>
      <c r="BW93" s="71" t="b">
        <f>IF(CE59=21,13)</f>
        <v>0</v>
      </c>
      <c r="BX93" s="72"/>
      <c r="BY93" s="72"/>
      <c r="BZ93" s="72"/>
      <c r="CA93" s="72"/>
      <c r="CB93" s="575"/>
      <c r="CC93" s="575"/>
      <c r="CD93" s="575"/>
      <c r="CE93" s="583"/>
      <c r="CF93" s="72"/>
      <c r="CG93" s="72"/>
      <c r="CH93" s="72"/>
      <c r="CI93" s="72"/>
      <c r="CJ93" s="72"/>
      <c r="CK93" s="72"/>
      <c r="CL93" s="72"/>
      <c r="CM93" s="75" t="b">
        <f>IF(CE59=21,29)</f>
        <v>0</v>
      </c>
      <c r="CO93" s="38"/>
      <c r="CP93" s="38"/>
      <c r="CQ93" s="38"/>
      <c r="CR93" s="38"/>
      <c r="CS93" s="38"/>
      <c r="CT93" s="38"/>
      <c r="CU93" s="38"/>
      <c r="CV93" s="38"/>
      <c r="CW93" s="40"/>
      <c r="CX93" s="40"/>
    </row>
    <row r="94" spans="2:103" ht="50" hidden="1" customHeight="1" thickBot="1" x14ac:dyDescent="0.35">
      <c r="E94" s="129"/>
      <c r="F94" s="129"/>
      <c r="G94" s="890"/>
      <c r="H94" s="22"/>
      <c r="I94" s="22"/>
      <c r="J94" s="22"/>
      <c r="K94" s="22"/>
      <c r="L94" s="22"/>
      <c r="M94" s="22"/>
      <c r="N94" s="22"/>
      <c r="O94" s="883"/>
      <c r="BD94" s="81"/>
      <c r="BE94" s="81"/>
      <c r="BH94" s="47"/>
      <c r="BI94" s="932"/>
      <c r="BJ94" s="56">
        <v>20</v>
      </c>
      <c r="BK94" s="40"/>
      <c r="BL94" s="40"/>
      <c r="BM94" s="40"/>
      <c r="BN94" s="40"/>
      <c r="BO94" s="40"/>
      <c r="BP94" s="40"/>
      <c r="BQ94" s="40"/>
      <c r="BR94" s="40"/>
      <c r="BU94" s="82"/>
      <c r="BV94" s="68" t="b">
        <f>IF(CD59=20,12)</f>
        <v>0</v>
      </c>
      <c r="BW94" s="64"/>
      <c r="BX94" s="64"/>
      <c r="BY94" s="64"/>
      <c r="BZ94" s="64"/>
      <c r="CA94" s="64"/>
      <c r="CB94" s="575"/>
      <c r="CC94" s="575"/>
      <c r="CD94" s="575"/>
      <c r="CE94" s="582"/>
      <c r="CF94" s="64"/>
      <c r="CG94" s="64"/>
      <c r="CH94" s="64"/>
      <c r="CI94" s="64"/>
      <c r="CJ94" s="64"/>
      <c r="CK94" s="64"/>
      <c r="CM94" s="60" t="b">
        <f>IF(CD59=20,29)</f>
        <v>0</v>
      </c>
      <c r="CO94" s="38"/>
      <c r="CP94" s="38"/>
      <c r="CQ94" s="38"/>
      <c r="CR94" s="38"/>
      <c r="CS94" s="38"/>
      <c r="CT94" s="38"/>
      <c r="CU94" s="38"/>
      <c r="CV94" s="38"/>
      <c r="CW94" s="40"/>
      <c r="CX94" s="40"/>
    </row>
    <row r="95" spans="2:103" ht="160.5" hidden="1" customHeight="1" thickBot="1" x14ac:dyDescent="0.35">
      <c r="G95" s="890"/>
      <c r="H95" s="22"/>
      <c r="I95" s="22"/>
      <c r="J95" s="22"/>
      <c r="K95" s="22"/>
      <c r="L95" s="22"/>
      <c r="M95" s="22"/>
      <c r="N95" s="22"/>
      <c r="O95" s="883"/>
      <c r="BD95" s="81"/>
      <c r="BE95" s="81"/>
      <c r="BH95" s="47"/>
      <c r="BI95" s="932"/>
      <c r="BJ95" s="56">
        <v>19</v>
      </c>
      <c r="BK95" s="40"/>
      <c r="BL95" s="40"/>
      <c r="BM95" s="40"/>
      <c r="BN95" s="40"/>
      <c r="BO95" s="40"/>
      <c r="BP95" s="40"/>
      <c r="BQ95" s="40"/>
      <c r="BR95" s="40"/>
      <c r="BT95" s="68" t="b">
        <f>IF(CC59=19,10)</f>
        <v>0</v>
      </c>
      <c r="BU95" s="83"/>
      <c r="BW95" s="70"/>
      <c r="BX95" s="70"/>
      <c r="BY95" s="69"/>
      <c r="BZ95" s="70"/>
      <c r="CA95" s="70"/>
      <c r="CB95" s="95"/>
      <c r="CC95" s="95"/>
      <c r="CD95" s="95"/>
      <c r="CE95" s="584"/>
      <c r="CF95" s="70"/>
      <c r="CG95" s="70"/>
      <c r="CH95" s="70"/>
      <c r="CI95" s="64"/>
      <c r="CK95" s="84"/>
      <c r="CL95" s="82"/>
      <c r="CM95" s="60" t="b">
        <f>IF(CC59=19,29)</f>
        <v>0</v>
      </c>
      <c r="CN95" s="40"/>
      <c r="CO95" s="40"/>
      <c r="CP95" s="40"/>
      <c r="CQ95" s="40"/>
      <c r="CR95" s="40"/>
      <c r="CS95" s="40"/>
      <c r="CT95" s="40"/>
      <c r="CU95" s="40"/>
      <c r="CV95" s="40"/>
      <c r="CW95" s="40"/>
      <c r="CX95" s="40"/>
    </row>
    <row r="96" spans="2:103" ht="29" hidden="1" thickBot="1" x14ac:dyDescent="0.35">
      <c r="E96" s="291"/>
      <c r="F96" s="291"/>
      <c r="G96" s="890"/>
      <c r="H96" s="22"/>
      <c r="I96" s="22"/>
      <c r="J96" s="22"/>
      <c r="K96" s="22"/>
      <c r="L96" s="22"/>
      <c r="M96" s="22"/>
      <c r="N96" s="22"/>
      <c r="O96" s="883"/>
      <c r="BH96" s="47"/>
      <c r="BI96" s="932"/>
      <c r="BJ96" s="56">
        <v>18</v>
      </c>
      <c r="BK96" s="38"/>
      <c r="BL96" s="38"/>
      <c r="BM96" s="38"/>
      <c r="BN96" s="38"/>
      <c r="BO96" s="38"/>
      <c r="BP96" s="38"/>
      <c r="BQ96" s="38"/>
      <c r="BR96" s="68">
        <f>IF(CB59=18,8)</f>
        <v>8</v>
      </c>
      <c r="BU96" s="70"/>
      <c r="BV96" s="70"/>
      <c r="BW96" s="70"/>
      <c r="BX96" s="70"/>
      <c r="BY96" s="69"/>
      <c r="BZ96" s="70"/>
      <c r="CA96" s="70"/>
      <c r="CB96" s="95"/>
      <c r="CC96" s="95"/>
      <c r="CD96" s="95"/>
      <c r="CE96" s="584"/>
      <c r="CF96" s="70"/>
      <c r="CG96" s="70"/>
      <c r="CH96" s="70"/>
      <c r="CI96" s="64"/>
      <c r="CL96" s="40"/>
      <c r="CM96" s="60">
        <f>IF(CB59=18,29)</f>
        <v>29</v>
      </c>
      <c r="CN96" s="40"/>
      <c r="CO96" s="40"/>
      <c r="CP96" s="40"/>
      <c r="CQ96" s="40"/>
      <c r="CR96" s="40"/>
      <c r="CS96" s="40"/>
      <c r="CT96" s="40"/>
      <c r="CU96" s="40"/>
      <c r="CV96" s="40"/>
      <c r="CW96" s="40"/>
      <c r="CX96" s="40"/>
    </row>
    <row r="97" spans="5:102" ht="45.75" hidden="1" customHeight="1" thickBot="1" x14ac:dyDescent="0.35">
      <c r="E97" s="291"/>
      <c r="F97" s="291"/>
      <c r="G97" s="890"/>
      <c r="H97" s="22"/>
      <c r="I97" s="22"/>
      <c r="J97" s="22"/>
      <c r="K97" s="22"/>
      <c r="L97" s="22"/>
      <c r="M97" s="22"/>
      <c r="N97" s="22"/>
      <c r="O97" s="883"/>
      <c r="BH97" s="47"/>
      <c r="BI97" s="932"/>
      <c r="BJ97" s="56">
        <v>17</v>
      </c>
      <c r="BK97" s="38"/>
      <c r="BL97" s="38"/>
      <c r="BM97" s="38"/>
      <c r="BN97" s="38"/>
      <c r="BO97" s="38"/>
      <c r="BP97" s="68" t="b">
        <f>IF(CA59=17,6)</f>
        <v>0</v>
      </c>
      <c r="BQ97" s="38"/>
      <c r="BS97" s="69"/>
      <c r="BT97" s="69"/>
      <c r="BU97" s="70"/>
      <c r="BV97" s="70"/>
      <c r="BW97" s="70"/>
      <c r="BX97" s="70"/>
      <c r="BY97" s="70"/>
      <c r="BZ97" s="70"/>
      <c r="CA97" s="70"/>
      <c r="CB97" s="95"/>
      <c r="CC97" s="95"/>
      <c r="CD97" s="95"/>
      <c r="CE97" s="580"/>
      <c r="CF97" s="70"/>
      <c r="CG97" s="70"/>
      <c r="CH97" s="69"/>
      <c r="CI97" s="69"/>
      <c r="CK97" s="40"/>
      <c r="CL97" s="40"/>
      <c r="CM97" s="60" t="b">
        <f>IF(CA59=17,29)</f>
        <v>0</v>
      </c>
      <c r="CN97" s="40"/>
      <c r="CO97" s="40"/>
      <c r="CP97" s="40"/>
      <c r="CQ97" s="40"/>
      <c r="CR97" s="40"/>
      <c r="CS97" s="40"/>
      <c r="CT97" s="40"/>
      <c r="CU97" s="40"/>
      <c r="CV97" s="40"/>
      <c r="CW97" s="40"/>
      <c r="CX97" s="40"/>
    </row>
    <row r="98" spans="5:102" ht="29" hidden="1" thickBot="1" x14ac:dyDescent="0.35">
      <c r="E98" s="291"/>
      <c r="F98" s="291"/>
      <c r="G98" s="890"/>
      <c r="H98" s="22"/>
      <c r="I98" s="22"/>
      <c r="J98" s="22"/>
      <c r="K98" s="22"/>
      <c r="L98" s="22"/>
      <c r="M98" s="22"/>
      <c r="N98" s="22"/>
      <c r="O98" s="883"/>
      <c r="BH98" s="47"/>
      <c r="BI98" s="932"/>
      <c r="BJ98" s="56">
        <v>16</v>
      </c>
      <c r="BK98" s="38"/>
      <c r="BL98" s="38"/>
      <c r="BM98" s="38"/>
      <c r="BN98" s="87" t="b">
        <f>IF(BZ59=16,4)</f>
        <v>0</v>
      </c>
      <c r="BO98" s="38"/>
      <c r="BQ98" s="88"/>
      <c r="BR98" s="89"/>
      <c r="BS98" s="89"/>
      <c r="BT98" s="88"/>
      <c r="BU98" s="88"/>
      <c r="BV98" s="88"/>
      <c r="BW98" s="88"/>
      <c r="BX98" s="88"/>
      <c r="BY98" s="88"/>
      <c r="BZ98" s="88"/>
      <c r="CA98" s="88"/>
      <c r="CB98" s="95"/>
      <c r="CC98" s="95"/>
      <c r="CD98" s="95"/>
      <c r="CE98" s="585"/>
      <c r="CF98" s="88"/>
      <c r="CG98" s="89"/>
      <c r="CH98" s="89"/>
      <c r="CI98" s="90"/>
      <c r="CK98" s="40"/>
      <c r="CL98" s="40"/>
      <c r="CM98" s="91" t="b">
        <f>IF(BZ59=16,29)</f>
        <v>0</v>
      </c>
      <c r="CN98" s="40"/>
      <c r="CO98" s="40"/>
      <c r="CP98" s="40"/>
      <c r="CQ98" s="40"/>
      <c r="CR98" s="40"/>
      <c r="CS98" s="40"/>
      <c r="CT98" s="40"/>
      <c r="CU98" s="40"/>
      <c r="CV98" s="40"/>
      <c r="CW98" s="40"/>
      <c r="CX98" s="40"/>
    </row>
    <row r="99" spans="5:102" ht="29" hidden="1" thickBot="1" x14ac:dyDescent="0.35">
      <c r="E99" s="291"/>
      <c r="F99" s="291"/>
      <c r="G99" s="890"/>
      <c r="H99" s="22"/>
      <c r="I99" s="22"/>
      <c r="J99" s="22"/>
      <c r="K99" s="22"/>
      <c r="L99" s="22"/>
      <c r="M99" s="22"/>
      <c r="N99" s="22"/>
      <c r="O99" s="883"/>
      <c r="BH99" s="47"/>
      <c r="BI99" s="932"/>
      <c r="BJ99" s="56">
        <v>15</v>
      </c>
      <c r="BK99" s="38"/>
      <c r="BL99" s="68" t="b">
        <f>IF(BY59=15,2)</f>
        <v>0</v>
      </c>
      <c r="BM99" s="38"/>
      <c r="BO99" s="70"/>
      <c r="BP99" s="70"/>
      <c r="BQ99" s="70"/>
      <c r="BR99" s="69"/>
      <c r="BS99" s="70"/>
      <c r="BT99" s="70"/>
      <c r="BU99" s="69"/>
      <c r="BV99" s="70"/>
      <c r="BW99" s="70"/>
      <c r="BX99" s="70"/>
      <c r="BY99" s="70"/>
      <c r="BZ99" s="70"/>
      <c r="CA99" s="70"/>
      <c r="CB99" s="95"/>
      <c r="CC99" s="256"/>
      <c r="CD99" s="95"/>
      <c r="CE99" s="580"/>
      <c r="CF99" s="69"/>
      <c r="CG99" s="70"/>
      <c r="CH99" s="70"/>
      <c r="CI99" s="64"/>
      <c r="CK99" s="40"/>
      <c r="CL99" s="40"/>
      <c r="CM99" s="60" t="b">
        <f>IF(BY59=15,29)</f>
        <v>0</v>
      </c>
      <c r="CN99" s="40"/>
      <c r="CO99" s="40"/>
      <c r="CP99" s="40"/>
      <c r="CQ99" s="40"/>
      <c r="CR99" s="40"/>
      <c r="CS99" s="40"/>
      <c r="CT99" s="40"/>
      <c r="CU99" s="40"/>
      <c r="CV99" s="40"/>
      <c r="CW99" s="40"/>
      <c r="CX99" s="40"/>
    </row>
    <row r="100" spans="5:102" ht="29" hidden="1" thickBot="1" x14ac:dyDescent="0.35">
      <c r="E100" s="291"/>
      <c r="F100" s="291"/>
      <c r="G100" s="890"/>
      <c r="H100" s="22"/>
      <c r="I100" s="22"/>
      <c r="J100" s="22"/>
      <c r="K100" s="22"/>
      <c r="L100" s="22"/>
      <c r="M100" s="22"/>
      <c r="N100" s="22"/>
      <c r="O100" s="883"/>
      <c r="BH100" s="47"/>
      <c r="BI100" s="932"/>
      <c r="BJ100" s="56">
        <v>14</v>
      </c>
      <c r="BK100" s="38"/>
      <c r="BM100" s="70"/>
      <c r="BN100" s="70"/>
      <c r="BO100" s="70"/>
      <c r="BP100" s="69"/>
      <c r="BQ100" s="70"/>
      <c r="BR100" s="68" t="b">
        <f>IF(BX59=14,8)</f>
        <v>0</v>
      </c>
      <c r="BS100" s="69"/>
      <c r="BT100" s="70"/>
      <c r="BU100" s="70"/>
      <c r="BV100" s="70"/>
      <c r="BW100" s="70"/>
      <c r="BX100" s="70"/>
      <c r="BY100" s="70"/>
      <c r="BZ100" s="70"/>
      <c r="CA100" s="70"/>
      <c r="CB100" s="95"/>
      <c r="CC100" s="256"/>
      <c r="CD100" s="60" t="b">
        <f>IF(BX59=14,20)</f>
        <v>0</v>
      </c>
      <c r="CE100" s="580"/>
      <c r="CF100" s="69"/>
      <c r="CG100" s="70"/>
      <c r="CH100" s="70"/>
      <c r="CI100" s="64"/>
      <c r="CK100" s="40"/>
      <c r="CL100" s="40"/>
      <c r="CM100" s="40"/>
      <c r="CN100" s="40"/>
      <c r="CO100" s="40"/>
      <c r="CP100" s="40"/>
      <c r="CQ100" s="40"/>
      <c r="CR100" s="40"/>
      <c r="CS100" s="40"/>
      <c r="CT100" s="40"/>
      <c r="CU100" s="40"/>
      <c r="CV100" s="40"/>
      <c r="CW100" s="40"/>
      <c r="CX100" s="40"/>
    </row>
    <row r="101" spans="5:102" ht="29" hidden="1" thickBot="1" x14ac:dyDescent="0.35">
      <c r="E101" s="291"/>
      <c r="F101" s="291"/>
      <c r="G101" s="890"/>
      <c r="H101" s="22"/>
      <c r="I101" s="22"/>
      <c r="J101" s="22"/>
      <c r="K101" s="22"/>
      <c r="L101" s="22"/>
      <c r="M101" s="22"/>
      <c r="N101" s="22"/>
      <c r="O101" s="883"/>
      <c r="BH101" s="47"/>
      <c r="BI101" s="932"/>
      <c r="BJ101" s="56">
        <v>13</v>
      </c>
      <c r="BK101" s="38"/>
      <c r="BL101" s="38"/>
      <c r="BM101" s="38"/>
      <c r="BO101" s="92"/>
      <c r="BP101" s="71" t="b">
        <f>IF(BW59=13,6)</f>
        <v>0</v>
      </c>
      <c r="BQ101" s="51"/>
      <c r="BR101" s="92"/>
      <c r="BT101" s="74"/>
      <c r="BU101" s="74"/>
      <c r="BV101" s="74"/>
      <c r="BW101" s="74"/>
      <c r="BX101" s="74"/>
      <c r="BY101" s="74"/>
      <c r="BZ101" s="74"/>
      <c r="CB101" s="38"/>
      <c r="CD101" s="74" t="b">
        <f>IF(BW59=13,20)</f>
        <v>0</v>
      </c>
      <c r="CE101" s="586"/>
      <c r="CG101" s="38"/>
      <c r="CH101" s="38"/>
      <c r="CI101" s="40"/>
      <c r="CJ101" s="40"/>
      <c r="CK101" s="40"/>
      <c r="CL101" s="40"/>
      <c r="CM101" s="40"/>
      <c r="CN101" s="40"/>
      <c r="CO101" s="40"/>
      <c r="CP101" s="40"/>
      <c r="CQ101" s="40"/>
      <c r="CR101" s="40"/>
      <c r="CS101" s="40"/>
      <c r="CT101" s="40"/>
      <c r="CU101" s="40"/>
      <c r="CV101" s="40"/>
      <c r="CW101" s="40"/>
      <c r="CX101" s="40"/>
    </row>
    <row r="102" spans="5:102" ht="29" hidden="1" thickBot="1" x14ac:dyDescent="0.35">
      <c r="E102" s="291"/>
      <c r="F102" s="291"/>
      <c r="G102" s="890"/>
      <c r="H102" s="22"/>
      <c r="I102" s="22"/>
      <c r="J102" s="22"/>
      <c r="K102" s="22"/>
      <c r="L102" s="22"/>
      <c r="M102" s="22"/>
      <c r="N102" s="22"/>
      <c r="O102" s="883"/>
      <c r="BH102" s="47"/>
      <c r="BI102" s="932"/>
      <c r="BJ102" s="56">
        <v>12</v>
      </c>
      <c r="BK102" s="38"/>
      <c r="BM102" s="83"/>
      <c r="BN102" s="68" t="b">
        <f>IF(BV59=12,4)</f>
        <v>0</v>
      </c>
      <c r="BO102" s="84"/>
      <c r="BP102" s="83"/>
      <c r="BR102" s="70"/>
      <c r="BS102" s="70"/>
      <c r="BT102" s="70"/>
      <c r="BU102" s="70"/>
      <c r="BV102" s="70"/>
      <c r="BW102" s="70"/>
      <c r="BX102" s="70"/>
      <c r="BY102" s="70"/>
      <c r="BZ102" s="70"/>
      <c r="CB102" s="38"/>
      <c r="CD102" s="70" t="b">
        <f>IF(BV59=12,20)</f>
        <v>0</v>
      </c>
      <c r="CE102" s="587"/>
      <c r="CG102" s="38"/>
      <c r="CH102" s="38"/>
      <c r="CI102" s="40"/>
      <c r="CJ102" s="40"/>
      <c r="CK102" s="40"/>
      <c r="CL102" s="40"/>
      <c r="CM102" s="40"/>
      <c r="CN102" s="40"/>
      <c r="CO102" s="40"/>
      <c r="CP102" s="40"/>
      <c r="CQ102" s="40"/>
      <c r="CR102" s="40"/>
      <c r="CS102" s="40"/>
      <c r="CT102" s="40"/>
      <c r="CU102" s="40"/>
      <c r="CV102" s="40"/>
      <c r="CW102" s="40"/>
      <c r="CX102" s="40"/>
    </row>
    <row r="103" spans="5:102" ht="29" hidden="1" thickBot="1" x14ac:dyDescent="0.35">
      <c r="E103" s="291"/>
      <c r="F103" s="291"/>
      <c r="G103" s="890"/>
      <c r="H103" s="22"/>
      <c r="I103" s="22"/>
      <c r="J103" s="22"/>
      <c r="K103" s="22"/>
      <c r="L103" s="22"/>
      <c r="M103" s="22"/>
      <c r="N103" s="22"/>
      <c r="O103" s="883"/>
      <c r="BH103" s="47"/>
      <c r="BI103" s="932"/>
      <c r="BJ103" s="56">
        <v>11</v>
      </c>
      <c r="BL103" s="68" t="b">
        <f>IF(BU59=11,2)</f>
        <v>0</v>
      </c>
      <c r="BM103" s="51"/>
      <c r="BN103" s="92"/>
      <c r="BP103" s="70"/>
      <c r="BQ103" s="70"/>
      <c r="BR103" s="70"/>
      <c r="BS103" s="70"/>
      <c r="BT103" s="70"/>
      <c r="BU103" s="70"/>
      <c r="BV103" s="70"/>
      <c r="BW103" s="70"/>
      <c r="BX103" s="70"/>
      <c r="BY103" s="70"/>
      <c r="BZ103" s="70"/>
      <c r="CB103" s="38"/>
      <c r="CD103" s="70" t="b">
        <f>IF(BU59=11,20)</f>
        <v>0</v>
      </c>
      <c r="CE103" s="588"/>
      <c r="CF103" s="38"/>
      <c r="CG103" s="38"/>
      <c r="CH103" s="38"/>
      <c r="CI103" s="40"/>
      <c r="CJ103" s="40"/>
      <c r="CK103" s="40"/>
      <c r="CL103" s="40"/>
      <c r="CM103" s="40"/>
      <c r="CN103" s="40"/>
      <c r="CO103" s="40"/>
      <c r="CP103" s="40"/>
      <c r="CQ103" s="40"/>
      <c r="CR103" s="40"/>
      <c r="CS103" s="40"/>
      <c r="CT103" s="40"/>
      <c r="CU103" s="40"/>
      <c r="CV103" s="40"/>
      <c r="CW103" s="40"/>
      <c r="CX103" s="40"/>
    </row>
    <row r="104" spans="5:102" ht="29" hidden="1" thickBot="1" x14ac:dyDescent="0.35">
      <c r="E104" s="291"/>
      <c r="F104" s="291"/>
      <c r="G104" s="890"/>
      <c r="H104" s="22"/>
      <c r="I104" s="22"/>
      <c r="J104" s="22"/>
      <c r="K104" s="22"/>
      <c r="L104" s="22"/>
      <c r="M104" s="22"/>
      <c r="N104" s="22"/>
      <c r="O104" s="883"/>
      <c r="BE104" s="67"/>
      <c r="BH104" s="47"/>
      <c r="BI104" s="932"/>
      <c r="BJ104" s="56">
        <v>10</v>
      </c>
      <c r="BK104" s="68" t="b">
        <f>IF(BT59=10,1)</f>
        <v>0</v>
      </c>
      <c r="BL104" s="92"/>
      <c r="BN104" s="70"/>
      <c r="BO104" s="70"/>
      <c r="BP104" s="70"/>
      <c r="BQ104" s="70"/>
      <c r="BR104" s="70"/>
      <c r="BS104" s="70"/>
      <c r="BT104" s="70"/>
      <c r="BU104" s="70"/>
      <c r="BV104" s="70"/>
      <c r="BW104" s="70"/>
      <c r="BX104" s="70"/>
      <c r="BY104" s="70"/>
      <c r="BZ104" s="70"/>
      <c r="CB104" s="38"/>
      <c r="CC104" s="70" t="b">
        <f>IF(BT59=10,19)</f>
        <v>0</v>
      </c>
      <c r="CD104" s="38"/>
      <c r="CE104" s="589"/>
      <c r="CF104" s="38"/>
      <c r="CG104" s="38"/>
      <c r="CH104" s="38"/>
      <c r="CI104" s="40"/>
      <c r="CJ104" s="40"/>
      <c r="CK104" s="40"/>
      <c r="CL104" s="40"/>
      <c r="CM104" s="40"/>
      <c r="CN104" s="40"/>
      <c r="CO104" s="40"/>
      <c r="CP104" s="40"/>
      <c r="CQ104" s="40"/>
      <c r="CR104" s="40"/>
      <c r="CS104" s="40"/>
      <c r="CT104" s="40"/>
      <c r="CU104" s="40"/>
      <c r="CV104" s="40"/>
      <c r="CW104" s="40"/>
      <c r="CX104" s="40"/>
    </row>
    <row r="105" spans="5:102" ht="29" hidden="1" thickBot="1" x14ac:dyDescent="0.35">
      <c r="E105" s="291"/>
      <c r="F105" s="291"/>
      <c r="G105" s="890"/>
      <c r="H105" s="22"/>
      <c r="I105" s="22"/>
      <c r="J105" s="22"/>
      <c r="K105" s="22"/>
      <c r="L105" s="22"/>
      <c r="M105" s="22"/>
      <c r="N105" s="22"/>
      <c r="O105" s="883"/>
      <c r="BE105" s="67"/>
      <c r="BH105" s="47"/>
      <c r="BI105" s="932"/>
      <c r="BJ105" s="56">
        <v>9</v>
      </c>
      <c r="BK105" s="68" t="b">
        <f>IF(BS59=9,1)</f>
        <v>0</v>
      </c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70"/>
      <c r="BX105" s="70"/>
      <c r="BY105" s="70"/>
      <c r="BZ105" s="70"/>
      <c r="CA105" s="70" t="b">
        <f>IF(BS59=9,17)</f>
        <v>0</v>
      </c>
      <c r="CB105" s="38"/>
      <c r="CC105" s="38"/>
      <c r="CD105" s="38"/>
      <c r="CE105" s="589"/>
      <c r="CF105" s="38"/>
      <c r="CG105" s="38"/>
      <c r="CH105" s="38"/>
      <c r="CI105" s="40"/>
      <c r="CJ105" s="40"/>
      <c r="CK105" s="40"/>
      <c r="CL105" s="40"/>
      <c r="CM105" s="40"/>
      <c r="CN105" s="40"/>
      <c r="CO105" s="40"/>
      <c r="CP105" s="40"/>
      <c r="CQ105" s="40"/>
      <c r="CR105" s="40"/>
      <c r="CS105" s="40"/>
      <c r="CT105" s="40"/>
      <c r="CU105" s="40"/>
      <c r="CV105" s="40"/>
      <c r="CW105" s="40"/>
      <c r="CX105" s="40"/>
    </row>
    <row r="106" spans="5:102" ht="29" hidden="1" thickBot="1" x14ac:dyDescent="0.35">
      <c r="E106" s="291"/>
      <c r="F106" s="291"/>
      <c r="G106" s="890"/>
      <c r="H106" s="22"/>
      <c r="I106" s="22"/>
      <c r="J106" s="22"/>
      <c r="K106" s="22"/>
      <c r="L106" s="22"/>
      <c r="M106" s="22"/>
      <c r="N106" s="22"/>
      <c r="O106" s="883"/>
      <c r="BE106" s="67"/>
      <c r="BH106" s="47"/>
      <c r="BI106" s="932"/>
      <c r="BJ106" s="56">
        <v>8</v>
      </c>
      <c r="BK106" s="68" t="b">
        <f>IF(BR59=8,1)</f>
        <v>0</v>
      </c>
      <c r="BL106" s="70"/>
      <c r="BM106" s="69"/>
      <c r="BN106" s="70"/>
      <c r="BO106" s="70"/>
      <c r="BP106" s="70"/>
      <c r="BQ106" s="70"/>
      <c r="BR106" s="70"/>
      <c r="BS106" s="70"/>
      <c r="BT106" s="70"/>
      <c r="BU106" s="70"/>
      <c r="BV106" s="70"/>
      <c r="BW106" s="69"/>
      <c r="BX106" s="70"/>
      <c r="BY106" s="60" t="b">
        <f>IF(BR59=8,15)</f>
        <v>0</v>
      </c>
      <c r="BZ106" s="38"/>
      <c r="CA106" s="38"/>
      <c r="CB106" s="38"/>
      <c r="CC106" s="38"/>
      <c r="CD106" s="38"/>
      <c r="CE106" s="589"/>
      <c r="CF106" s="38"/>
      <c r="CG106" s="38"/>
      <c r="CH106" s="38"/>
      <c r="CI106" s="40"/>
      <c r="CJ106" s="40"/>
      <c r="CK106" s="40"/>
      <c r="CL106" s="40"/>
      <c r="CM106" s="40"/>
      <c r="CN106" s="40"/>
      <c r="CO106" s="40"/>
      <c r="CP106" s="40"/>
      <c r="CQ106" s="40"/>
      <c r="CR106" s="40"/>
      <c r="CS106" s="40"/>
      <c r="CT106" s="40"/>
      <c r="CU106" s="40"/>
      <c r="CV106" s="40"/>
      <c r="CW106" s="40"/>
      <c r="CX106" s="40"/>
    </row>
    <row r="107" spans="5:102" ht="29" hidden="1" thickBot="1" x14ac:dyDescent="0.35">
      <c r="E107" s="291"/>
      <c r="F107" s="291"/>
      <c r="G107" s="890"/>
      <c r="H107" s="22"/>
      <c r="I107" s="22"/>
      <c r="J107" s="22"/>
      <c r="K107" s="22"/>
      <c r="L107" s="22"/>
      <c r="M107" s="22"/>
      <c r="N107" s="22"/>
      <c r="O107" s="883"/>
      <c r="BH107" s="47"/>
      <c r="BI107" s="932"/>
      <c r="BJ107" s="56">
        <v>7</v>
      </c>
      <c r="BK107" s="68" t="b">
        <f>IF(BQ59=7,1)</f>
        <v>0</v>
      </c>
      <c r="BL107" s="69"/>
      <c r="BM107" s="70"/>
      <c r="BN107" s="70"/>
      <c r="BO107" s="70"/>
      <c r="BP107" s="70"/>
      <c r="BQ107" s="70"/>
      <c r="BR107" s="70"/>
      <c r="BS107" s="70"/>
      <c r="BT107" s="70"/>
      <c r="BU107" s="69"/>
      <c r="BV107" s="69"/>
      <c r="BW107" s="60" t="b">
        <f>IF(BQ59=7,13)</f>
        <v>0</v>
      </c>
      <c r="BX107" s="38"/>
      <c r="BY107" s="38"/>
      <c r="BZ107" s="38"/>
      <c r="CA107" s="38"/>
      <c r="CB107" s="38"/>
      <c r="CC107" s="38"/>
      <c r="CD107" s="38"/>
      <c r="CE107" s="589"/>
      <c r="CF107" s="38"/>
      <c r="CG107" s="38"/>
      <c r="CH107" s="38"/>
      <c r="CI107" s="40"/>
      <c r="CJ107" s="40"/>
      <c r="CK107" s="40"/>
      <c r="CL107" s="40"/>
      <c r="CM107" s="40"/>
      <c r="CN107" s="40"/>
      <c r="CO107" s="40"/>
      <c r="CP107" s="40"/>
      <c r="CQ107" s="40"/>
      <c r="CR107" s="40"/>
      <c r="CS107" s="40"/>
      <c r="CT107" s="40"/>
      <c r="CU107" s="40"/>
      <c r="CV107" s="40"/>
      <c r="CW107" s="40"/>
      <c r="CX107" s="40"/>
    </row>
    <row r="108" spans="5:102" ht="29" hidden="1" thickBot="1" x14ac:dyDescent="0.35">
      <c r="E108" s="291"/>
      <c r="F108" s="291"/>
      <c r="G108" s="890"/>
      <c r="H108" s="22"/>
      <c r="I108" s="22"/>
      <c r="J108" s="22"/>
      <c r="K108" s="22"/>
      <c r="L108" s="22"/>
      <c r="M108" s="22"/>
      <c r="N108" s="22"/>
      <c r="O108" s="883"/>
      <c r="BE108" s="77"/>
      <c r="BH108" s="47"/>
      <c r="BI108" s="932"/>
      <c r="BJ108" s="56">
        <v>6</v>
      </c>
      <c r="BK108" s="71" t="b">
        <f>IF(BP59=6,1)</f>
        <v>0</v>
      </c>
      <c r="BL108" s="74"/>
      <c r="BM108" s="74"/>
      <c r="BN108" s="74"/>
      <c r="BO108" s="74"/>
      <c r="BP108" s="74"/>
      <c r="BQ108" s="74"/>
      <c r="BR108" s="74"/>
      <c r="BS108" s="74"/>
      <c r="BT108" s="74"/>
      <c r="BU108" s="75" t="b">
        <f>IF(BP59=6,11)</f>
        <v>0</v>
      </c>
      <c r="BV108" s="38"/>
      <c r="BW108" s="38"/>
      <c r="BX108" s="38"/>
      <c r="BY108" s="38"/>
      <c r="BZ108" s="38"/>
      <c r="CA108" s="38"/>
      <c r="CB108" s="38"/>
      <c r="CC108" s="38"/>
      <c r="CD108" s="38"/>
      <c r="CE108" s="589"/>
      <c r="CF108" s="38"/>
      <c r="CG108" s="38"/>
      <c r="CH108" s="38"/>
      <c r="CI108" s="40"/>
      <c r="CJ108" s="40"/>
      <c r="CK108" s="40"/>
      <c r="CL108" s="40"/>
      <c r="CM108" s="40"/>
      <c r="CN108" s="40"/>
      <c r="CO108" s="40"/>
      <c r="CP108" s="40"/>
      <c r="CQ108" s="40"/>
      <c r="CR108" s="40"/>
      <c r="CS108" s="40"/>
      <c r="CT108" s="40"/>
      <c r="CU108" s="40"/>
      <c r="CV108" s="40"/>
      <c r="CW108" s="40"/>
      <c r="CX108" s="40"/>
    </row>
    <row r="109" spans="5:102" ht="29" hidden="1" thickBot="1" x14ac:dyDescent="0.35">
      <c r="E109" s="291"/>
      <c r="F109" s="291"/>
      <c r="G109" s="890"/>
      <c r="H109" s="22"/>
      <c r="I109" s="22"/>
      <c r="J109" s="22"/>
      <c r="K109" s="22"/>
      <c r="L109" s="22"/>
      <c r="M109" s="22"/>
      <c r="N109" s="22"/>
      <c r="O109" s="883"/>
      <c r="BE109" s="77"/>
      <c r="BH109" s="47"/>
      <c r="BI109" s="932"/>
      <c r="BJ109" s="56">
        <v>5</v>
      </c>
      <c r="BK109" s="71" t="b">
        <f>IF(BO59=5,1)</f>
        <v>0</v>
      </c>
      <c r="BL109" s="73"/>
      <c r="BM109" s="74"/>
      <c r="BN109" s="74"/>
      <c r="BO109" s="74"/>
      <c r="BP109" s="74"/>
      <c r="BQ109" s="74"/>
      <c r="BR109" s="73"/>
      <c r="BS109" s="75" t="b">
        <f>IF(BO59=5,9)</f>
        <v>0</v>
      </c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589"/>
      <c r="CF109" s="38"/>
      <c r="CG109" s="38"/>
      <c r="CH109" s="38"/>
      <c r="CI109" s="40"/>
      <c r="CJ109" s="40"/>
      <c r="CK109" s="40"/>
      <c r="CL109" s="40"/>
      <c r="CM109" s="40"/>
      <c r="CN109" s="40"/>
      <c r="CO109" s="40"/>
      <c r="CP109" s="40"/>
      <c r="CQ109" s="40"/>
      <c r="CR109" s="40"/>
      <c r="CS109" s="40"/>
      <c r="CT109" s="40"/>
      <c r="CU109" s="40"/>
      <c r="CV109" s="40"/>
      <c r="CW109" s="40"/>
      <c r="CX109" s="40"/>
    </row>
    <row r="110" spans="5:102" ht="29" hidden="1" thickBot="1" x14ac:dyDescent="0.35">
      <c r="E110" s="291"/>
      <c r="F110" s="291"/>
      <c r="G110" s="890"/>
      <c r="H110" s="22"/>
      <c r="I110" s="22"/>
      <c r="J110" s="22"/>
      <c r="K110" s="22"/>
      <c r="L110" s="22"/>
      <c r="M110" s="22"/>
      <c r="N110" s="22"/>
      <c r="O110" s="883"/>
      <c r="BE110" s="77"/>
      <c r="BH110" s="47"/>
      <c r="BI110" s="932"/>
      <c r="BJ110" s="56">
        <v>4</v>
      </c>
      <c r="BK110" s="71" t="b">
        <f>IF(BN59=4,1)</f>
        <v>0</v>
      </c>
      <c r="BL110" s="74"/>
      <c r="BM110" s="74"/>
      <c r="BN110" s="74"/>
      <c r="BO110" s="74"/>
      <c r="BP110" s="74"/>
      <c r="BQ110" s="75" t="b">
        <f>IF(BN59=4,7)</f>
        <v>0</v>
      </c>
      <c r="BR110" s="38"/>
      <c r="BS110" s="93"/>
      <c r="BT110" s="93"/>
      <c r="BU110" s="38"/>
      <c r="BV110" s="93"/>
      <c r="BW110" s="38"/>
      <c r="BX110" s="38"/>
      <c r="BY110" s="38"/>
      <c r="BZ110" s="38"/>
      <c r="CA110" s="38"/>
      <c r="CB110" s="38"/>
      <c r="CC110" s="38"/>
      <c r="CD110" s="38"/>
      <c r="CE110" s="589"/>
      <c r="CF110" s="38"/>
      <c r="CG110" s="38"/>
      <c r="CH110" s="38"/>
      <c r="CI110" s="40"/>
      <c r="CJ110" s="40"/>
      <c r="CK110" s="40"/>
      <c r="CL110" s="40"/>
      <c r="CM110" s="40"/>
      <c r="CN110" s="40"/>
      <c r="CO110" s="40"/>
      <c r="CP110" s="40"/>
      <c r="CQ110" s="40"/>
      <c r="CR110" s="40"/>
      <c r="CS110" s="40"/>
      <c r="CT110" s="40"/>
      <c r="CU110" s="40"/>
      <c r="CV110" s="40"/>
      <c r="CW110" s="40"/>
      <c r="CX110" s="40"/>
    </row>
    <row r="111" spans="5:102" ht="29" hidden="1" thickBot="1" x14ac:dyDescent="0.35">
      <c r="E111" s="291"/>
      <c r="F111" s="291"/>
      <c r="G111" s="890"/>
      <c r="H111" s="22"/>
      <c r="I111" s="22"/>
      <c r="J111" s="22"/>
      <c r="K111" s="22"/>
      <c r="L111" s="22"/>
      <c r="M111" s="22"/>
      <c r="N111" s="22"/>
      <c r="O111" s="883"/>
      <c r="U111" s="67"/>
      <c r="AB111" s="67"/>
      <c r="AC111" s="67"/>
      <c r="AD111" s="67"/>
      <c r="AE111" s="67"/>
      <c r="BE111" s="77"/>
      <c r="BH111" s="47"/>
      <c r="BI111" s="932"/>
      <c r="BJ111" s="56">
        <v>3</v>
      </c>
      <c r="BK111" s="71" t="b">
        <f>IF(BM59=3,1)</f>
        <v>0</v>
      </c>
      <c r="BL111" s="74"/>
      <c r="BM111" s="74"/>
      <c r="BN111" s="74"/>
      <c r="BO111" s="75" t="b">
        <f>IF(BM59=3,5)</f>
        <v>0</v>
      </c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589"/>
      <c r="CF111" s="38"/>
      <c r="CG111" s="38"/>
      <c r="CH111" s="38"/>
      <c r="CI111" s="40"/>
      <c r="CJ111" s="40"/>
      <c r="CK111" s="40"/>
      <c r="CL111" s="40"/>
      <c r="CM111" s="40"/>
      <c r="CN111" s="40"/>
      <c r="CO111" s="40"/>
      <c r="CP111" s="40"/>
      <c r="CQ111" s="40"/>
      <c r="CR111" s="40"/>
      <c r="CS111" s="40"/>
      <c r="CT111" s="40"/>
      <c r="CU111" s="40"/>
      <c r="CV111" s="40"/>
      <c r="CW111" s="40"/>
      <c r="CX111" s="40"/>
    </row>
    <row r="112" spans="5:102" ht="29" hidden="1" thickBot="1" x14ac:dyDescent="0.35">
      <c r="E112" s="291"/>
      <c r="F112" s="291"/>
      <c r="G112" s="890"/>
      <c r="H112" s="22"/>
      <c r="I112" s="22"/>
      <c r="J112" s="22"/>
      <c r="K112" s="22"/>
      <c r="L112" s="22"/>
      <c r="M112" s="22"/>
      <c r="N112" s="22"/>
      <c r="O112" s="883"/>
      <c r="BE112" s="77"/>
      <c r="BH112" s="47"/>
      <c r="BI112" s="932"/>
      <c r="BJ112" s="56">
        <v>2</v>
      </c>
      <c r="BK112" s="94" t="b">
        <f>IF(BL59=2,1)</f>
        <v>0</v>
      </c>
      <c r="BL112" s="95"/>
      <c r="BM112" s="96" t="b">
        <f>IF(BL59=2,3)</f>
        <v>0</v>
      </c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591"/>
      <c r="CF112" s="38"/>
      <c r="CG112" s="38"/>
      <c r="CH112" s="38"/>
      <c r="CI112" s="40"/>
      <c r="CJ112" s="40"/>
      <c r="CK112" s="40"/>
      <c r="CL112" s="40"/>
      <c r="CM112" s="40"/>
      <c r="CN112" s="40"/>
      <c r="CO112" s="40"/>
      <c r="CP112" s="40"/>
      <c r="CQ112" s="40"/>
      <c r="CR112" s="40"/>
      <c r="CS112" s="40"/>
      <c r="CT112" s="40"/>
      <c r="CU112" s="40"/>
      <c r="CV112" s="40"/>
      <c r="CW112" s="40"/>
      <c r="CX112" s="40"/>
    </row>
    <row r="113" spans="2:105" ht="45" hidden="1" customHeight="1" thickBot="1" x14ac:dyDescent="0.35">
      <c r="E113" s="291"/>
      <c r="F113" s="291"/>
      <c r="G113" s="890"/>
      <c r="H113" s="22"/>
      <c r="I113" s="22"/>
      <c r="J113" s="22"/>
      <c r="K113" s="22"/>
      <c r="L113" s="22"/>
      <c r="M113" s="22"/>
      <c r="N113" s="22"/>
      <c r="O113" s="883"/>
      <c r="T113" s="293"/>
      <c r="BE113" s="81"/>
      <c r="BH113" s="47"/>
      <c r="BI113" s="932"/>
      <c r="BJ113" s="97"/>
      <c r="BK113" s="98">
        <f t="shared" ref="BK113:CY113" si="2">SUM(BK74:BK112)</f>
        <v>0</v>
      </c>
      <c r="BL113" s="98">
        <f t="shared" si="2"/>
        <v>0</v>
      </c>
      <c r="BM113" s="98">
        <f t="shared" si="2"/>
        <v>0</v>
      </c>
      <c r="BN113" s="98">
        <f t="shared" si="2"/>
        <v>0</v>
      </c>
      <c r="BO113" s="98">
        <f t="shared" si="2"/>
        <v>0</v>
      </c>
      <c r="BP113" s="98">
        <f t="shared" si="2"/>
        <v>0</v>
      </c>
      <c r="BQ113" s="98">
        <f t="shared" si="2"/>
        <v>0</v>
      </c>
      <c r="BR113" s="98">
        <f t="shared" si="2"/>
        <v>8</v>
      </c>
      <c r="BS113" s="98">
        <f t="shared" si="2"/>
        <v>0</v>
      </c>
      <c r="BT113" s="98">
        <f t="shared" si="2"/>
        <v>0</v>
      </c>
      <c r="BU113" s="98">
        <f t="shared" si="2"/>
        <v>0</v>
      </c>
      <c r="BV113" s="98">
        <f t="shared" si="2"/>
        <v>0</v>
      </c>
      <c r="BW113" s="98">
        <f t="shared" si="2"/>
        <v>0</v>
      </c>
      <c r="BX113" s="98">
        <f t="shared" si="2"/>
        <v>0</v>
      </c>
      <c r="BY113" s="98">
        <f t="shared" si="2"/>
        <v>0</v>
      </c>
      <c r="BZ113" s="98">
        <f t="shared" si="2"/>
        <v>0</v>
      </c>
      <c r="CA113" s="98">
        <f t="shared" si="2"/>
        <v>0</v>
      </c>
      <c r="CB113" s="98">
        <f t="shared" si="2"/>
        <v>0</v>
      </c>
      <c r="CC113" s="98">
        <f t="shared" si="2"/>
        <v>0</v>
      </c>
      <c r="CD113" s="909">
        <f t="shared" si="2"/>
        <v>0</v>
      </c>
      <c r="CE113" s="914">
        <f t="shared" si="2"/>
        <v>0</v>
      </c>
      <c r="CF113" s="910">
        <f t="shared" si="2"/>
        <v>0</v>
      </c>
      <c r="CG113" s="98">
        <f t="shared" si="2"/>
        <v>0</v>
      </c>
      <c r="CH113" s="98">
        <f t="shared" si="2"/>
        <v>0</v>
      </c>
      <c r="CI113" s="98">
        <f t="shared" si="2"/>
        <v>0</v>
      </c>
      <c r="CJ113" s="98">
        <f t="shared" si="2"/>
        <v>0</v>
      </c>
      <c r="CK113" s="98">
        <f t="shared" si="2"/>
        <v>0</v>
      </c>
      <c r="CL113" s="98">
        <f t="shared" si="2"/>
        <v>0</v>
      </c>
      <c r="CM113" s="98">
        <f t="shared" si="2"/>
        <v>29</v>
      </c>
      <c r="CN113" s="98">
        <f t="shared" si="2"/>
        <v>0</v>
      </c>
      <c r="CO113" s="98">
        <f t="shared" si="2"/>
        <v>0</v>
      </c>
      <c r="CP113" s="98">
        <f t="shared" si="2"/>
        <v>0</v>
      </c>
      <c r="CQ113" s="98">
        <f t="shared" si="2"/>
        <v>0</v>
      </c>
      <c r="CR113" s="98">
        <f t="shared" si="2"/>
        <v>0</v>
      </c>
      <c r="CS113" s="98">
        <f t="shared" si="2"/>
        <v>0</v>
      </c>
      <c r="CT113" s="98">
        <f t="shared" si="2"/>
        <v>0</v>
      </c>
      <c r="CU113" s="98">
        <f t="shared" si="2"/>
        <v>0</v>
      </c>
      <c r="CV113" s="98">
        <f t="shared" si="2"/>
        <v>0</v>
      </c>
      <c r="CW113" s="98">
        <f t="shared" si="2"/>
        <v>0</v>
      </c>
      <c r="CX113" s="98">
        <f t="shared" si="2"/>
        <v>0</v>
      </c>
      <c r="CY113" s="98">
        <f t="shared" si="2"/>
        <v>0</v>
      </c>
    </row>
    <row r="114" spans="2:105" ht="120" customHeight="1" thickBot="1" x14ac:dyDescent="0.35">
      <c r="E114" s="291"/>
      <c r="F114" s="291"/>
      <c r="G114" s="890"/>
      <c r="H114" s="22"/>
      <c r="I114" s="22"/>
      <c r="J114" s="22"/>
      <c r="K114" s="22"/>
      <c r="L114" s="22"/>
      <c r="M114" s="22"/>
      <c r="N114" s="22"/>
      <c r="O114" s="883"/>
      <c r="U114" s="67"/>
      <c r="AB114" s="67"/>
      <c r="AC114" s="67"/>
      <c r="AD114" s="67"/>
      <c r="AE114" s="67"/>
      <c r="BE114" s="81"/>
      <c r="BH114" s="47"/>
      <c r="BI114" s="932"/>
      <c r="BJ114" s="574"/>
      <c r="BK114" s="99"/>
      <c r="BL114" s="99"/>
      <c r="BM114" s="99"/>
      <c r="BN114" s="99"/>
      <c r="BO114" s="99"/>
      <c r="BP114" s="99"/>
      <c r="BQ114" s="99"/>
      <c r="BR114" s="99"/>
      <c r="BS114" s="99"/>
      <c r="BT114" s="99"/>
      <c r="BU114" s="99"/>
      <c r="BV114" s="99"/>
      <c r="BW114" s="99"/>
      <c r="BX114" s="99"/>
      <c r="BY114" s="99"/>
      <c r="BZ114" s="99"/>
      <c r="CA114" s="99"/>
      <c r="CB114" s="99"/>
      <c r="CC114" s="99"/>
      <c r="CD114" s="99"/>
      <c r="CE114" s="99"/>
      <c r="CF114" s="99"/>
      <c r="CG114" s="99"/>
      <c r="CH114" s="99"/>
      <c r="CI114" s="99"/>
      <c r="CJ114" s="99"/>
      <c r="CK114" s="99"/>
      <c r="CL114" s="99"/>
      <c r="CM114" s="99"/>
      <c r="CN114" s="99"/>
      <c r="CO114" s="99"/>
      <c r="CP114" s="99"/>
      <c r="CQ114" s="99"/>
      <c r="CR114" s="99"/>
      <c r="CS114" s="99"/>
      <c r="CT114" s="99"/>
      <c r="CU114" s="99"/>
      <c r="CV114" s="40"/>
      <c r="CW114" s="40"/>
      <c r="CX114" s="40"/>
    </row>
    <row r="115" spans="2:105" ht="50.25" customHeight="1" thickBot="1" x14ac:dyDescent="0.35">
      <c r="E115" s="291"/>
      <c r="F115" s="291"/>
      <c r="G115" s="890"/>
      <c r="H115" s="22"/>
      <c r="I115" s="22"/>
      <c r="J115" s="22"/>
      <c r="K115" s="22"/>
      <c r="L115" s="22"/>
      <c r="M115" s="22"/>
      <c r="N115" s="22"/>
      <c r="O115" s="883"/>
      <c r="U115" s="67"/>
      <c r="AB115" s="67"/>
      <c r="AC115" s="67"/>
      <c r="AD115" s="67"/>
      <c r="AE115" s="67"/>
      <c r="BE115" s="81"/>
      <c r="BH115" s="47"/>
      <c r="BI115" s="933" t="s">
        <v>110</v>
      </c>
      <c r="BJ115" s="875" t="s">
        <v>164</v>
      </c>
      <c r="BK115" s="600" t="str">
        <f>IF(BK113=1,20,"")</f>
        <v/>
      </c>
      <c r="BL115" s="601" t="str">
        <f>IF(BL113=2,19,"")</f>
        <v/>
      </c>
      <c r="BM115" s="601" t="str">
        <f>IF(BM113=3,18,"")</f>
        <v/>
      </c>
      <c r="BN115" s="601" t="str">
        <f>IF(BN113=4,17,"")</f>
        <v/>
      </c>
      <c r="BO115" s="601" t="str">
        <f>IF(BO113=5,16,"")</f>
        <v/>
      </c>
      <c r="BP115" s="601" t="str">
        <f>IF(BP113=6,15,"")</f>
        <v/>
      </c>
      <c r="BQ115" s="601" t="str">
        <f>IF(BQ113=7,14,"")</f>
        <v/>
      </c>
      <c r="BR115" s="601">
        <f>IF(BR113=8,13,"")</f>
        <v>13</v>
      </c>
      <c r="BS115" s="601" t="str">
        <f>IF(BS113=9,12,"")</f>
        <v/>
      </c>
      <c r="BT115" s="601" t="str">
        <f>IF(BT113=10,11,"")</f>
        <v/>
      </c>
      <c r="BU115" s="601" t="str">
        <f>IF(BU113=11,10,"")</f>
        <v/>
      </c>
      <c r="BV115" s="601" t="str">
        <f>IF(BV113=12,9,"")</f>
        <v/>
      </c>
      <c r="BW115" s="913" t="str">
        <f>IF(BW113=13,"8 ADS-N","")</f>
        <v/>
      </c>
      <c r="BX115" s="601" t="str">
        <f>IF(BX113=14,7,"")</f>
        <v/>
      </c>
      <c r="BY115" s="601" t="str">
        <f>IF(BY113=15,6,"")</f>
        <v/>
      </c>
      <c r="BZ115" s="601" t="str">
        <f>IF(BZ113=16,5,"")</f>
        <v/>
      </c>
      <c r="CA115" s="601" t="str">
        <f>IF(CA113=17,4,"")</f>
        <v/>
      </c>
      <c r="CB115" s="601" t="str">
        <f>IF(CB113=18,3,"")</f>
        <v/>
      </c>
      <c r="CC115" s="601" t="str">
        <f>IF(CC113=19,2,"")</f>
        <v/>
      </c>
      <c r="CD115" s="601" t="str">
        <f>IF(CD113=20,1,"")</f>
        <v/>
      </c>
      <c r="CE115" s="602"/>
      <c r="CF115" s="603" t="str">
        <f>IF(CF113=22,1,"")</f>
        <v/>
      </c>
      <c r="CG115" s="603" t="str">
        <f>IF(CG113=23,2,"")</f>
        <v/>
      </c>
      <c r="CH115" s="603" t="str">
        <f>IF(CH113=24,3,"")</f>
        <v/>
      </c>
      <c r="CI115" s="603" t="str">
        <f>IF(CI113=25,4,"")</f>
        <v/>
      </c>
      <c r="CJ115" s="603" t="str">
        <f>IF(CJ113=26,5,"")</f>
        <v/>
      </c>
      <c r="CK115" s="603" t="str">
        <f>IF(CK113=27,6,"")</f>
        <v/>
      </c>
      <c r="CL115" s="603" t="str">
        <f>IF(CL113=28,7,"")</f>
        <v/>
      </c>
      <c r="CM115" s="913" t="str">
        <f>IF(CM113=29,"8  ADS-N ","")</f>
        <v xml:space="preserve">8  ADS-N </v>
      </c>
      <c r="CN115" s="603" t="str">
        <f>IF(CN113=30,9,"")</f>
        <v/>
      </c>
      <c r="CO115" s="603" t="str">
        <f>IF(CO113=31,10,"")</f>
        <v/>
      </c>
      <c r="CP115" s="603" t="str">
        <f>IF(CP113=32,11,"")</f>
        <v/>
      </c>
      <c r="CQ115" s="603" t="str">
        <f>IF(CQ113=33,12,"")</f>
        <v/>
      </c>
      <c r="CR115" s="603" t="str">
        <f>IF(CR113=34,13,"")</f>
        <v/>
      </c>
      <c r="CS115" s="603" t="str">
        <f>IF(CS113=35,14,"")</f>
        <v/>
      </c>
      <c r="CT115" s="603" t="str">
        <f>IF(CT113=36,15,"")</f>
        <v/>
      </c>
      <c r="CU115" s="603" t="str">
        <f>IF(CU113=37,16,"")</f>
        <v/>
      </c>
      <c r="CV115" s="603" t="str">
        <f>IF(CV113=38,17,"")</f>
        <v/>
      </c>
      <c r="CW115" s="603" t="str">
        <f>IF(CW113=39,18,"")</f>
        <v/>
      </c>
      <c r="CX115" s="603" t="str">
        <f>IF(CX113=40,19,"")</f>
        <v/>
      </c>
      <c r="CY115" s="604" t="str">
        <f>IF(CY113=41,20,"")</f>
        <v/>
      </c>
    </row>
    <row r="116" spans="2:105" ht="40.5" customHeight="1" thickBot="1" x14ac:dyDescent="0.35">
      <c r="E116" s="291"/>
      <c r="F116" s="291"/>
      <c r="G116" s="890"/>
      <c r="H116" s="22"/>
      <c r="I116" s="22"/>
      <c r="J116" s="22"/>
      <c r="K116" s="22"/>
      <c r="L116" s="22"/>
      <c r="M116" s="22"/>
      <c r="N116" s="22"/>
      <c r="O116" s="883"/>
      <c r="U116" s="67"/>
      <c r="AB116" s="67"/>
      <c r="AC116" s="67"/>
      <c r="AD116" s="67"/>
      <c r="AE116" s="67"/>
      <c r="BE116" s="81"/>
      <c r="BF116" s="746">
        <v>6</v>
      </c>
      <c r="BG116" s="958" t="b">
        <f>AND(BI116&gt;=10,$BA$143&gt;=10,$BB$143&gt;=10,$BA$180&gt;=10,$BB$180&gt;=10,$BA$204&gt;=10,$BB$204&gt;=10)</f>
        <v>1</v>
      </c>
      <c r="BH116" s="873" t="str">
        <f>IF(BG116=TRUE,"O K","OVERLOAD")</f>
        <v>O K</v>
      </c>
      <c r="BI116" s="947">
        <f>SUM(I132:M132)</f>
        <v>64.629956356207629</v>
      </c>
      <c r="BJ116" s="927" t="s">
        <v>92</v>
      </c>
      <c r="BK116" s="780">
        <v>-10</v>
      </c>
      <c r="BL116" s="780">
        <v>-9</v>
      </c>
      <c r="BM116" s="780">
        <v>-8</v>
      </c>
      <c r="BN116" s="780">
        <v>-7</v>
      </c>
      <c r="BO116" s="780">
        <v>-6</v>
      </c>
      <c r="BP116" s="780">
        <v>-5</v>
      </c>
      <c r="BQ116" s="780">
        <v>-4</v>
      </c>
      <c r="BR116" s="780">
        <v>-3</v>
      </c>
      <c r="BS116" s="780">
        <v>-2</v>
      </c>
      <c r="BT116" s="780">
        <v>-1</v>
      </c>
      <c r="BU116" s="780">
        <v>0</v>
      </c>
      <c r="BV116" s="780">
        <v>1</v>
      </c>
      <c r="BW116" s="780">
        <v>2</v>
      </c>
      <c r="BX116" s="780">
        <v>3</v>
      </c>
      <c r="BY116" s="780">
        <v>4</v>
      </c>
      <c r="BZ116" s="780">
        <v>5</v>
      </c>
      <c r="CA116" s="780">
        <v>6</v>
      </c>
      <c r="CB116" s="780">
        <v>7</v>
      </c>
      <c r="CC116" s="780">
        <v>8</v>
      </c>
      <c r="CD116" s="780">
        <v>9</v>
      </c>
      <c r="CE116" s="780">
        <v>10</v>
      </c>
      <c r="CF116" s="780">
        <v>11</v>
      </c>
      <c r="CG116" s="780">
        <v>12</v>
      </c>
      <c r="CH116" s="780">
        <v>13</v>
      </c>
      <c r="CI116" s="780">
        <v>14</v>
      </c>
      <c r="CJ116" s="780">
        <v>15</v>
      </c>
      <c r="CK116" s="780">
        <v>16</v>
      </c>
      <c r="CL116" s="780">
        <v>17</v>
      </c>
      <c r="CM116" s="780">
        <v>18</v>
      </c>
      <c r="CN116" s="780">
        <v>19</v>
      </c>
      <c r="CO116" s="780">
        <v>20</v>
      </c>
      <c r="CP116" s="780">
        <v>21</v>
      </c>
      <c r="CQ116" s="780">
        <v>22</v>
      </c>
      <c r="CR116" s="780">
        <v>23</v>
      </c>
      <c r="CS116" s="780">
        <v>24</v>
      </c>
      <c r="CT116" s="780">
        <v>25</v>
      </c>
      <c r="CU116" s="780">
        <v>26</v>
      </c>
      <c r="CV116" s="780">
        <v>27</v>
      </c>
      <c r="CW116" s="780">
        <v>28</v>
      </c>
      <c r="CX116" s="780">
        <v>29</v>
      </c>
      <c r="CY116" s="780">
        <v>30</v>
      </c>
    </row>
    <row r="117" spans="2:105" hidden="1" x14ac:dyDescent="0.3">
      <c r="E117" s="291"/>
      <c r="F117" s="291"/>
      <c r="G117" s="890"/>
      <c r="H117" s="22"/>
      <c r="I117" s="22"/>
      <c r="J117" s="22"/>
      <c r="K117" s="22"/>
      <c r="L117" s="22"/>
      <c r="M117" s="22"/>
      <c r="N117" s="22"/>
      <c r="O117" s="883"/>
      <c r="U117" s="67"/>
      <c r="AB117" s="67"/>
      <c r="AC117" s="67"/>
      <c r="AD117" s="67"/>
      <c r="AE117" s="67"/>
      <c r="BE117" s="81"/>
      <c r="BG117" s="668"/>
      <c r="BH117" s="81"/>
      <c r="BI117" s="905"/>
      <c r="BJ117" s="40"/>
      <c r="BK117" s="120">
        <v>1</v>
      </c>
      <c r="BL117" s="120">
        <v>2</v>
      </c>
      <c r="BM117" s="120">
        <v>3</v>
      </c>
      <c r="BN117" s="120">
        <v>4</v>
      </c>
      <c r="BO117" s="120">
        <v>5</v>
      </c>
      <c r="BP117" s="120">
        <v>6</v>
      </c>
      <c r="BQ117" s="120">
        <v>7</v>
      </c>
      <c r="BR117" s="120">
        <v>8</v>
      </c>
      <c r="BS117" s="120">
        <v>9</v>
      </c>
      <c r="BT117" s="120">
        <v>10</v>
      </c>
      <c r="BU117" s="120">
        <v>11</v>
      </c>
      <c r="BV117" s="120">
        <v>12</v>
      </c>
      <c r="BW117" s="120">
        <v>13</v>
      </c>
      <c r="BX117" s="120">
        <v>14</v>
      </c>
      <c r="BY117" s="120">
        <v>15</v>
      </c>
      <c r="BZ117" s="120">
        <v>16</v>
      </c>
      <c r="CA117" s="120">
        <v>17</v>
      </c>
      <c r="CB117" s="120">
        <v>18</v>
      </c>
      <c r="CC117" s="120">
        <v>19</v>
      </c>
      <c r="CD117" s="120">
        <v>20</v>
      </c>
      <c r="CE117" s="576">
        <v>21</v>
      </c>
      <c r="CF117" s="120">
        <v>22</v>
      </c>
      <c r="CG117" s="120">
        <v>23</v>
      </c>
      <c r="CH117" s="120">
        <v>24</v>
      </c>
      <c r="CI117" s="120">
        <v>25</v>
      </c>
      <c r="CJ117" s="120">
        <v>26</v>
      </c>
      <c r="CK117" s="120">
        <v>27</v>
      </c>
      <c r="CL117" s="120">
        <v>28</v>
      </c>
      <c r="CM117" s="120">
        <v>29</v>
      </c>
      <c r="CN117" s="120">
        <v>30</v>
      </c>
      <c r="CO117" s="120">
        <v>31</v>
      </c>
      <c r="CP117" s="120">
        <v>32</v>
      </c>
      <c r="CQ117" s="120">
        <v>33</v>
      </c>
      <c r="CR117" s="120">
        <v>34</v>
      </c>
      <c r="CS117" s="120">
        <v>35</v>
      </c>
      <c r="CT117" s="120">
        <v>36</v>
      </c>
      <c r="CU117" s="120">
        <v>37</v>
      </c>
      <c r="CV117" s="120">
        <v>38</v>
      </c>
      <c r="CW117" s="120">
        <v>39</v>
      </c>
      <c r="CX117" s="120">
        <v>40</v>
      </c>
      <c r="CY117" s="120">
        <v>41</v>
      </c>
    </row>
    <row r="118" spans="2:105" hidden="1" x14ac:dyDescent="0.3">
      <c r="E118" s="291"/>
      <c r="F118" s="291"/>
      <c r="G118" s="890"/>
      <c r="H118" s="22"/>
      <c r="I118" s="22"/>
      <c r="J118" s="22"/>
      <c r="K118" s="22"/>
      <c r="L118" s="22"/>
      <c r="M118" s="22"/>
      <c r="N118" s="22"/>
      <c r="O118" s="883"/>
      <c r="U118" s="67"/>
      <c r="AB118" s="67"/>
      <c r="AC118" s="67"/>
      <c r="AD118" s="67"/>
      <c r="AE118" s="67"/>
      <c r="BE118" s="81"/>
      <c r="BG118" s="668"/>
      <c r="BH118" s="81"/>
      <c r="BI118" s="905"/>
      <c r="BJ118" s="38"/>
      <c r="BK118" s="38"/>
      <c r="BL118" s="38"/>
      <c r="BM118" s="38"/>
      <c r="BN118" s="38"/>
      <c r="BO118" s="38"/>
      <c r="BP118" s="123"/>
      <c r="BQ118" s="123"/>
      <c r="BR118" s="123"/>
      <c r="BS118" s="123"/>
      <c r="BT118" s="123"/>
      <c r="BU118" s="123"/>
      <c r="BV118" s="123"/>
      <c r="BW118" s="123"/>
      <c r="BX118" s="123"/>
      <c r="BY118" s="123"/>
      <c r="BZ118" s="123"/>
      <c r="CA118" s="123"/>
      <c r="CB118" s="123"/>
      <c r="CC118" s="123"/>
      <c r="CD118" s="40"/>
      <c r="CE118" s="40"/>
      <c r="CF118" s="40"/>
      <c r="CG118" s="40"/>
      <c r="CH118" s="40"/>
      <c r="CI118" s="40"/>
      <c r="CJ118" s="40"/>
      <c r="CK118" s="40"/>
      <c r="CL118" s="40"/>
      <c r="CM118" s="40"/>
      <c r="CN118" s="40"/>
      <c r="CO118" s="40"/>
      <c r="CP118" s="40"/>
      <c r="CQ118" s="40"/>
      <c r="CR118" s="40"/>
      <c r="CS118" s="40"/>
      <c r="CT118" s="40"/>
      <c r="CU118" s="40"/>
      <c r="CV118" s="40"/>
      <c r="CW118" s="40"/>
      <c r="CX118" s="40"/>
    </row>
    <row r="119" spans="2:105" hidden="1" x14ac:dyDescent="0.3">
      <c r="E119" s="291"/>
      <c r="F119" s="291"/>
      <c r="G119" s="890"/>
      <c r="H119" s="22"/>
      <c r="I119" s="22"/>
      <c r="J119" s="22"/>
      <c r="K119" s="22"/>
      <c r="L119" s="22"/>
      <c r="M119" s="22"/>
      <c r="N119" s="22"/>
      <c r="O119" s="883"/>
      <c r="U119" s="67"/>
      <c r="AB119" s="67"/>
      <c r="AC119" s="67"/>
      <c r="AD119" s="67"/>
      <c r="AE119" s="67"/>
      <c r="BE119" s="81"/>
      <c r="BG119" s="668"/>
      <c r="BH119" s="81"/>
      <c r="BI119" s="905"/>
      <c r="BJ119" s="77"/>
      <c r="BK119" s="77"/>
      <c r="BL119" s="77"/>
      <c r="BM119" s="77"/>
      <c r="BN119" s="77"/>
      <c r="BO119" s="77"/>
      <c r="BP119" s="124"/>
      <c r="BQ119" s="124"/>
      <c r="BR119" s="124"/>
      <c r="BS119" s="124"/>
      <c r="BT119" s="124"/>
      <c r="BU119" s="124"/>
      <c r="BV119" s="124"/>
      <c r="BW119" s="124"/>
      <c r="BX119" s="124"/>
      <c r="BY119" s="124"/>
      <c r="BZ119" s="124"/>
      <c r="CA119" s="124"/>
      <c r="CB119" s="124"/>
      <c r="CC119" s="124"/>
    </row>
    <row r="120" spans="2:105" hidden="1" x14ac:dyDescent="0.3">
      <c r="E120" s="291"/>
      <c r="F120" s="291"/>
      <c r="G120" s="890"/>
      <c r="H120" s="22"/>
      <c r="I120" s="22"/>
      <c r="J120" s="22"/>
      <c r="K120" s="22"/>
      <c r="L120" s="22"/>
      <c r="M120" s="22"/>
      <c r="N120" s="22"/>
      <c r="O120" s="883"/>
      <c r="U120" s="67"/>
      <c r="AB120" s="67"/>
      <c r="AC120" s="67"/>
      <c r="AD120" s="67"/>
      <c r="AE120" s="67"/>
      <c r="BE120" s="81"/>
      <c r="BG120" s="125" t="s">
        <v>55</v>
      </c>
      <c r="BH120" s="110"/>
      <c r="BI120" s="905"/>
      <c r="BJ120" s="27"/>
      <c r="BM120" s="77"/>
      <c r="BN120" s="77"/>
      <c r="BO120" s="77"/>
      <c r="BP120" s="124"/>
      <c r="BQ120" s="124"/>
      <c r="BR120" s="124"/>
      <c r="BS120" s="124"/>
      <c r="BT120" s="124"/>
      <c r="BU120" s="124"/>
      <c r="BV120" s="124"/>
      <c r="BW120" s="124"/>
      <c r="BX120" s="124"/>
      <c r="BY120" s="124"/>
      <c r="BZ120" s="124"/>
      <c r="CA120" s="124"/>
      <c r="CB120" s="124"/>
      <c r="CC120" s="124"/>
      <c r="CL120" s="27"/>
      <c r="DA120" s="125" t="s">
        <v>54</v>
      </c>
    </row>
    <row r="121" spans="2:105" hidden="1" x14ac:dyDescent="0.3">
      <c r="D121" s="291"/>
      <c r="E121" s="291"/>
      <c r="F121" s="291"/>
      <c r="G121" s="890"/>
      <c r="H121" s="22"/>
      <c r="I121" s="22"/>
      <c r="J121" s="22"/>
      <c r="K121" s="22"/>
      <c r="L121" s="22"/>
      <c r="M121" s="22"/>
      <c r="N121" s="22"/>
      <c r="O121" s="883"/>
      <c r="U121" s="67"/>
      <c r="AB121" s="67"/>
      <c r="AC121" s="67"/>
      <c r="AD121" s="67"/>
      <c r="AE121" s="67"/>
      <c r="BE121" s="81"/>
      <c r="BG121" s="125">
        <f>-+CD232</f>
        <v>484.98788582937908</v>
      </c>
      <c r="BH121" s="110"/>
      <c r="BI121" s="905"/>
      <c r="BJ121" s="27"/>
      <c r="BM121" s="77"/>
      <c r="BN121" s="77"/>
      <c r="BO121" s="77"/>
      <c r="BP121" s="124"/>
      <c r="BQ121" s="124"/>
      <c r="BR121" s="124"/>
      <c r="BS121" s="124"/>
      <c r="BT121" s="124"/>
      <c r="BU121" s="124"/>
      <c r="BV121" s="124"/>
      <c r="BW121" s="124"/>
      <c r="BX121" s="124"/>
      <c r="BY121" s="124"/>
      <c r="BZ121" s="124"/>
      <c r="CA121" s="124"/>
      <c r="CB121" s="124"/>
      <c r="CC121" s="124"/>
      <c r="CJ121" s="133"/>
      <c r="CL121" s="27"/>
      <c r="DA121" s="125">
        <f>+-CD272</f>
        <v>-635.01211417062086</v>
      </c>
    </row>
    <row r="122" spans="2:105" hidden="1" x14ac:dyDescent="0.3">
      <c r="D122" s="291"/>
      <c r="E122" s="291"/>
      <c r="F122" s="291"/>
      <c r="G122" s="890"/>
      <c r="H122" s="22"/>
      <c r="I122" s="22"/>
      <c r="J122" s="22"/>
      <c r="K122" s="22"/>
      <c r="L122" s="22"/>
      <c r="M122" s="22"/>
      <c r="N122" s="22"/>
      <c r="O122" s="883"/>
      <c r="U122" s="67"/>
      <c r="AB122" s="67"/>
      <c r="AC122" s="67"/>
      <c r="AD122" s="67"/>
      <c r="AE122" s="67"/>
      <c r="BE122" s="81"/>
      <c r="BG122" s="668"/>
      <c r="BH122" s="81"/>
      <c r="BI122" s="905"/>
      <c r="BJ122" s="77"/>
      <c r="BK122" s="77"/>
      <c r="BL122" s="77"/>
      <c r="BM122" s="77"/>
      <c r="BN122" s="77"/>
      <c r="BO122" s="77"/>
      <c r="BP122" s="124"/>
      <c r="BQ122" s="124"/>
      <c r="BR122" s="124"/>
      <c r="BS122" s="124"/>
      <c r="BT122" s="124"/>
      <c r="BU122" s="124"/>
      <c r="BV122" s="124"/>
      <c r="BW122" s="124"/>
      <c r="BX122" s="124"/>
      <c r="BY122" s="124"/>
      <c r="BZ122" s="124"/>
      <c r="CA122" s="124"/>
      <c r="CB122" s="124"/>
      <c r="CC122" s="124"/>
    </row>
    <row r="123" spans="2:105" ht="31" hidden="1" x14ac:dyDescent="0.45">
      <c r="B123" s="292"/>
      <c r="C123" s="292"/>
      <c r="D123" s="291"/>
      <c r="E123" s="291"/>
      <c r="F123" s="291"/>
      <c r="G123" s="890"/>
      <c r="H123" s="22"/>
      <c r="I123" s="22"/>
      <c r="J123" s="22"/>
      <c r="K123" s="22"/>
      <c r="L123" s="22"/>
      <c r="M123" s="22"/>
      <c r="N123" s="22"/>
      <c r="O123" s="883"/>
      <c r="U123" s="67"/>
      <c r="AB123" s="67"/>
      <c r="AC123" s="67"/>
      <c r="AD123" s="67"/>
      <c r="AE123" s="67"/>
      <c r="BE123" s="81"/>
      <c r="BG123" s="669"/>
      <c r="BH123" s="135"/>
      <c r="BI123" s="135"/>
      <c r="BJ123" s="77"/>
      <c r="BK123" s="77"/>
      <c r="BL123" s="77"/>
      <c r="BM123" s="77"/>
      <c r="BN123" s="77"/>
      <c r="BO123" s="77"/>
      <c r="BP123" s="124"/>
      <c r="BQ123" s="124"/>
      <c r="BR123" s="124"/>
      <c r="BS123" s="124"/>
      <c r="BT123" s="124"/>
      <c r="BU123" s="124"/>
      <c r="BV123" s="124"/>
      <c r="BW123" s="124"/>
      <c r="BX123" s="124"/>
      <c r="BY123" s="124"/>
      <c r="BZ123" s="124"/>
      <c r="CA123" s="124"/>
      <c r="CB123" s="124"/>
      <c r="CC123" s="124"/>
    </row>
    <row r="124" spans="2:105" ht="131" hidden="1" x14ac:dyDescent="0.45">
      <c r="B124" s="292"/>
      <c r="C124" s="292"/>
      <c r="D124" s="291"/>
      <c r="E124" s="291"/>
      <c r="F124" s="291"/>
      <c r="G124" s="890"/>
      <c r="H124" s="22"/>
      <c r="I124" s="837" t="s">
        <v>193</v>
      </c>
      <c r="J124" s="837" t="s">
        <v>194</v>
      </c>
      <c r="K124" s="838" t="s">
        <v>195</v>
      </c>
      <c r="L124" s="839" t="s">
        <v>196</v>
      </c>
      <c r="M124" s="840" t="s">
        <v>197</v>
      </c>
      <c r="N124" s="22"/>
      <c r="O124" s="883"/>
      <c r="U124" s="67"/>
      <c r="AB124" s="67"/>
      <c r="AC124" s="67"/>
      <c r="AD124" s="67"/>
      <c r="AE124" s="67"/>
      <c r="BG124" s="669"/>
      <c r="BH124" s="135"/>
      <c r="BI124" s="135"/>
      <c r="BJ124" s="77"/>
      <c r="BK124" s="77"/>
      <c r="BL124" s="77"/>
      <c r="BM124" s="77"/>
      <c r="BN124" s="77"/>
      <c r="BO124" s="77"/>
      <c r="BP124" s="124"/>
      <c r="BQ124" s="124"/>
      <c r="BR124" s="124"/>
      <c r="BS124" s="124"/>
      <c r="BT124" s="124"/>
      <c r="BU124" s="124"/>
      <c r="BV124" s="124"/>
      <c r="BW124" s="124"/>
      <c r="BX124" s="124"/>
      <c r="BY124" s="124"/>
      <c r="BZ124" s="124"/>
      <c r="CA124" s="124"/>
      <c r="CB124" s="124"/>
      <c r="CC124" s="124"/>
    </row>
    <row r="125" spans="2:105" ht="90" hidden="1" thickBot="1" x14ac:dyDescent="0.5">
      <c r="B125" s="293"/>
      <c r="E125" s="291"/>
      <c r="F125" s="291"/>
      <c r="G125" s="890"/>
      <c r="H125" s="22"/>
      <c r="I125" s="836" t="s">
        <v>198</v>
      </c>
      <c r="J125" s="841" t="s">
        <v>199</v>
      </c>
      <c r="K125" s="842" t="s">
        <v>200</v>
      </c>
      <c r="L125" s="843" t="s">
        <v>200</v>
      </c>
      <c r="M125" s="844" t="s">
        <v>200</v>
      </c>
      <c r="N125" s="22"/>
      <c r="O125" s="883"/>
      <c r="U125" s="67"/>
      <c r="AB125" s="67"/>
      <c r="AC125" s="67"/>
      <c r="AD125" s="67"/>
      <c r="AE125" s="67"/>
      <c r="BE125" s="81"/>
      <c r="BG125" s="669"/>
      <c r="BH125" s="135"/>
      <c r="BI125" s="135"/>
      <c r="BJ125" s="77"/>
      <c r="BK125" s="77"/>
      <c r="BL125" s="77"/>
      <c r="BM125" s="77"/>
      <c r="BN125" s="77"/>
      <c r="BO125" s="77"/>
      <c r="BP125" s="77"/>
      <c r="BQ125" s="77"/>
      <c r="BR125" s="77"/>
      <c r="BS125" s="77"/>
      <c r="BT125" s="77"/>
      <c r="BU125" s="77"/>
      <c r="BV125" s="77"/>
      <c r="BW125" s="77"/>
      <c r="BX125" s="77"/>
      <c r="BY125" s="77"/>
      <c r="BZ125" s="77"/>
      <c r="CA125" s="77"/>
      <c r="CB125" s="77"/>
      <c r="CC125" s="77"/>
      <c r="CD125" s="77"/>
      <c r="CE125" s="77"/>
      <c r="CF125" s="77"/>
      <c r="CG125" s="77"/>
      <c r="CH125" s="77"/>
      <c r="CI125" s="77"/>
      <c r="CJ125" s="77"/>
      <c r="CK125" s="77"/>
      <c r="CL125" s="77"/>
      <c r="CM125" s="77"/>
      <c r="CN125" s="77"/>
      <c r="CO125" s="77"/>
      <c r="CP125" s="77"/>
      <c r="CQ125" s="77"/>
      <c r="CR125" s="77"/>
      <c r="CS125" s="77"/>
      <c r="CT125" s="77"/>
      <c r="CU125" s="77"/>
    </row>
    <row r="126" spans="2:105" ht="42" hidden="1" customHeight="1" thickBot="1" x14ac:dyDescent="0.5">
      <c r="B126" s="292"/>
      <c r="C126" s="292"/>
      <c r="D126" s="291"/>
      <c r="E126" s="291"/>
      <c r="F126" s="291"/>
      <c r="G126" s="890"/>
      <c r="H126" s="871" t="s">
        <v>201</v>
      </c>
      <c r="I126" s="858">
        <f>+MIN(K31:L32)</f>
        <v>33.286321212981463</v>
      </c>
      <c r="J126" s="858">
        <f>+MIN(J37:K38)</f>
        <v>66.804178228652532</v>
      </c>
      <c r="K126" s="860">
        <f>+MIN(J43:L44)</f>
        <v>64.629956356207629</v>
      </c>
      <c r="L126" s="861">
        <f>+MIN(J49:L50)</f>
        <v>24.514811031664966</v>
      </c>
      <c r="M126" s="862">
        <f>+MIN(J55:L56)</f>
        <v>87.844739530132784</v>
      </c>
      <c r="N126" s="22"/>
      <c r="O126" s="883"/>
      <c r="U126" s="67"/>
      <c r="AB126" s="67"/>
      <c r="AC126" s="67"/>
      <c r="AD126" s="67"/>
      <c r="AE126" s="67"/>
      <c r="BG126" s="669"/>
      <c r="BH126" s="135"/>
      <c r="BI126" s="135"/>
      <c r="BK126">
        <v>1</v>
      </c>
      <c r="BL126">
        <v>2</v>
      </c>
      <c r="BM126">
        <v>3</v>
      </c>
      <c r="BN126">
        <v>4</v>
      </c>
      <c r="BO126">
        <v>5</v>
      </c>
      <c r="BP126">
        <v>6</v>
      </c>
      <c r="BQ126">
        <v>7</v>
      </c>
      <c r="BR126">
        <v>8</v>
      </c>
      <c r="BS126">
        <v>9</v>
      </c>
      <c r="BT126">
        <v>10</v>
      </c>
      <c r="BU126">
        <v>11</v>
      </c>
      <c r="BV126">
        <v>12</v>
      </c>
      <c r="BW126">
        <v>13</v>
      </c>
      <c r="BX126">
        <v>14</v>
      </c>
      <c r="BY126">
        <v>15</v>
      </c>
      <c r="BZ126">
        <v>16</v>
      </c>
      <c r="CA126">
        <v>17</v>
      </c>
      <c r="CB126">
        <v>18</v>
      </c>
      <c r="CC126">
        <v>19</v>
      </c>
      <c r="CD126">
        <v>20</v>
      </c>
      <c r="CE126">
        <v>21</v>
      </c>
      <c r="CF126">
        <v>22</v>
      </c>
      <c r="CG126">
        <v>23</v>
      </c>
      <c r="CH126">
        <v>24</v>
      </c>
      <c r="CI126">
        <v>25</v>
      </c>
      <c r="CJ126">
        <v>26</v>
      </c>
      <c r="CK126">
        <v>27</v>
      </c>
      <c r="CL126">
        <v>28</v>
      </c>
      <c r="CM126">
        <v>29</v>
      </c>
      <c r="CN126">
        <v>30</v>
      </c>
      <c r="CO126">
        <v>31</v>
      </c>
      <c r="CP126">
        <v>32</v>
      </c>
      <c r="CQ126">
        <v>33</v>
      </c>
      <c r="CR126">
        <v>34</v>
      </c>
      <c r="CS126">
        <v>35</v>
      </c>
      <c r="CT126">
        <v>36</v>
      </c>
      <c r="CU126">
        <v>37</v>
      </c>
      <c r="CV126">
        <v>38</v>
      </c>
      <c r="CW126">
        <v>39</v>
      </c>
      <c r="CX126">
        <v>40</v>
      </c>
      <c r="CY126">
        <v>41</v>
      </c>
    </row>
    <row r="127" spans="2:105" hidden="1" x14ac:dyDescent="0.3">
      <c r="B127" s="292"/>
      <c r="C127" s="292"/>
      <c r="D127" s="291"/>
      <c r="E127" s="291"/>
      <c r="F127" s="291"/>
      <c r="G127" s="845"/>
      <c r="H127" s="77"/>
      <c r="I127" s="77"/>
      <c r="J127" s="77"/>
      <c r="K127" s="77"/>
      <c r="L127" s="77"/>
      <c r="M127" s="77"/>
      <c r="N127" s="77"/>
      <c r="O127" s="846"/>
      <c r="U127" s="67"/>
      <c r="AB127" s="67"/>
      <c r="AC127" s="67"/>
      <c r="AD127" s="67"/>
      <c r="AE127" s="67"/>
      <c r="BG127"/>
    </row>
    <row r="128" spans="2:105" ht="30" hidden="1" x14ac:dyDescent="0.3">
      <c r="B128" s="6"/>
      <c r="C128" s="292"/>
      <c r="D128" s="291"/>
      <c r="E128" s="6"/>
      <c r="F128" s="291"/>
      <c r="G128" s="890"/>
      <c r="H128" s="122"/>
      <c r="I128" s="122"/>
      <c r="J128" s="122"/>
      <c r="K128" s="122"/>
      <c r="L128" s="122"/>
      <c r="M128" s="122"/>
      <c r="N128" s="122"/>
      <c r="O128" s="847"/>
      <c r="U128" s="67"/>
      <c r="AB128" s="67"/>
      <c r="AC128" s="67"/>
      <c r="AD128" s="67"/>
      <c r="AE128" s="67"/>
      <c r="BE128" s="81"/>
      <c r="BG128"/>
    </row>
    <row r="129" spans="2:59" hidden="1" x14ac:dyDescent="0.3">
      <c r="E129" s="291"/>
      <c r="F129" s="291"/>
      <c r="G129" s="890"/>
      <c r="H129" s="22"/>
      <c r="I129" s="22"/>
      <c r="J129" s="22"/>
      <c r="K129" s="22"/>
      <c r="L129" s="22"/>
      <c r="M129" s="22"/>
      <c r="N129" s="22"/>
      <c r="O129" s="883"/>
      <c r="U129" s="67"/>
      <c r="AB129" s="67"/>
      <c r="AC129" s="67"/>
      <c r="AD129" s="67"/>
      <c r="AE129" s="67"/>
      <c r="BG129"/>
    </row>
    <row r="130" spans="2:59" hidden="1" x14ac:dyDescent="0.3">
      <c r="E130" s="291"/>
      <c r="F130" s="291"/>
      <c r="G130" s="890"/>
      <c r="H130" s="22"/>
      <c r="I130" s="848" t="s">
        <v>188</v>
      </c>
      <c r="J130" s="848" t="s">
        <v>183</v>
      </c>
      <c r="K130" s="872" t="s">
        <v>223</v>
      </c>
      <c r="L130" s="872" t="s">
        <v>223</v>
      </c>
      <c r="M130" s="22"/>
      <c r="N130" s="22"/>
      <c r="O130" s="883"/>
      <c r="U130" s="67"/>
      <c r="AB130" s="67"/>
      <c r="AC130" s="67"/>
      <c r="AD130" s="67"/>
      <c r="AE130" s="67"/>
      <c r="BE130" s="81"/>
      <c r="BG130"/>
    </row>
    <row r="131" spans="2:59" hidden="1" x14ac:dyDescent="0.3">
      <c r="E131" s="291"/>
      <c r="F131" s="291"/>
      <c r="G131" s="849"/>
      <c r="H131" s="130"/>
      <c r="I131" s="868">
        <f>COUNTIF(CF113:CY113,"&gt;0")</f>
        <v>1</v>
      </c>
      <c r="J131" s="868">
        <f>COUNTIF(BK113:CD113,"&gt;0")</f>
        <v>1</v>
      </c>
      <c r="K131" s="868" t="b">
        <f>AND(IF(SUM(BK115:BV115)&gt;0,1,0),IF(CM115="8  ADS-N ",1,0))</f>
        <v>1</v>
      </c>
      <c r="L131" s="868" t="b">
        <f>AND(IF(SUM(CN115:CY115)&gt;0,1,0),IF(BW115="8 ADS-N",1,0))</f>
        <v>0</v>
      </c>
      <c r="M131" s="868" t="b">
        <f>AND(IF(CM115="8  ADS-N ",1,0),IF(BW115="8 ADS-N",1,0))</f>
        <v>0</v>
      </c>
      <c r="N131" s="130"/>
      <c r="O131" s="850"/>
      <c r="U131" s="67"/>
      <c r="AB131" s="67"/>
      <c r="AC131" s="67"/>
      <c r="AD131" s="67"/>
      <c r="AE131" s="67"/>
      <c r="BE131" s="81"/>
      <c r="BG131"/>
    </row>
    <row r="132" spans="2:59" ht="29" hidden="1" thickBot="1" x14ac:dyDescent="0.35">
      <c r="E132" s="291"/>
      <c r="F132" s="291"/>
      <c r="G132" s="851"/>
      <c r="H132" s="852"/>
      <c r="I132" s="869">
        <f>IF(I131=2,I126,0)</f>
        <v>0</v>
      </c>
      <c r="J132" s="869">
        <f>IF(J131=2,J126,0)</f>
        <v>0</v>
      </c>
      <c r="K132" s="869">
        <f t="shared" ref="K132:M132" si="3">IF(K131=TRUE,K126,0)</f>
        <v>64.629956356207629</v>
      </c>
      <c r="L132" s="869">
        <f t="shared" si="3"/>
        <v>0</v>
      </c>
      <c r="M132" s="869">
        <f t="shared" si="3"/>
        <v>0</v>
      </c>
      <c r="N132" s="852"/>
      <c r="O132" s="853"/>
      <c r="U132" s="67"/>
      <c r="AB132" s="67"/>
      <c r="AC132" s="67"/>
      <c r="AD132" s="67"/>
      <c r="AE132" s="67"/>
      <c r="BE132" s="81"/>
      <c r="BG132"/>
    </row>
    <row r="133" spans="2:59" ht="49.5" hidden="1" customHeight="1" thickBot="1" x14ac:dyDescent="0.35">
      <c r="E133" s="291"/>
      <c r="F133" s="291"/>
      <c r="G133" s="291"/>
      <c r="U133" s="67"/>
      <c r="AB133" s="67"/>
      <c r="AC133" s="67"/>
      <c r="AD133" s="67"/>
      <c r="AE133" s="67"/>
      <c r="BE133" s="81"/>
      <c r="BG133"/>
    </row>
    <row r="134" spans="2:59" ht="49.5" customHeight="1" thickBot="1" x14ac:dyDescent="0.35">
      <c r="B134" s="299"/>
      <c r="D134" s="300" t="str">
        <f>IF(BG121&gt;0," ","change the angle of frame or of cabinets")</f>
        <v xml:space="preserve"> </v>
      </c>
      <c r="E134" s="291"/>
      <c r="F134" s="291"/>
      <c r="G134" s="291"/>
      <c r="U134" s="67"/>
      <c r="AB134" s="67"/>
      <c r="AC134" s="67"/>
      <c r="AD134" s="67"/>
      <c r="AE134" s="67"/>
      <c r="AL134" s="468" t="s">
        <v>106</v>
      </c>
      <c r="AM134" s="486"/>
      <c r="AN134" s="486"/>
      <c r="AO134" s="486"/>
      <c r="AP134" s="487" t="s">
        <v>90</v>
      </c>
      <c r="BE134" s="81"/>
      <c r="BG134" s="958"/>
    </row>
    <row r="135" spans="2:59" ht="49.5" customHeight="1" thickBot="1" x14ac:dyDescent="0.35">
      <c r="B135" s="1012" t="s">
        <v>119</v>
      </c>
      <c r="D135" s="300" t="str">
        <f>IF(DA121&lt;0," ","change the angle of frame or of cabinets")</f>
        <v xml:space="preserve"> </v>
      </c>
      <c r="E135" s="291"/>
      <c r="F135" s="291"/>
      <c r="G135" s="291"/>
      <c r="U135" s="67"/>
      <c r="AB135" s="67"/>
      <c r="AC135" s="67"/>
      <c r="AD135" s="67"/>
      <c r="AE135" s="67"/>
      <c r="AL135" s="488" t="s">
        <v>87</v>
      </c>
      <c r="AM135" s="485" t="s">
        <v>88</v>
      </c>
      <c r="AN135" s="485" t="s">
        <v>89</v>
      </c>
      <c r="AO135" s="464" t="s">
        <v>108</v>
      </c>
      <c r="AP135" s="490" t="s">
        <v>91</v>
      </c>
      <c r="BE135" s="81"/>
      <c r="BG135"/>
    </row>
    <row r="136" spans="2:59" ht="49.5" customHeight="1" thickBot="1" x14ac:dyDescent="0.35">
      <c r="B136" s="1013"/>
      <c r="C136" s="577" t="s">
        <v>116</v>
      </c>
      <c r="D136" s="300" t="str">
        <f>IF(BG121&gt;(+COS(($B$137*-1)*3.14159265358979/180)*294)," ","USE EXBAR-N AT THE FRONT")</f>
        <v xml:space="preserve"> </v>
      </c>
      <c r="E136" s="129"/>
      <c r="F136" s="291"/>
      <c r="G136" s="291"/>
      <c r="U136" s="67"/>
      <c r="AB136" s="67"/>
      <c r="AC136" s="67"/>
      <c r="AD136" s="67"/>
      <c r="AE136" s="67"/>
      <c r="AL136" s="488"/>
      <c r="AM136" s="485"/>
      <c r="AN136" s="485"/>
      <c r="AO136" s="489"/>
      <c r="AP136" s="475"/>
      <c r="BE136" s="81"/>
      <c r="BF136" s="747"/>
      <c r="BG136"/>
    </row>
    <row r="137" spans="2:59" ht="45" customHeight="1" thickBot="1" x14ac:dyDescent="0.35">
      <c r="B137" s="3">
        <v>0</v>
      </c>
      <c r="C137" s="577" t="s">
        <v>116</v>
      </c>
      <c r="D137" s="243" t="str">
        <f>IF(DA121&lt;-(+COS(($B$137*-1)*3.14159265358979/180)*266)," ","USE EXBAR-N AT THE BACK")</f>
        <v xml:space="preserve"> </v>
      </c>
      <c r="E137" s="129"/>
      <c r="F137" s="291"/>
      <c r="G137" s="291"/>
      <c r="U137" s="67"/>
      <c r="AB137" s="67"/>
      <c r="AC137" s="67"/>
      <c r="AD137" s="67"/>
      <c r="AE137" s="67"/>
      <c r="AL137" s="488"/>
      <c r="AM137" s="485"/>
      <c r="AN137" s="485"/>
      <c r="AO137" s="489"/>
      <c r="AP137" s="475"/>
      <c r="BE137" s="81"/>
      <c r="BF137" s="747"/>
      <c r="BG137"/>
    </row>
    <row r="138" spans="2:59" ht="13.5" customHeight="1" thickBot="1" x14ac:dyDescent="0.35">
      <c r="B138" s="291"/>
      <c r="C138" s="291"/>
      <c r="D138" s="291"/>
      <c r="E138" s="291"/>
      <c r="F138" s="291"/>
      <c r="G138" s="291"/>
      <c r="U138" s="67"/>
      <c r="AB138" s="67"/>
      <c r="AC138" s="67"/>
      <c r="AD138" s="67"/>
      <c r="AE138" s="67"/>
      <c r="AL138" s="488"/>
      <c r="AM138" s="485"/>
      <c r="AN138" s="485"/>
      <c r="AO138" s="489"/>
      <c r="AP138" s="475"/>
      <c r="BE138" s="81"/>
      <c r="BF138" s="747"/>
      <c r="BG138"/>
    </row>
    <row r="139" spans="2:59" ht="66.75" customHeight="1" thickBot="1" x14ac:dyDescent="0.35">
      <c r="B139" s="247" t="s">
        <v>86</v>
      </c>
      <c r="C139" s="343"/>
      <c r="D139" s="344"/>
      <c r="E139" s="17"/>
      <c r="F139" s="17"/>
      <c r="G139" s="17"/>
      <c r="H139" s="345"/>
      <c r="I139" s="345"/>
      <c r="J139" s="345"/>
      <c r="K139" s="345"/>
      <c r="L139" s="345"/>
      <c r="M139" s="345"/>
      <c r="N139" s="345"/>
      <c r="O139" s="345"/>
      <c r="P139" s="345"/>
      <c r="Q139" s="345"/>
      <c r="R139" s="345"/>
      <c r="S139" s="346" t="s">
        <v>57</v>
      </c>
      <c r="T139" s="346">
        <f>SUM(V143:V162)/B140</f>
        <v>147.93928579999999</v>
      </c>
      <c r="U139" s="133"/>
      <c r="V139" s="110"/>
      <c r="AB139" s="110"/>
      <c r="AC139" s="110"/>
      <c r="AD139" s="110"/>
      <c r="AE139" s="110"/>
      <c r="AF139" s="110"/>
      <c r="AG139" s="110"/>
      <c r="AH139" s="110"/>
      <c r="AI139" s="110"/>
      <c r="AJ139" s="110"/>
      <c r="AK139" s="110"/>
      <c r="AL139" s="437">
        <v>3.3679226</v>
      </c>
      <c r="AM139" s="485">
        <f>+$B$137-AL139</f>
        <v>-3.3679226</v>
      </c>
      <c r="AN139" s="491">
        <f>COS(AM139*3.14159265358979/180)</f>
        <v>0.99827287452202351</v>
      </c>
      <c r="AO139" s="460">
        <f>+AN139*273.3307633</f>
        <v>272.85868677478982</v>
      </c>
      <c r="AP139" s="471">
        <f>+((AP143*(AR143-7.5-7.5))+(AO139*9.4)+(AP173*7.5)+(AP198*7.5))/(AR143+9.4)</f>
        <v>188.44070303920472</v>
      </c>
      <c r="AQ139" s="130" t="s">
        <v>232</v>
      </c>
      <c r="AR139" s="960" t="s">
        <v>231</v>
      </c>
      <c r="AS139" s="110"/>
      <c r="AT139" s="110"/>
      <c r="AU139" s="110"/>
      <c r="AV139" s="110"/>
      <c r="AW139" s="110"/>
      <c r="AX139" s="110"/>
      <c r="AY139" s="110"/>
      <c r="AZ139" s="110"/>
      <c r="BA139" s="110"/>
      <c r="BB139" s="110"/>
      <c r="BC139" s="77"/>
      <c r="BE139" s="81"/>
      <c r="BG139"/>
    </row>
    <row r="140" spans="2:59" ht="45" customHeight="1" thickBot="1" x14ac:dyDescent="0.35">
      <c r="B140" s="11">
        <v>1</v>
      </c>
      <c r="C140" s="377"/>
      <c r="D140" s="304" t="s">
        <v>101</v>
      </c>
      <c r="E140" s="527"/>
      <c r="F140" s="238"/>
      <c r="G140" s="238"/>
      <c r="H140" s="378"/>
      <c r="I140" s="379"/>
      <c r="J140" s="379"/>
      <c r="K140" s="379"/>
      <c r="L140" s="379"/>
      <c r="M140" s="379"/>
      <c r="N140" s="379"/>
      <c r="O140" s="379"/>
      <c r="P140" s="379"/>
      <c r="Q140" s="379"/>
      <c r="R140" s="379"/>
      <c r="S140" s="380"/>
      <c r="T140" s="381"/>
      <c r="U140" s="293"/>
      <c r="V140" s="382"/>
      <c r="W140" s="1026" t="s">
        <v>68</v>
      </c>
      <c r="X140" s="1026"/>
      <c r="Y140" s="1026"/>
      <c r="Z140" s="1026"/>
      <c r="AA140" s="1026"/>
      <c r="AB140" s="382"/>
      <c r="AC140" s="382"/>
      <c r="AD140" s="382"/>
      <c r="AE140" s="382"/>
      <c r="AF140" s="382"/>
      <c r="AG140" s="382"/>
      <c r="AH140" s="382"/>
      <c r="AI140" s="382"/>
      <c r="AJ140" s="382"/>
      <c r="AK140" s="382"/>
      <c r="AL140" s="382"/>
      <c r="AM140" s="382"/>
      <c r="AN140" s="382"/>
      <c r="AO140" s="382"/>
      <c r="AP140" s="382"/>
      <c r="AQ140" s="382"/>
      <c r="AR140" s="382"/>
      <c r="AS140" s="382"/>
      <c r="AT140" s="382"/>
      <c r="AU140" s="382"/>
      <c r="AV140" s="382"/>
      <c r="AW140" s="382"/>
      <c r="AX140" s="382"/>
      <c r="AY140" s="382"/>
      <c r="AZ140" s="382"/>
      <c r="BA140" s="1027" t="s">
        <v>50</v>
      </c>
      <c r="BB140" s="1028"/>
      <c r="BC140" s="138"/>
      <c r="BE140" s="81"/>
      <c r="BG140"/>
    </row>
    <row r="141" spans="2:59" ht="41" hidden="1" thickBot="1" x14ac:dyDescent="0.35">
      <c r="C141" s="307"/>
      <c r="D141" s="255"/>
      <c r="H141" s="383" t="s">
        <v>4</v>
      </c>
      <c r="I141" s="383" t="s">
        <v>1</v>
      </c>
      <c r="J141" s="345" t="s">
        <v>0</v>
      </c>
      <c r="K141" s="345" t="s">
        <v>2</v>
      </c>
      <c r="L141" s="345" t="s">
        <v>3</v>
      </c>
      <c r="M141" s="345" t="s">
        <v>8</v>
      </c>
      <c r="N141" s="345" t="s">
        <v>5</v>
      </c>
      <c r="O141" s="345" t="s">
        <v>6</v>
      </c>
      <c r="P141" s="345" t="s">
        <v>7</v>
      </c>
      <c r="Q141" s="345" t="s">
        <v>9</v>
      </c>
      <c r="R141" s="354" t="s">
        <v>10</v>
      </c>
      <c r="S141" s="345" t="s">
        <v>11</v>
      </c>
      <c r="T141" s="355" t="s">
        <v>12</v>
      </c>
      <c r="V141" s="311"/>
      <c r="W141" s="257" t="s">
        <v>144</v>
      </c>
      <c r="X141" s="226" t="s">
        <v>69</v>
      </c>
      <c r="Y141" s="257" t="s">
        <v>84</v>
      </c>
      <c r="Z141" s="310" t="s">
        <v>73</v>
      </c>
      <c r="AA141" s="310" t="s">
        <v>71</v>
      </c>
      <c r="AB141" s="311"/>
      <c r="AC141" s="346" t="s">
        <v>72</v>
      </c>
      <c r="AD141" s="346"/>
      <c r="AE141" s="346"/>
      <c r="AF141" s="311"/>
      <c r="AG141" s="311"/>
      <c r="AH141" s="311"/>
      <c r="AI141" s="311"/>
      <c r="AJ141" s="311"/>
      <c r="AK141" s="311"/>
      <c r="AL141" s="311"/>
      <c r="AM141" s="311"/>
      <c r="AN141" s="311"/>
      <c r="AO141" s="311"/>
      <c r="AP141" s="311"/>
      <c r="AQ141" s="311"/>
      <c r="AR141" s="685" t="s">
        <v>147</v>
      </c>
      <c r="AS141" s="311"/>
      <c r="AT141" s="311"/>
      <c r="AU141" s="311" t="s">
        <v>149</v>
      </c>
      <c r="AV141" s="311"/>
      <c r="AW141" s="311"/>
      <c r="AX141" s="311"/>
      <c r="AY141" s="306"/>
      <c r="AZ141" s="311"/>
      <c r="BA141" s="311"/>
      <c r="BB141" s="311"/>
      <c r="BC141" s="151"/>
      <c r="BE141" s="81"/>
      <c r="BG141"/>
    </row>
    <row r="142" spans="2:59" ht="46.5" customHeight="1" thickBot="1" x14ac:dyDescent="0.35">
      <c r="B142" s="384"/>
      <c r="C142" s="157"/>
      <c r="D142" s="385" t="s">
        <v>22</v>
      </c>
      <c r="E142" s="234"/>
      <c r="F142" s="386"/>
      <c r="G142" s="160"/>
      <c r="H142" s="357"/>
      <c r="I142" s="358"/>
      <c r="R142" s="354"/>
      <c r="T142" s="359"/>
      <c r="V142" s="311"/>
      <c r="W142" s="311"/>
      <c r="X142" s="311"/>
      <c r="Y142" s="311"/>
      <c r="Z142" s="311"/>
      <c r="AA142" s="311"/>
      <c r="AB142" s="311"/>
      <c r="AC142" s="369">
        <f>SUM(AC143:AC166)</f>
        <v>147.93928579999999</v>
      </c>
      <c r="AD142" s="21"/>
      <c r="AE142" s="21"/>
      <c r="AF142" s="311" t="s">
        <v>38</v>
      </c>
      <c r="AG142" s="311"/>
      <c r="AH142" s="316" t="s">
        <v>31</v>
      </c>
      <c r="AI142" s="387"/>
      <c r="AJ142" s="165" t="s">
        <v>104</v>
      </c>
      <c r="AK142" s="317" t="s">
        <v>32</v>
      </c>
      <c r="AL142" s="167" t="s">
        <v>33</v>
      </c>
      <c r="AM142" s="165" t="s">
        <v>105</v>
      </c>
      <c r="AN142" s="318" t="s">
        <v>34</v>
      </c>
      <c r="AO142" s="169" t="s">
        <v>35</v>
      </c>
      <c r="AP142" s="319" t="s">
        <v>91</v>
      </c>
      <c r="AQ142" s="170" t="s">
        <v>36</v>
      </c>
      <c r="AR142" s="319" t="s">
        <v>146</v>
      </c>
      <c r="AS142" s="311" t="s">
        <v>37</v>
      </c>
      <c r="AT142" s="311" t="s">
        <v>39</v>
      </c>
      <c r="AU142" s="319" t="s">
        <v>148</v>
      </c>
      <c r="AV142" s="311"/>
      <c r="AW142" s="320" t="s">
        <v>41</v>
      </c>
      <c r="AX142" s="320" t="s">
        <v>42</v>
      </c>
      <c r="AY142" s="321" t="s">
        <v>23</v>
      </c>
      <c r="AZ142" s="321" t="s">
        <v>24</v>
      </c>
      <c r="BA142" s="388" t="s">
        <v>23</v>
      </c>
      <c r="BB142" s="388" t="s">
        <v>24</v>
      </c>
      <c r="BE142" s="81"/>
      <c r="BG142"/>
    </row>
    <row r="143" spans="2:59" ht="25" customHeight="1" thickBot="1" x14ac:dyDescent="0.35">
      <c r="B143" s="175">
        <v>1</v>
      </c>
      <c r="C143" s="176">
        <f>+(B137*-1)+D143</f>
        <v>0</v>
      </c>
      <c r="D143" s="10">
        <v>0</v>
      </c>
      <c r="E143" s="809" t="s">
        <v>103</v>
      </c>
      <c r="F143" s="178"/>
      <c r="G143" s="178">
        <f>+D143</f>
        <v>0</v>
      </c>
      <c r="H143" s="389">
        <v>176.8294247</v>
      </c>
      <c r="I143" s="390">
        <v>66.429896499999998</v>
      </c>
      <c r="J143" s="391">
        <f>+I143-C143</f>
        <v>66.429896499999998</v>
      </c>
      <c r="K143" s="391">
        <f>+J143/2</f>
        <v>33.214948249999999</v>
      </c>
      <c r="L143" s="391">
        <f t="shared" ref="L143:L162" si="4">SIN(K143*3.14159265358979/180)</f>
        <v>0.54778151346749804</v>
      </c>
      <c r="M143" s="391">
        <f t="shared" ref="M143:M162" si="5">+L143*H143</f>
        <v>96.863889887752975</v>
      </c>
      <c r="N143" s="391">
        <f t="shared" ref="N143:N162" si="6">+M143*2</f>
        <v>193.72777977550595</v>
      </c>
      <c r="O143" s="391">
        <f>+C143/2</f>
        <v>0</v>
      </c>
      <c r="P143" s="391">
        <f t="shared" ref="P143:P162" si="7">SIN(O143*3.14159265358979/180)</f>
        <v>0</v>
      </c>
      <c r="Q143" s="391">
        <f t="shared" ref="Q143:Q162" si="8">+P143*N143</f>
        <v>0</v>
      </c>
      <c r="R143" s="392">
        <v>147.93928579999999</v>
      </c>
      <c r="S143" s="391">
        <f>+R143+Q143</f>
        <v>147.93928579999999</v>
      </c>
      <c r="T143" s="393">
        <f t="shared" ref="T143:T162" si="9">+S143</f>
        <v>147.93928579999999</v>
      </c>
      <c r="U143" s="345"/>
      <c r="V143" s="394">
        <f t="shared" ref="V143:V162" si="10">IF(B143&lt;($B$140+1),T143,0)</f>
        <v>147.93928579999999</v>
      </c>
      <c r="W143" s="395">
        <v>33.214948200000002</v>
      </c>
      <c r="X143" s="394">
        <f>+W143+AI168</f>
        <v>33.214948200000002</v>
      </c>
      <c r="Y143" s="395">
        <v>176.8294247</v>
      </c>
      <c r="Z143" s="310">
        <f>+COS(X143*3.14159265358979/180)*Y143</f>
        <v>147.93928585929015</v>
      </c>
      <c r="AA143" s="396">
        <f>+AC142-Z143</f>
        <v>-5.9290158560543205E-8</v>
      </c>
      <c r="AB143" s="363" t="str">
        <f t="shared" ref="AB143:AB166" si="11">IF(AZ143&lt;0,"use the ground stack hole"," ")</f>
        <v xml:space="preserve"> </v>
      </c>
      <c r="AC143" s="397">
        <f>IF(AD143=1,AF143)</f>
        <v>147.93928579999999</v>
      </c>
      <c r="AD143" s="397">
        <f>MAX(AE$143:AE$166)</f>
        <v>1</v>
      </c>
      <c r="AE143" s="397">
        <f>IF(V143=0,0,1)</f>
        <v>1</v>
      </c>
      <c r="AF143" s="394">
        <f>SUM(V143:V166)/($B$140)</f>
        <v>147.93928579999999</v>
      </c>
      <c r="AG143" s="394"/>
      <c r="AH143" s="398">
        <f>C143</f>
        <v>0</v>
      </c>
      <c r="AI143" s="399">
        <f>IF(B143&lt;($B$140+1),AH143)</f>
        <v>0</v>
      </c>
      <c r="AJ143" s="185">
        <f>74.8522391-AH143</f>
        <v>74.852239100000006</v>
      </c>
      <c r="AK143" s="400">
        <f t="shared" ref="AK143:AK162" si="12">SIN(AJ143*3.14159265358979/180)</f>
        <v>0.96525514282827984</v>
      </c>
      <c r="AL143" s="187">
        <f>+AK143*193.2389666</f>
        <v>186.5249063054722</v>
      </c>
      <c r="AM143" s="185">
        <f>56.7850518+AH143</f>
        <v>56.785051799999998</v>
      </c>
      <c r="AN143" s="401">
        <f>SIN(AM143*3.14159265358979/180)</f>
        <v>0.83662142830740083</v>
      </c>
      <c r="AO143" s="189">
        <f>+AN143*176.8294247</f>
        <v>147.93928585928998</v>
      </c>
      <c r="AP143" s="402">
        <f t="shared" ref="AP143:AP166" si="13">+((AF143*AQ143)+($AG$180*$AQ$180)+($AQ$204*$AG$204))/AR143</f>
        <v>156.00292661167285</v>
      </c>
      <c r="AQ143" s="189">
        <f>15*B140</f>
        <v>15</v>
      </c>
      <c r="AR143" s="402">
        <f t="shared" ref="AR143:AR166" si="14">+AQ143+$AQ$204+$AQ$180+7.5+7.5+0.5</f>
        <v>78.5</v>
      </c>
      <c r="AS143" s="403">
        <f>+AO143+AL143</f>
        <v>334.46419216476215</v>
      </c>
      <c r="AT143" s="404">
        <f>+V143-AO143</f>
        <v>-5.9289988030286622E-8</v>
      </c>
      <c r="AU143" s="405">
        <f>+AP143-AT143</f>
        <v>156.00292667096284</v>
      </c>
      <c r="AV143" s="404"/>
      <c r="AW143" s="406">
        <f>+((AS143-AU143)/AS143)*AR143</f>
        <v>41.885528165484743</v>
      </c>
      <c r="AX143" s="406">
        <f>+(AU143/AS143)*AR143</f>
        <v>36.614471834515257</v>
      </c>
      <c r="AY143" s="337">
        <f t="shared" ref="AY143:AY162" si="15">2*$C$18/AW143</f>
        <v>190.99675592946926</v>
      </c>
      <c r="AZ143" s="337">
        <f>$D$18/AX143</f>
        <v>120.171062958015</v>
      </c>
      <c r="BA143" s="340">
        <f>ABS(AY143)</f>
        <v>190.99675592946926</v>
      </c>
      <c r="BB143" s="340">
        <f>ABS(AZ143)</f>
        <v>120.171062958015</v>
      </c>
      <c r="BC143" s="51"/>
      <c r="BE143" s="81"/>
      <c r="BG143"/>
    </row>
    <row r="144" spans="2:59" ht="25" customHeight="1" thickBot="1" x14ac:dyDescent="0.35">
      <c r="B144" s="197">
        <v>2</v>
      </c>
      <c r="C144" s="198"/>
      <c r="D144" s="10">
        <v>0</v>
      </c>
      <c r="E144" s="810" t="s">
        <v>121</v>
      </c>
      <c r="F144" s="178"/>
      <c r="G144" s="178" t="e">
        <f>+D144+BC144</f>
        <v>#DIV/0!</v>
      </c>
      <c r="H144" s="389">
        <v>176.8294247</v>
      </c>
      <c r="I144" s="390">
        <v>66.429896499999998</v>
      </c>
      <c r="J144" s="361">
        <f t="shared" ref="J144:J162" si="16">+I144-D144</f>
        <v>66.429896499999998</v>
      </c>
      <c r="K144" s="361">
        <f t="shared" ref="K144:K162" si="17">+J144/2</f>
        <v>33.214948249999999</v>
      </c>
      <c r="L144" s="361">
        <f t="shared" si="4"/>
        <v>0.54778151346749804</v>
      </c>
      <c r="M144" s="361">
        <f t="shared" si="5"/>
        <v>96.863889887752975</v>
      </c>
      <c r="N144" s="361">
        <f t="shared" si="6"/>
        <v>193.72777977550595</v>
      </c>
      <c r="O144" s="361">
        <f>+C143+(D144/2)</f>
        <v>0</v>
      </c>
      <c r="P144" s="361">
        <f t="shared" si="7"/>
        <v>0</v>
      </c>
      <c r="Q144" s="361">
        <f t="shared" si="8"/>
        <v>0</v>
      </c>
      <c r="R144" s="361">
        <f t="shared" ref="R144:R162" si="18">+T143</f>
        <v>147.93928579999999</v>
      </c>
      <c r="S144" s="361">
        <f>+R144+Q144</f>
        <v>147.93928579999999</v>
      </c>
      <c r="T144" s="362">
        <f t="shared" si="9"/>
        <v>147.93928579999999</v>
      </c>
      <c r="V144" s="327">
        <f t="shared" si="10"/>
        <v>0</v>
      </c>
      <c r="W144" s="327"/>
      <c r="X144" s="327"/>
      <c r="Y144" s="327"/>
      <c r="Z144" s="327"/>
      <c r="AA144" s="327"/>
      <c r="AB144" s="363" t="e">
        <f t="shared" si="11"/>
        <v>#DIV/0!</v>
      </c>
      <c r="AC144" s="397" t="b">
        <f>IF(AD144=2,AF144)</f>
        <v>0</v>
      </c>
      <c r="AD144" s="397">
        <f>MAX(AE$143:AE$166)</f>
        <v>1</v>
      </c>
      <c r="AE144" s="397">
        <f>IF(V144=0,0,2)</f>
        <v>0</v>
      </c>
      <c r="AF144" s="327" t="e">
        <f>SUM(V144:V166)/($B$140-B143)</f>
        <v>#DIV/0!</v>
      </c>
      <c r="AG144" s="327"/>
      <c r="AH144" s="339">
        <f>SUM(D144)+$C$143</f>
        <v>0</v>
      </c>
      <c r="AI144" s="399" t="b">
        <f t="shared" ref="AI144:AI162" si="19">IF(B144&lt;($B$140+1),AH144)</f>
        <v>0</v>
      </c>
      <c r="AJ144" s="185">
        <f t="shared" ref="AJ144:AJ166" si="20">74.8522391-AH144</f>
        <v>74.852239100000006</v>
      </c>
      <c r="AK144" s="330">
        <f t="shared" si="12"/>
        <v>0.96525514282827984</v>
      </c>
      <c r="AL144" s="187">
        <f t="shared" ref="AL144:AL166" si="21">+AK144*193.2389666</f>
        <v>186.5249063054722</v>
      </c>
      <c r="AM144" s="185">
        <f t="shared" ref="AM144:AM166" si="22">56.7850518+AH144</f>
        <v>56.785051799999998</v>
      </c>
      <c r="AN144" s="331">
        <f t="shared" ref="AN144:AN162" si="23">SIN(AM144*3.14159265358979/180)</f>
        <v>0.83662142830740083</v>
      </c>
      <c r="AO144" s="189">
        <f t="shared" ref="AO144:AO166" si="24">+AN144*176.8294247</f>
        <v>147.93928585928998</v>
      </c>
      <c r="AP144" s="402" t="e">
        <f t="shared" si="13"/>
        <v>#DIV/0!</v>
      </c>
      <c r="AQ144" s="211">
        <f>15*($B$140-B143)</f>
        <v>0</v>
      </c>
      <c r="AR144" s="402">
        <f t="shared" si="14"/>
        <v>63.5</v>
      </c>
      <c r="AS144" s="333">
        <f t="shared" ref="AS144:AS162" si="25">+AO144+AL144</f>
        <v>334.46419216476215</v>
      </c>
      <c r="AT144" s="334">
        <f>+V144-AO144</f>
        <v>-147.93928585928998</v>
      </c>
      <c r="AU144" s="335" t="e">
        <f t="shared" ref="AU144:AU162" si="26">+AP144-AT144</f>
        <v>#DIV/0!</v>
      </c>
      <c r="AV144" s="334"/>
      <c r="AW144" s="336" t="e">
        <f t="shared" ref="AW144:AW162" si="27">+((AS144-AU144)/AS144)*AR144</f>
        <v>#DIV/0!</v>
      </c>
      <c r="AX144" s="336" t="e">
        <f t="shared" ref="AX144:AX162" si="28">+(AU144/AS144)*AR144</f>
        <v>#DIV/0!</v>
      </c>
      <c r="AY144" s="337" t="e">
        <f t="shared" si="15"/>
        <v>#DIV/0!</v>
      </c>
      <c r="AZ144" s="337" t="e">
        <f t="shared" ref="AZ144:AZ162" si="29">$D$18/AX144</f>
        <v>#DIV/0!</v>
      </c>
      <c r="BA144" s="340" t="e">
        <f t="shared" ref="BA144:BA166" si="30">ABS(AY144)</f>
        <v>#DIV/0!</v>
      </c>
      <c r="BB144" s="340" t="e">
        <f t="shared" ref="BB144:BB162" si="31">ABS(AZ144)</f>
        <v>#DIV/0!</v>
      </c>
      <c r="BC144" t="e">
        <f t="shared" ref="BC144:BC162" si="32">IF(AZ144&lt;0,0.3,0)</f>
        <v>#DIV/0!</v>
      </c>
      <c r="BG144"/>
    </row>
    <row r="145" spans="1:59" ht="25" customHeight="1" thickBot="1" x14ac:dyDescent="0.35">
      <c r="B145" s="197">
        <v>3</v>
      </c>
      <c r="C145" s="198"/>
      <c r="D145" s="10">
        <v>0</v>
      </c>
      <c r="E145" s="810" t="s">
        <v>121</v>
      </c>
      <c r="F145" s="178"/>
      <c r="G145" s="178">
        <f>+D145+BC145</f>
        <v>0</v>
      </c>
      <c r="H145" s="389">
        <v>176.8294247</v>
      </c>
      <c r="I145" s="390">
        <v>66.429896499999998</v>
      </c>
      <c r="J145" s="361">
        <f t="shared" si="16"/>
        <v>66.429896499999998</v>
      </c>
      <c r="K145" s="361">
        <f t="shared" si="17"/>
        <v>33.214948249999999</v>
      </c>
      <c r="L145" s="361">
        <f t="shared" si="4"/>
        <v>0.54778151346749804</v>
      </c>
      <c r="M145" s="361">
        <f t="shared" si="5"/>
        <v>96.863889887752975</v>
      </c>
      <c r="N145" s="361">
        <f t="shared" si="6"/>
        <v>193.72777977550595</v>
      </c>
      <c r="O145" s="361">
        <f>+C143+D144+(D145/2)</f>
        <v>0</v>
      </c>
      <c r="P145" s="361">
        <f t="shared" si="7"/>
        <v>0</v>
      </c>
      <c r="Q145" s="361">
        <f t="shared" si="8"/>
        <v>0</v>
      </c>
      <c r="R145" s="361">
        <f t="shared" si="18"/>
        <v>147.93928579999999</v>
      </c>
      <c r="S145" s="361">
        <f t="shared" ref="S145:S162" si="33">+S144+Q145</f>
        <v>147.93928579999999</v>
      </c>
      <c r="T145" s="362">
        <f t="shared" si="9"/>
        <v>147.93928579999999</v>
      </c>
      <c r="V145" s="327">
        <f t="shared" si="10"/>
        <v>0</v>
      </c>
      <c r="W145" s="327"/>
      <c r="X145" s="327"/>
      <c r="Y145" s="327"/>
      <c r="Z145" s="327"/>
      <c r="AA145" s="327"/>
      <c r="AB145" s="363" t="str">
        <f t="shared" si="11"/>
        <v xml:space="preserve"> </v>
      </c>
      <c r="AC145" s="397" t="b">
        <f>IF(AD145=3,AF145)</f>
        <v>0</v>
      </c>
      <c r="AD145" s="397">
        <f t="shared" ref="AD145:AD166" si="34">MAX(AE$143:AE$166)</f>
        <v>1</v>
      </c>
      <c r="AE145" s="397">
        <f>IF(V145=0,0,3)</f>
        <v>0</v>
      </c>
      <c r="AF145" s="327">
        <f>SUM(V145:V166)/($B$140-B144)</f>
        <v>0</v>
      </c>
      <c r="AG145" s="327"/>
      <c r="AH145" s="339">
        <f>SUM(D144:D145)+$C$143</f>
        <v>0</v>
      </c>
      <c r="AI145" s="399" t="b">
        <f t="shared" si="19"/>
        <v>0</v>
      </c>
      <c r="AJ145" s="185">
        <f t="shared" si="20"/>
        <v>74.852239100000006</v>
      </c>
      <c r="AK145" s="330">
        <f t="shared" si="12"/>
        <v>0.96525514282827984</v>
      </c>
      <c r="AL145" s="187">
        <f t="shared" si="21"/>
        <v>186.5249063054722</v>
      </c>
      <c r="AM145" s="185">
        <f t="shared" si="22"/>
        <v>56.785051799999998</v>
      </c>
      <c r="AN145" s="331">
        <f t="shared" si="23"/>
        <v>0.83662142830740083</v>
      </c>
      <c r="AO145" s="189">
        <f t="shared" si="24"/>
        <v>147.93928585928998</v>
      </c>
      <c r="AP145" s="402">
        <f t="shared" si="13"/>
        <v>206.74516395909939</v>
      </c>
      <c r="AQ145" s="211">
        <f t="shared" ref="AQ145:AQ166" si="35">15*($B$140-B144)</f>
        <v>-15</v>
      </c>
      <c r="AR145" s="402">
        <f t="shared" si="14"/>
        <v>48.5</v>
      </c>
      <c r="AS145" s="333">
        <f t="shared" si="25"/>
        <v>334.46419216476215</v>
      </c>
      <c r="AT145" s="334">
        <f>+V145-AO145</f>
        <v>-147.93928585928998</v>
      </c>
      <c r="AU145" s="335">
        <f t="shared" si="26"/>
        <v>354.68444981838934</v>
      </c>
      <c r="AV145" s="334"/>
      <c r="AW145" s="336">
        <f t="shared" si="27"/>
        <v>-2.9321001146748151</v>
      </c>
      <c r="AX145" s="336">
        <f t="shared" si="28"/>
        <v>51.432100114674817</v>
      </c>
      <c r="AY145" s="337">
        <f t="shared" si="15"/>
        <v>-2728.4197971143426</v>
      </c>
      <c r="AZ145" s="337">
        <f t="shared" si="29"/>
        <v>85.549685705806397</v>
      </c>
      <c r="BA145" s="340">
        <f t="shared" si="30"/>
        <v>2728.4197971143426</v>
      </c>
      <c r="BB145" s="340">
        <f t="shared" si="31"/>
        <v>85.549685705806397</v>
      </c>
      <c r="BC145">
        <f t="shared" si="32"/>
        <v>0</v>
      </c>
      <c r="BG145"/>
    </row>
    <row r="146" spans="1:59" ht="25" customHeight="1" thickBot="1" x14ac:dyDescent="0.35">
      <c r="B146" s="197">
        <v>4</v>
      </c>
      <c r="C146" s="198"/>
      <c r="D146" s="10">
        <v>0</v>
      </c>
      <c r="E146" s="810" t="s">
        <v>121</v>
      </c>
      <c r="F146" s="178"/>
      <c r="G146" s="178">
        <f>+D146+BC146</f>
        <v>0</v>
      </c>
      <c r="H146" s="389">
        <v>176.8294247</v>
      </c>
      <c r="I146" s="390">
        <v>66.429896499999998</v>
      </c>
      <c r="J146" s="361">
        <f t="shared" si="16"/>
        <v>66.429896499999998</v>
      </c>
      <c r="K146" s="361">
        <f t="shared" si="17"/>
        <v>33.214948249999999</v>
      </c>
      <c r="L146" s="361">
        <f t="shared" si="4"/>
        <v>0.54778151346749804</v>
      </c>
      <c r="M146" s="361">
        <f t="shared" si="5"/>
        <v>96.863889887752975</v>
      </c>
      <c r="N146" s="361">
        <f t="shared" si="6"/>
        <v>193.72777977550595</v>
      </c>
      <c r="O146" s="361">
        <f>+C143+D144+D145+(D146/2)</f>
        <v>0</v>
      </c>
      <c r="P146" s="361">
        <f t="shared" si="7"/>
        <v>0</v>
      </c>
      <c r="Q146" s="361">
        <f t="shared" si="8"/>
        <v>0</v>
      </c>
      <c r="R146" s="361">
        <f t="shared" si="18"/>
        <v>147.93928579999999</v>
      </c>
      <c r="S146" s="361">
        <f t="shared" si="33"/>
        <v>147.93928579999999</v>
      </c>
      <c r="T146" s="362">
        <f t="shared" si="9"/>
        <v>147.93928579999999</v>
      </c>
      <c r="V146" s="327">
        <f t="shared" si="10"/>
        <v>0</v>
      </c>
      <c r="W146" s="327"/>
      <c r="X146" s="327"/>
      <c r="Y146" s="327"/>
      <c r="Z146" s="327"/>
      <c r="AA146" s="327"/>
      <c r="AB146" s="363" t="str">
        <f t="shared" si="11"/>
        <v xml:space="preserve"> </v>
      </c>
      <c r="AC146" s="397" t="b">
        <f>IF(AD146=4,AF146)</f>
        <v>0</v>
      </c>
      <c r="AD146" s="397">
        <f t="shared" si="34"/>
        <v>1</v>
      </c>
      <c r="AE146" s="397">
        <f>IF(V146=0,0,4)</f>
        <v>0</v>
      </c>
      <c r="AF146" s="327">
        <f>SUM(V146:V166)/($B$140-B145)</f>
        <v>0</v>
      </c>
      <c r="AG146" s="327"/>
      <c r="AH146" s="339">
        <f>SUM(D144:D146)+$C$143</f>
        <v>0</v>
      </c>
      <c r="AI146" s="399" t="b">
        <f t="shared" si="19"/>
        <v>0</v>
      </c>
      <c r="AJ146" s="185">
        <f t="shared" si="20"/>
        <v>74.852239100000006</v>
      </c>
      <c r="AK146" s="330">
        <f t="shared" si="12"/>
        <v>0.96525514282827984</v>
      </c>
      <c r="AL146" s="187">
        <f t="shared" si="21"/>
        <v>186.5249063054722</v>
      </c>
      <c r="AM146" s="185">
        <f t="shared" si="22"/>
        <v>56.785051799999998</v>
      </c>
      <c r="AN146" s="331">
        <f t="shared" si="23"/>
        <v>0.83662142830740083</v>
      </c>
      <c r="AO146" s="189">
        <f t="shared" si="24"/>
        <v>147.93928585928998</v>
      </c>
      <c r="AP146" s="402">
        <f t="shared" si="13"/>
        <v>299.31762543332297</v>
      </c>
      <c r="AQ146" s="211">
        <f t="shared" si="35"/>
        <v>-30</v>
      </c>
      <c r="AR146" s="402">
        <f t="shared" si="14"/>
        <v>33.5</v>
      </c>
      <c r="AS146" s="333">
        <f t="shared" si="25"/>
        <v>334.46419216476215</v>
      </c>
      <c r="AT146" s="334">
        <f>+V146-AO146</f>
        <v>-147.93928585928998</v>
      </c>
      <c r="AU146" s="335">
        <f t="shared" si="26"/>
        <v>447.25691129261293</v>
      </c>
      <c r="AV146" s="334"/>
      <c r="AW146" s="336">
        <f t="shared" si="27"/>
        <v>-11.297341178219838</v>
      </c>
      <c r="AX146" s="336">
        <f t="shared" si="28"/>
        <v>44.797341178219838</v>
      </c>
      <c r="AY146" s="337">
        <f t="shared" si="15"/>
        <v>-708.13122077106186</v>
      </c>
      <c r="AZ146" s="337">
        <f t="shared" si="29"/>
        <v>98.220114950466083</v>
      </c>
      <c r="BA146" s="340">
        <f t="shared" si="30"/>
        <v>708.13122077106186</v>
      </c>
      <c r="BB146" s="340">
        <f t="shared" si="31"/>
        <v>98.220114950466083</v>
      </c>
      <c r="BC146">
        <f t="shared" si="32"/>
        <v>0</v>
      </c>
      <c r="BG146"/>
    </row>
    <row r="147" spans="1:59" ht="25" customHeight="1" thickBot="1" x14ac:dyDescent="0.35">
      <c r="B147" s="197">
        <v>5</v>
      </c>
      <c r="C147" s="198"/>
      <c r="D147" s="10">
        <v>0</v>
      </c>
      <c r="E147" s="810" t="s">
        <v>121</v>
      </c>
      <c r="F147" s="178"/>
      <c r="G147" s="178">
        <f>+D147+BC147</f>
        <v>0</v>
      </c>
      <c r="H147" s="389">
        <v>176.8294247</v>
      </c>
      <c r="I147" s="390">
        <v>66.429896499999998</v>
      </c>
      <c r="J147" s="361">
        <f t="shared" si="16"/>
        <v>66.429896499999998</v>
      </c>
      <c r="K147" s="361">
        <f t="shared" si="17"/>
        <v>33.214948249999999</v>
      </c>
      <c r="L147" s="361">
        <f t="shared" si="4"/>
        <v>0.54778151346749804</v>
      </c>
      <c r="M147" s="361">
        <f t="shared" si="5"/>
        <v>96.863889887752975</v>
      </c>
      <c r="N147" s="361">
        <f t="shared" si="6"/>
        <v>193.72777977550595</v>
      </c>
      <c r="O147" s="361">
        <f>+C143+D144+D145+D146+(D147/2)</f>
        <v>0</v>
      </c>
      <c r="P147" s="361">
        <f t="shared" si="7"/>
        <v>0</v>
      </c>
      <c r="Q147" s="361">
        <f t="shared" si="8"/>
        <v>0</v>
      </c>
      <c r="R147" s="361">
        <f t="shared" si="18"/>
        <v>147.93928579999999</v>
      </c>
      <c r="S147" s="361">
        <f t="shared" si="33"/>
        <v>147.93928579999999</v>
      </c>
      <c r="T147" s="362">
        <f t="shared" si="9"/>
        <v>147.93928579999999</v>
      </c>
      <c r="V147" s="327">
        <f t="shared" si="10"/>
        <v>0</v>
      </c>
      <c r="W147" s="327"/>
      <c r="X147" s="327"/>
      <c r="Y147" s="327"/>
      <c r="Z147" s="327"/>
      <c r="AA147" s="327"/>
      <c r="AB147" s="363" t="str">
        <f t="shared" si="11"/>
        <v xml:space="preserve"> </v>
      </c>
      <c r="AC147" s="397" t="b">
        <f>IF(AD147=5,AF147)</f>
        <v>0</v>
      </c>
      <c r="AD147" s="397">
        <f t="shared" si="34"/>
        <v>1</v>
      </c>
      <c r="AE147" s="397">
        <f>IF(V147=0,0,5)</f>
        <v>0</v>
      </c>
      <c r="AF147" s="327">
        <f>SUM(V147:V166)/($B$140-B146)</f>
        <v>0</v>
      </c>
      <c r="AG147" s="327"/>
      <c r="AH147" s="339">
        <f>SUM(D144:D147)+$C$143</f>
        <v>0</v>
      </c>
      <c r="AI147" s="399" t="b">
        <f t="shared" si="19"/>
        <v>0</v>
      </c>
      <c r="AJ147" s="185">
        <f t="shared" si="20"/>
        <v>74.852239100000006</v>
      </c>
      <c r="AK147" s="330">
        <f t="shared" si="12"/>
        <v>0.96525514282827984</v>
      </c>
      <c r="AL147" s="187">
        <f t="shared" si="21"/>
        <v>186.5249063054722</v>
      </c>
      <c r="AM147" s="185">
        <f t="shared" si="22"/>
        <v>56.785051799999998</v>
      </c>
      <c r="AN147" s="331">
        <f t="shared" si="23"/>
        <v>0.83662142830740083</v>
      </c>
      <c r="AO147" s="189">
        <f t="shared" si="24"/>
        <v>147.93928585928998</v>
      </c>
      <c r="AP147" s="402">
        <f t="shared" si="13"/>
        <v>542.00759200088214</v>
      </c>
      <c r="AQ147" s="211">
        <f t="shared" si="35"/>
        <v>-45</v>
      </c>
      <c r="AR147" s="402">
        <f>+AQ147+$AQ$204+$AQ$180+7.5+7.5+0.5</f>
        <v>18.5</v>
      </c>
      <c r="AS147" s="333">
        <f t="shared" si="25"/>
        <v>334.46419216476215</v>
      </c>
      <c r="AT147" s="334">
        <f t="shared" ref="AT147:AT162" si="36">+V147-AO147</f>
        <v>-147.93928585928998</v>
      </c>
      <c r="AU147" s="335">
        <f t="shared" si="26"/>
        <v>689.94687786017209</v>
      </c>
      <c r="AV147" s="334"/>
      <c r="AW147" s="336">
        <f t="shared" si="27"/>
        <v>-19.662582241764866</v>
      </c>
      <c r="AX147" s="336">
        <f t="shared" si="28"/>
        <v>38.162582241764866</v>
      </c>
      <c r="AY147" s="337">
        <f t="shared" si="15"/>
        <v>-406.86415963247049</v>
      </c>
      <c r="AZ147" s="337">
        <f t="shared" si="29"/>
        <v>115.29618127320195</v>
      </c>
      <c r="BA147" s="340">
        <f t="shared" si="30"/>
        <v>406.86415963247049</v>
      </c>
      <c r="BB147" s="340">
        <f t="shared" si="31"/>
        <v>115.29618127320195</v>
      </c>
      <c r="BC147">
        <f t="shared" si="32"/>
        <v>0</v>
      </c>
      <c r="BG147"/>
    </row>
    <row r="148" spans="1:59" ht="25" customHeight="1" thickBot="1" x14ac:dyDescent="0.35">
      <c r="B148" s="197">
        <v>6</v>
      </c>
      <c r="C148" s="198"/>
      <c r="D148" s="10">
        <v>0</v>
      </c>
      <c r="E148" s="810" t="s">
        <v>121</v>
      </c>
      <c r="F148" s="178"/>
      <c r="G148" s="178">
        <f t="shared" ref="G148:G162" si="37">+D148+BC148</f>
        <v>0</v>
      </c>
      <c r="H148" s="389">
        <v>176.8294247</v>
      </c>
      <c r="I148" s="390">
        <v>66.429896499999998</v>
      </c>
      <c r="J148" s="361">
        <f t="shared" si="16"/>
        <v>66.429896499999998</v>
      </c>
      <c r="K148" s="361">
        <f t="shared" si="17"/>
        <v>33.214948249999999</v>
      </c>
      <c r="L148" s="361">
        <f t="shared" si="4"/>
        <v>0.54778151346749804</v>
      </c>
      <c r="M148" s="361">
        <f t="shared" si="5"/>
        <v>96.863889887752975</v>
      </c>
      <c r="N148" s="361">
        <f t="shared" si="6"/>
        <v>193.72777977550595</v>
      </c>
      <c r="O148" s="361">
        <f>+C143+D144+D145+D146+D147+(D148/2)</f>
        <v>0</v>
      </c>
      <c r="P148" s="361">
        <f t="shared" si="7"/>
        <v>0</v>
      </c>
      <c r="Q148" s="361">
        <f t="shared" si="8"/>
        <v>0</v>
      </c>
      <c r="R148" s="361">
        <f t="shared" si="18"/>
        <v>147.93928579999999</v>
      </c>
      <c r="S148" s="361">
        <f t="shared" si="33"/>
        <v>147.93928579999999</v>
      </c>
      <c r="T148" s="362">
        <f t="shared" si="9"/>
        <v>147.93928579999999</v>
      </c>
      <c r="V148" s="327">
        <f t="shared" si="10"/>
        <v>0</v>
      </c>
      <c r="W148" s="327"/>
      <c r="X148" s="327"/>
      <c r="Y148" s="327"/>
      <c r="Z148" s="327"/>
      <c r="AA148" s="327"/>
      <c r="AB148" s="363" t="str">
        <f t="shared" si="11"/>
        <v xml:space="preserve"> </v>
      </c>
      <c r="AC148" s="397" t="b">
        <f>IF(AD148=6,AF148)</f>
        <v>0</v>
      </c>
      <c r="AD148" s="397">
        <f t="shared" si="34"/>
        <v>1</v>
      </c>
      <c r="AE148" s="397">
        <f>IF(V148=0,0,6)</f>
        <v>0</v>
      </c>
      <c r="AF148" s="327">
        <f>SUM(V148:V166)/($B$140-B147)</f>
        <v>0</v>
      </c>
      <c r="AG148" s="327"/>
      <c r="AH148" s="339">
        <f>SUM(D144:D148)+$C$143</f>
        <v>0</v>
      </c>
      <c r="AI148" s="399" t="b">
        <f t="shared" si="19"/>
        <v>0</v>
      </c>
      <c r="AJ148" s="185">
        <f t="shared" si="20"/>
        <v>74.852239100000006</v>
      </c>
      <c r="AK148" s="330">
        <f t="shared" si="12"/>
        <v>0.96525514282827984</v>
      </c>
      <c r="AL148" s="187">
        <f t="shared" si="21"/>
        <v>186.5249063054722</v>
      </c>
      <c r="AM148" s="185">
        <f t="shared" si="22"/>
        <v>56.785051799999998</v>
      </c>
      <c r="AN148" s="331">
        <f t="shared" si="23"/>
        <v>0.83662142830740083</v>
      </c>
      <c r="AO148" s="189">
        <f t="shared" si="24"/>
        <v>147.93928585928998</v>
      </c>
      <c r="AP148" s="402">
        <f t="shared" si="13"/>
        <v>2864.8972720046627</v>
      </c>
      <c r="AQ148" s="211">
        <f t="shared" si="35"/>
        <v>-60</v>
      </c>
      <c r="AR148" s="402">
        <f t="shared" si="14"/>
        <v>3.5</v>
      </c>
      <c r="AS148" s="333">
        <f t="shared" si="25"/>
        <v>334.46419216476215</v>
      </c>
      <c r="AT148" s="334">
        <f t="shared" si="36"/>
        <v>-147.93928585928998</v>
      </c>
      <c r="AU148" s="335">
        <f t="shared" si="26"/>
        <v>3012.8365578639527</v>
      </c>
      <c r="AV148" s="334"/>
      <c r="AW148" s="336">
        <f t="shared" si="27"/>
        <v>-28.027823305309891</v>
      </c>
      <c r="AX148" s="336">
        <f t="shared" si="28"/>
        <v>31.527823305309891</v>
      </c>
      <c r="AY148" s="337">
        <f t="shared" si="15"/>
        <v>-285.4306562752019</v>
      </c>
      <c r="AZ148" s="337">
        <f t="shared" si="29"/>
        <v>139.55926983576299</v>
      </c>
      <c r="BA148" s="340">
        <f t="shared" si="30"/>
        <v>285.4306562752019</v>
      </c>
      <c r="BB148" s="340">
        <f t="shared" si="31"/>
        <v>139.55926983576299</v>
      </c>
      <c r="BC148">
        <f t="shared" si="32"/>
        <v>0</v>
      </c>
      <c r="BG148"/>
    </row>
    <row r="149" spans="1:59" ht="25" customHeight="1" thickBot="1" x14ac:dyDescent="0.35">
      <c r="B149" s="197">
        <v>7</v>
      </c>
      <c r="C149" s="198"/>
      <c r="D149" s="10">
        <v>0</v>
      </c>
      <c r="E149" s="810" t="s">
        <v>121</v>
      </c>
      <c r="F149" s="178"/>
      <c r="G149" s="178">
        <f t="shared" si="37"/>
        <v>0</v>
      </c>
      <c r="H149" s="389">
        <v>176.8294247</v>
      </c>
      <c r="I149" s="390">
        <v>66.429896499999998</v>
      </c>
      <c r="J149" s="361">
        <f t="shared" si="16"/>
        <v>66.429896499999998</v>
      </c>
      <c r="K149" s="361">
        <f t="shared" si="17"/>
        <v>33.214948249999999</v>
      </c>
      <c r="L149" s="361">
        <f t="shared" si="4"/>
        <v>0.54778151346749804</v>
      </c>
      <c r="M149" s="361">
        <f t="shared" si="5"/>
        <v>96.863889887752975</v>
      </c>
      <c r="N149" s="361">
        <f t="shared" si="6"/>
        <v>193.72777977550595</v>
      </c>
      <c r="O149" s="361">
        <f>+C143+D144+D145+D146+D147+D148+(D149/2)</f>
        <v>0</v>
      </c>
      <c r="P149" s="361">
        <f t="shared" si="7"/>
        <v>0</v>
      </c>
      <c r="Q149" s="361">
        <f t="shared" si="8"/>
        <v>0</v>
      </c>
      <c r="R149" s="361">
        <f t="shared" si="18"/>
        <v>147.93928579999999</v>
      </c>
      <c r="S149" s="361">
        <f t="shared" si="33"/>
        <v>147.93928579999999</v>
      </c>
      <c r="T149" s="362">
        <f t="shared" si="9"/>
        <v>147.93928579999999</v>
      </c>
      <c r="V149" s="327">
        <f t="shared" si="10"/>
        <v>0</v>
      </c>
      <c r="W149" s="327"/>
      <c r="X149" s="327"/>
      <c r="Y149" s="327"/>
      <c r="Z149" s="327"/>
      <c r="AA149" s="327"/>
      <c r="AB149" s="363" t="str">
        <f t="shared" si="11"/>
        <v xml:space="preserve"> </v>
      </c>
      <c r="AC149" s="397" t="b">
        <f>IF(AD149=7,AF149)</f>
        <v>0</v>
      </c>
      <c r="AD149" s="397">
        <f t="shared" si="34"/>
        <v>1</v>
      </c>
      <c r="AE149" s="397">
        <f>IF(V149=0,0,7)</f>
        <v>0</v>
      </c>
      <c r="AF149" s="327">
        <f>SUM(V149:V166)/($B$140-B148)</f>
        <v>0</v>
      </c>
      <c r="AG149" s="327"/>
      <c r="AH149" s="339">
        <f>SUM(D144:D149)+$C$143</f>
        <v>0</v>
      </c>
      <c r="AI149" s="399" t="b">
        <f t="shared" si="19"/>
        <v>0</v>
      </c>
      <c r="AJ149" s="185">
        <f t="shared" si="20"/>
        <v>74.852239100000006</v>
      </c>
      <c r="AK149" s="330">
        <f t="shared" si="12"/>
        <v>0.96525514282827984</v>
      </c>
      <c r="AL149" s="187">
        <f t="shared" si="21"/>
        <v>186.5249063054722</v>
      </c>
      <c r="AM149" s="185">
        <f t="shared" si="22"/>
        <v>56.785051799999998</v>
      </c>
      <c r="AN149" s="331">
        <f t="shared" si="23"/>
        <v>0.83662142830740083</v>
      </c>
      <c r="AO149" s="189">
        <f t="shared" si="24"/>
        <v>147.93928585928998</v>
      </c>
      <c r="AP149" s="402">
        <f t="shared" si="13"/>
        <v>-871.92525669707129</v>
      </c>
      <c r="AQ149" s="211">
        <f t="shared" si="35"/>
        <v>-75</v>
      </c>
      <c r="AR149" s="402">
        <f t="shared" si="14"/>
        <v>-11.5</v>
      </c>
      <c r="AS149" s="333">
        <f t="shared" si="25"/>
        <v>334.46419216476215</v>
      </c>
      <c r="AT149" s="334">
        <f t="shared" si="36"/>
        <v>-147.93928585928998</v>
      </c>
      <c r="AU149" s="335">
        <f t="shared" si="26"/>
        <v>-723.98597083778134</v>
      </c>
      <c r="AV149" s="334"/>
      <c r="AW149" s="336">
        <f t="shared" si="27"/>
        <v>-36.393064368854915</v>
      </c>
      <c r="AX149" s="336">
        <f t="shared" si="28"/>
        <v>24.893064368854915</v>
      </c>
      <c r="AY149" s="337">
        <f t="shared" si="15"/>
        <v>-219.82210453391713</v>
      </c>
      <c r="AZ149" s="337">
        <f t="shared" si="29"/>
        <v>176.75606083697284</v>
      </c>
      <c r="BA149" s="340">
        <f t="shared" si="30"/>
        <v>219.82210453391713</v>
      </c>
      <c r="BB149" s="340">
        <f t="shared" si="31"/>
        <v>176.75606083697284</v>
      </c>
      <c r="BC149">
        <f t="shared" si="32"/>
        <v>0</v>
      </c>
      <c r="BG149"/>
    </row>
    <row r="150" spans="1:59" ht="25" customHeight="1" thickBot="1" x14ac:dyDescent="0.35">
      <c r="B150" s="197">
        <v>8</v>
      </c>
      <c r="C150" s="198"/>
      <c r="D150" s="10">
        <v>0</v>
      </c>
      <c r="E150" s="810" t="s">
        <v>121</v>
      </c>
      <c r="F150" s="178"/>
      <c r="G150" s="178">
        <f t="shared" si="37"/>
        <v>0</v>
      </c>
      <c r="H150" s="389">
        <v>176.8294247</v>
      </c>
      <c r="I150" s="390">
        <v>66.429896499999998</v>
      </c>
      <c r="J150" s="361">
        <f t="shared" si="16"/>
        <v>66.429896499999998</v>
      </c>
      <c r="K150" s="361">
        <f t="shared" si="17"/>
        <v>33.214948249999999</v>
      </c>
      <c r="L150" s="361">
        <f t="shared" si="4"/>
        <v>0.54778151346749804</v>
      </c>
      <c r="M150" s="361">
        <f t="shared" si="5"/>
        <v>96.863889887752975</v>
      </c>
      <c r="N150" s="361">
        <f t="shared" si="6"/>
        <v>193.72777977550595</v>
      </c>
      <c r="O150" s="361">
        <f>+C143+D144+D145+D146+D147+D148+D149+(D150/2)</f>
        <v>0</v>
      </c>
      <c r="P150" s="361">
        <f t="shared" si="7"/>
        <v>0</v>
      </c>
      <c r="Q150" s="361">
        <f t="shared" si="8"/>
        <v>0</v>
      </c>
      <c r="R150" s="361">
        <f t="shared" si="18"/>
        <v>147.93928579999999</v>
      </c>
      <c r="S150" s="361">
        <f t="shared" si="33"/>
        <v>147.93928579999999</v>
      </c>
      <c r="T150" s="362">
        <f t="shared" si="9"/>
        <v>147.93928579999999</v>
      </c>
      <c r="V150" s="327">
        <f t="shared" si="10"/>
        <v>0</v>
      </c>
      <c r="W150" s="327"/>
      <c r="X150" s="327"/>
      <c r="Y150" s="327"/>
      <c r="Z150" s="327"/>
      <c r="AA150" s="327"/>
      <c r="AB150" s="363" t="str">
        <f t="shared" si="11"/>
        <v xml:space="preserve"> </v>
      </c>
      <c r="AC150" s="397" t="b">
        <f>IF(AD150=8,AF150)</f>
        <v>0</v>
      </c>
      <c r="AD150" s="397">
        <f t="shared" si="34"/>
        <v>1</v>
      </c>
      <c r="AE150" s="397">
        <f>IF(V150=0,0,8)</f>
        <v>0</v>
      </c>
      <c r="AF150" s="327">
        <f>SUM(V150:V166)/($B$140-B149)</f>
        <v>0</v>
      </c>
      <c r="AG150" s="327"/>
      <c r="AH150" s="339">
        <f>SUM(D144:D150)+$C$143</f>
        <v>0</v>
      </c>
      <c r="AI150" s="399" t="b">
        <f t="shared" si="19"/>
        <v>0</v>
      </c>
      <c r="AJ150" s="185">
        <f t="shared" si="20"/>
        <v>74.852239100000006</v>
      </c>
      <c r="AK150" s="330">
        <f t="shared" si="12"/>
        <v>0.96525514282827984</v>
      </c>
      <c r="AL150" s="187">
        <f t="shared" si="21"/>
        <v>186.5249063054722</v>
      </c>
      <c r="AM150" s="185">
        <f t="shared" si="22"/>
        <v>56.785051799999998</v>
      </c>
      <c r="AN150" s="331">
        <f t="shared" si="23"/>
        <v>0.83662142830740083</v>
      </c>
      <c r="AO150" s="189">
        <f t="shared" si="24"/>
        <v>147.93928585928998</v>
      </c>
      <c r="AP150" s="402">
        <f t="shared" si="13"/>
        <v>-378.38265856665356</v>
      </c>
      <c r="AQ150" s="211">
        <f t="shared" si="35"/>
        <v>-90</v>
      </c>
      <c r="AR150" s="402">
        <f t="shared" si="14"/>
        <v>-26.5</v>
      </c>
      <c r="AS150" s="333">
        <f t="shared" si="25"/>
        <v>334.46419216476215</v>
      </c>
      <c r="AT150" s="334">
        <f t="shared" si="36"/>
        <v>-147.93928585928998</v>
      </c>
      <c r="AU150" s="335">
        <f t="shared" si="26"/>
        <v>-230.44337270736358</v>
      </c>
      <c r="AV150" s="334"/>
      <c r="AW150" s="336">
        <f t="shared" si="27"/>
        <v>-44.758305432399936</v>
      </c>
      <c r="AX150" s="336">
        <f t="shared" si="28"/>
        <v>18.258305432399943</v>
      </c>
      <c r="AY150" s="337">
        <f t="shared" si="15"/>
        <v>-178.7377766587407</v>
      </c>
      <c r="AZ150" s="337">
        <f t="shared" si="29"/>
        <v>240.98621946547462</v>
      </c>
      <c r="BA150" s="340">
        <f t="shared" si="30"/>
        <v>178.7377766587407</v>
      </c>
      <c r="BB150" s="340">
        <f t="shared" si="31"/>
        <v>240.98621946547462</v>
      </c>
      <c r="BC150">
        <f t="shared" si="32"/>
        <v>0</v>
      </c>
      <c r="BG150"/>
    </row>
    <row r="151" spans="1:59" ht="25" customHeight="1" thickBot="1" x14ac:dyDescent="0.35">
      <c r="B151" s="197">
        <v>9</v>
      </c>
      <c r="C151" s="198"/>
      <c r="D151" s="10">
        <v>0</v>
      </c>
      <c r="E151" s="810" t="s">
        <v>121</v>
      </c>
      <c r="F151" s="178"/>
      <c r="G151" s="178">
        <f t="shared" si="37"/>
        <v>0</v>
      </c>
      <c r="H151" s="389">
        <v>176.8294247</v>
      </c>
      <c r="I151" s="390">
        <v>66.429896499999998</v>
      </c>
      <c r="J151" s="361">
        <f t="shared" si="16"/>
        <v>66.429896499999998</v>
      </c>
      <c r="K151" s="361">
        <f t="shared" si="17"/>
        <v>33.214948249999999</v>
      </c>
      <c r="L151" s="361">
        <f t="shared" si="4"/>
        <v>0.54778151346749804</v>
      </c>
      <c r="M151" s="361">
        <f t="shared" si="5"/>
        <v>96.863889887752975</v>
      </c>
      <c r="N151" s="361">
        <f t="shared" si="6"/>
        <v>193.72777977550595</v>
      </c>
      <c r="O151" s="361">
        <f>+C143+D144+D145+D146+D147+D148+D149+D150+(D151/2)</f>
        <v>0</v>
      </c>
      <c r="P151" s="361">
        <f t="shared" si="7"/>
        <v>0</v>
      </c>
      <c r="Q151" s="361">
        <f t="shared" si="8"/>
        <v>0</v>
      </c>
      <c r="R151" s="361">
        <f t="shared" si="18"/>
        <v>147.93928579999999</v>
      </c>
      <c r="S151" s="361">
        <f t="shared" si="33"/>
        <v>147.93928579999999</v>
      </c>
      <c r="T151" s="362">
        <f t="shared" si="9"/>
        <v>147.93928579999999</v>
      </c>
      <c r="V151" s="327">
        <f t="shared" si="10"/>
        <v>0</v>
      </c>
      <c r="W151" s="327"/>
      <c r="X151" s="327"/>
      <c r="Y151" s="327"/>
      <c r="Z151" s="327"/>
      <c r="AA151" s="327"/>
      <c r="AB151" s="363" t="str">
        <f t="shared" si="11"/>
        <v xml:space="preserve"> </v>
      </c>
      <c r="AC151" s="397" t="b">
        <f>IF(AD151=9,AF151)</f>
        <v>0</v>
      </c>
      <c r="AD151" s="397">
        <f t="shared" si="34"/>
        <v>1</v>
      </c>
      <c r="AE151" s="397">
        <f>IF(V151=0,0,9)</f>
        <v>0</v>
      </c>
      <c r="AF151" s="327">
        <f>SUM(V151:V166)/($B$140-B150)</f>
        <v>0</v>
      </c>
      <c r="AG151" s="327"/>
      <c r="AH151" s="339">
        <f>SUM(D144:D151)+$C$143</f>
        <v>0</v>
      </c>
      <c r="AI151" s="399" t="b">
        <f t="shared" si="19"/>
        <v>0</v>
      </c>
      <c r="AJ151" s="185">
        <f t="shared" si="20"/>
        <v>74.852239100000006</v>
      </c>
      <c r="AK151" s="330">
        <f t="shared" si="12"/>
        <v>0.96525514282827984</v>
      </c>
      <c r="AL151" s="187">
        <f t="shared" si="21"/>
        <v>186.5249063054722</v>
      </c>
      <c r="AM151" s="185">
        <f t="shared" si="22"/>
        <v>56.785051799999998</v>
      </c>
      <c r="AN151" s="331">
        <f t="shared" si="23"/>
        <v>0.83662142830740083</v>
      </c>
      <c r="AO151" s="189">
        <f t="shared" si="24"/>
        <v>147.93928585928998</v>
      </c>
      <c r="AP151" s="402">
        <f t="shared" si="13"/>
        <v>-241.61784221726072</v>
      </c>
      <c r="AQ151" s="211">
        <f t="shared" si="35"/>
        <v>-105</v>
      </c>
      <c r="AR151" s="402">
        <f t="shared" si="14"/>
        <v>-41.5</v>
      </c>
      <c r="AS151" s="333">
        <f t="shared" si="25"/>
        <v>334.46419216476215</v>
      </c>
      <c r="AT151" s="334">
        <f t="shared" si="36"/>
        <v>-147.93928585928998</v>
      </c>
      <c r="AU151" s="335">
        <f t="shared" si="26"/>
        <v>-93.678556357970734</v>
      </c>
      <c r="AV151" s="334"/>
      <c r="AW151" s="336">
        <f t="shared" si="27"/>
        <v>-53.123546495944964</v>
      </c>
      <c r="AX151" s="336">
        <f t="shared" si="28"/>
        <v>11.62354649594497</v>
      </c>
      <c r="AY151" s="337">
        <f t="shared" si="15"/>
        <v>-150.59235551245919</v>
      </c>
      <c r="AZ151" s="337">
        <f t="shared" si="29"/>
        <v>378.54195374320557</v>
      </c>
      <c r="BA151" s="340">
        <f t="shared" si="30"/>
        <v>150.59235551245919</v>
      </c>
      <c r="BB151" s="340">
        <f t="shared" si="31"/>
        <v>378.54195374320557</v>
      </c>
      <c r="BC151">
        <f t="shared" si="32"/>
        <v>0</v>
      </c>
      <c r="BG151"/>
    </row>
    <row r="152" spans="1:59" ht="25" customHeight="1" thickBot="1" x14ac:dyDescent="0.35">
      <c r="B152" s="197">
        <v>10</v>
      </c>
      <c r="C152" s="198"/>
      <c r="D152" s="10">
        <v>0</v>
      </c>
      <c r="E152" s="810" t="s">
        <v>121</v>
      </c>
      <c r="F152" s="178"/>
      <c r="G152" s="178">
        <f t="shared" si="37"/>
        <v>0</v>
      </c>
      <c r="H152" s="389">
        <v>176.8294247</v>
      </c>
      <c r="I152" s="390">
        <v>66.429896499999998</v>
      </c>
      <c r="J152" s="361">
        <f t="shared" si="16"/>
        <v>66.429896499999998</v>
      </c>
      <c r="K152" s="361">
        <f t="shared" si="17"/>
        <v>33.214948249999999</v>
      </c>
      <c r="L152" s="361">
        <f t="shared" si="4"/>
        <v>0.54778151346749804</v>
      </c>
      <c r="M152" s="361">
        <f t="shared" si="5"/>
        <v>96.863889887752975</v>
      </c>
      <c r="N152" s="361">
        <f t="shared" si="6"/>
        <v>193.72777977550595</v>
      </c>
      <c r="O152" s="361">
        <f>+C143+D144+D145+D146+D147+D148+D149+D150+D151+(D152/2)</f>
        <v>0</v>
      </c>
      <c r="P152" s="361">
        <f t="shared" si="7"/>
        <v>0</v>
      </c>
      <c r="Q152" s="361">
        <f t="shared" si="8"/>
        <v>0</v>
      </c>
      <c r="R152" s="361">
        <f t="shared" si="18"/>
        <v>147.93928579999999</v>
      </c>
      <c r="S152" s="361">
        <f t="shared" si="33"/>
        <v>147.93928579999999</v>
      </c>
      <c r="T152" s="362">
        <f t="shared" si="9"/>
        <v>147.93928579999999</v>
      </c>
      <c r="V152" s="327">
        <f t="shared" si="10"/>
        <v>0</v>
      </c>
      <c r="W152" s="327"/>
      <c r="X152" s="327"/>
      <c r="Y152" s="327"/>
      <c r="Z152" s="327"/>
      <c r="AA152" s="327"/>
      <c r="AB152" s="363" t="str">
        <f t="shared" si="11"/>
        <v xml:space="preserve"> </v>
      </c>
      <c r="AC152" s="397" t="b">
        <f>IF(AD152=10,AF152)</f>
        <v>0</v>
      </c>
      <c r="AD152" s="397">
        <f t="shared" si="34"/>
        <v>1</v>
      </c>
      <c r="AE152" s="397">
        <f>IF(V152=0,0,10)</f>
        <v>0</v>
      </c>
      <c r="AF152" s="327">
        <f>SUM(V152:V166)/($B$140-B151)</f>
        <v>0</v>
      </c>
      <c r="AG152" s="327"/>
      <c r="AH152" s="339">
        <f>SUM(D144:D152)+$C$143</f>
        <v>0</v>
      </c>
      <c r="AI152" s="399" t="b">
        <f t="shared" si="19"/>
        <v>0</v>
      </c>
      <c r="AJ152" s="185">
        <f t="shared" si="20"/>
        <v>74.852239100000006</v>
      </c>
      <c r="AK152" s="330">
        <f t="shared" si="12"/>
        <v>0.96525514282827984</v>
      </c>
      <c r="AL152" s="187">
        <f t="shared" si="21"/>
        <v>186.5249063054722</v>
      </c>
      <c r="AM152" s="185">
        <f t="shared" si="22"/>
        <v>56.785051799999998</v>
      </c>
      <c r="AN152" s="331">
        <f t="shared" si="23"/>
        <v>0.83662142830740083</v>
      </c>
      <c r="AO152" s="189">
        <f t="shared" si="24"/>
        <v>147.93928585928998</v>
      </c>
      <c r="AP152" s="402">
        <f t="shared" si="13"/>
        <v>-177.4715124250676</v>
      </c>
      <c r="AQ152" s="211">
        <f t="shared" si="35"/>
        <v>-120</v>
      </c>
      <c r="AR152" s="402">
        <f t="shared" si="14"/>
        <v>-56.5</v>
      </c>
      <c r="AS152" s="333">
        <f t="shared" si="25"/>
        <v>334.46419216476215</v>
      </c>
      <c r="AT152" s="334">
        <f t="shared" si="36"/>
        <v>-147.93928585928998</v>
      </c>
      <c r="AU152" s="335">
        <f t="shared" si="26"/>
        <v>-29.53222656577762</v>
      </c>
      <c r="AV152" s="334"/>
      <c r="AW152" s="336">
        <f t="shared" si="27"/>
        <v>-61.488787559489992</v>
      </c>
      <c r="AX152" s="336">
        <f t="shared" si="28"/>
        <v>4.9887875594899924</v>
      </c>
      <c r="AY152" s="337">
        <f t="shared" si="15"/>
        <v>-130.10502105379868</v>
      </c>
      <c r="AZ152" s="337">
        <f t="shared" si="29"/>
        <v>881.97782477829446</v>
      </c>
      <c r="BA152" s="340">
        <f t="shared" si="30"/>
        <v>130.10502105379868</v>
      </c>
      <c r="BB152" s="340">
        <f t="shared" si="31"/>
        <v>881.97782477829446</v>
      </c>
      <c r="BC152">
        <f t="shared" si="32"/>
        <v>0</v>
      </c>
      <c r="BG152"/>
    </row>
    <row r="153" spans="1:59" ht="25" customHeight="1" thickBot="1" x14ac:dyDescent="0.35">
      <c r="A153" s="216"/>
      <c r="B153" s="197">
        <v>11</v>
      </c>
      <c r="C153" s="198"/>
      <c r="D153" s="10">
        <v>0</v>
      </c>
      <c r="E153" s="810" t="s">
        <v>121</v>
      </c>
      <c r="F153" s="178"/>
      <c r="G153" s="178">
        <f t="shared" si="37"/>
        <v>0.3</v>
      </c>
      <c r="H153" s="389">
        <v>176.8294247</v>
      </c>
      <c r="I153" s="390">
        <v>66.429896499999998</v>
      </c>
      <c r="J153" s="361">
        <f t="shared" si="16"/>
        <v>66.429896499999998</v>
      </c>
      <c r="K153" s="361">
        <f t="shared" si="17"/>
        <v>33.214948249999999</v>
      </c>
      <c r="L153" s="361">
        <f t="shared" si="4"/>
        <v>0.54778151346749804</v>
      </c>
      <c r="M153" s="361">
        <f t="shared" si="5"/>
        <v>96.863889887752975</v>
      </c>
      <c r="N153" s="361">
        <f t="shared" si="6"/>
        <v>193.72777977550595</v>
      </c>
      <c r="O153" s="361">
        <f>+C143+D144+D145+D146+D147+D148+D149+D150+D151+D152+(D153/2)</f>
        <v>0</v>
      </c>
      <c r="P153" s="361">
        <f t="shared" si="7"/>
        <v>0</v>
      </c>
      <c r="Q153" s="361">
        <f t="shared" si="8"/>
        <v>0</v>
      </c>
      <c r="R153" s="361">
        <f t="shared" si="18"/>
        <v>147.93928579999999</v>
      </c>
      <c r="S153" s="361">
        <f t="shared" si="33"/>
        <v>147.93928579999999</v>
      </c>
      <c r="T153" s="362">
        <f t="shared" si="9"/>
        <v>147.93928579999999</v>
      </c>
      <c r="V153" s="327">
        <f t="shared" si="10"/>
        <v>0</v>
      </c>
      <c r="W153" s="327"/>
      <c r="X153" s="327"/>
      <c r="Y153" s="327"/>
      <c r="Z153" s="327"/>
      <c r="AA153" s="327"/>
      <c r="AB153" s="363" t="str">
        <f t="shared" si="11"/>
        <v>use the ground stack hole</v>
      </c>
      <c r="AC153" s="397" t="b">
        <f>IF(AD153=11,AF153)</f>
        <v>0</v>
      </c>
      <c r="AD153" s="397">
        <f t="shared" si="34"/>
        <v>1</v>
      </c>
      <c r="AE153" s="397">
        <f>IF(V153=0,0,11)</f>
        <v>0</v>
      </c>
      <c r="AF153" s="327">
        <f>SUM(V153:V166)/($B$140-B152)</f>
        <v>0</v>
      </c>
      <c r="AG153" s="327"/>
      <c r="AH153" s="339">
        <f>SUM(D144:D153)+$C$143</f>
        <v>0</v>
      </c>
      <c r="AI153" s="399" t="b">
        <f t="shared" si="19"/>
        <v>0</v>
      </c>
      <c r="AJ153" s="185">
        <f t="shared" si="20"/>
        <v>74.852239100000006</v>
      </c>
      <c r="AK153" s="330">
        <f t="shared" si="12"/>
        <v>0.96525514282827984</v>
      </c>
      <c r="AL153" s="187">
        <f t="shared" si="21"/>
        <v>186.5249063054722</v>
      </c>
      <c r="AM153" s="185">
        <f t="shared" si="22"/>
        <v>56.785051799999998</v>
      </c>
      <c r="AN153" s="331">
        <f t="shared" si="23"/>
        <v>0.83662142830740083</v>
      </c>
      <c r="AO153" s="189">
        <f t="shared" si="24"/>
        <v>147.93928585928998</v>
      </c>
      <c r="AP153" s="402">
        <f t="shared" si="13"/>
        <v>-140.23972660162684</v>
      </c>
      <c r="AQ153" s="211">
        <f t="shared" si="35"/>
        <v>-135</v>
      </c>
      <c r="AR153" s="402">
        <f t="shared" si="14"/>
        <v>-71.5</v>
      </c>
      <c r="AS153" s="333">
        <f t="shared" si="25"/>
        <v>334.46419216476215</v>
      </c>
      <c r="AT153" s="334">
        <f t="shared" si="36"/>
        <v>-147.93928585928998</v>
      </c>
      <c r="AU153" s="335">
        <f t="shared" si="26"/>
        <v>7.6995592576631395</v>
      </c>
      <c r="AV153" s="334"/>
      <c r="AW153" s="336">
        <f t="shared" si="27"/>
        <v>-69.854028623035006</v>
      </c>
      <c r="AX153" s="336">
        <f t="shared" si="28"/>
        <v>-1.6459713769649837</v>
      </c>
      <c r="AY153" s="337">
        <f t="shared" si="15"/>
        <v>-114.52453291093259</v>
      </c>
      <c r="AZ153" s="337">
        <f t="shared" si="29"/>
        <v>-2673.193508451639</v>
      </c>
      <c r="BA153" s="340">
        <f t="shared" si="30"/>
        <v>114.52453291093259</v>
      </c>
      <c r="BB153" s="340">
        <f t="shared" si="31"/>
        <v>2673.193508451639</v>
      </c>
      <c r="BC153">
        <f t="shared" si="32"/>
        <v>0.3</v>
      </c>
      <c r="BG153"/>
    </row>
    <row r="154" spans="1:59" ht="25" customHeight="1" thickBot="1" x14ac:dyDescent="0.35">
      <c r="A154" s="216"/>
      <c r="B154" s="197">
        <v>12</v>
      </c>
      <c r="C154" s="198"/>
      <c r="D154" s="10">
        <v>0</v>
      </c>
      <c r="E154" s="810" t="s">
        <v>121</v>
      </c>
      <c r="F154" s="178"/>
      <c r="G154" s="178">
        <f t="shared" si="37"/>
        <v>0.3</v>
      </c>
      <c r="H154" s="389">
        <v>176.8294247</v>
      </c>
      <c r="I154" s="390">
        <v>66.429896499999998</v>
      </c>
      <c r="J154" s="361">
        <f t="shared" si="16"/>
        <v>66.429896499999998</v>
      </c>
      <c r="K154" s="361">
        <f t="shared" si="17"/>
        <v>33.214948249999999</v>
      </c>
      <c r="L154" s="361">
        <f t="shared" si="4"/>
        <v>0.54778151346749804</v>
      </c>
      <c r="M154" s="361">
        <f t="shared" si="5"/>
        <v>96.863889887752975</v>
      </c>
      <c r="N154" s="361">
        <f t="shared" si="6"/>
        <v>193.72777977550595</v>
      </c>
      <c r="O154" s="361">
        <f>+C143+D144+D145+D146+D147+D148+D149+D150+D151+D152+D153+(D154/2)</f>
        <v>0</v>
      </c>
      <c r="P154" s="361">
        <f t="shared" si="7"/>
        <v>0</v>
      </c>
      <c r="Q154" s="361">
        <f t="shared" si="8"/>
        <v>0</v>
      </c>
      <c r="R154" s="361">
        <f t="shared" si="18"/>
        <v>147.93928579999999</v>
      </c>
      <c r="S154" s="361">
        <f t="shared" si="33"/>
        <v>147.93928579999999</v>
      </c>
      <c r="T154" s="362">
        <f t="shared" si="9"/>
        <v>147.93928579999999</v>
      </c>
      <c r="V154" s="327">
        <f t="shared" si="10"/>
        <v>0</v>
      </c>
      <c r="W154" s="327"/>
      <c r="X154" s="327"/>
      <c r="Y154" s="327"/>
      <c r="Z154" s="327"/>
      <c r="AA154" s="327"/>
      <c r="AB154" s="363" t="str">
        <f t="shared" si="11"/>
        <v>use the ground stack hole</v>
      </c>
      <c r="AC154" s="397" t="b">
        <f>IF(AD154=12,AF154)</f>
        <v>0</v>
      </c>
      <c r="AD154" s="397">
        <f t="shared" si="34"/>
        <v>1</v>
      </c>
      <c r="AE154" s="397">
        <f>IF(V154=0,0,12)</f>
        <v>0</v>
      </c>
      <c r="AF154" s="327">
        <f>SUM(V154:V166)/($B$140-B153)</f>
        <v>0</v>
      </c>
      <c r="AG154" s="327"/>
      <c r="AH154" s="339">
        <f>SUM(D144:D154)+$C$143</f>
        <v>0</v>
      </c>
      <c r="AI154" s="399" t="b">
        <f t="shared" si="19"/>
        <v>0</v>
      </c>
      <c r="AJ154" s="185">
        <f t="shared" si="20"/>
        <v>74.852239100000006</v>
      </c>
      <c r="AK154" s="330">
        <f t="shared" si="12"/>
        <v>0.96525514282827984</v>
      </c>
      <c r="AL154" s="187">
        <f t="shared" si="21"/>
        <v>186.5249063054722</v>
      </c>
      <c r="AM154" s="185">
        <f t="shared" si="22"/>
        <v>56.785051799999998</v>
      </c>
      <c r="AN154" s="331">
        <f t="shared" si="23"/>
        <v>0.83662142830740083</v>
      </c>
      <c r="AO154" s="189">
        <f t="shared" si="24"/>
        <v>147.93928585928998</v>
      </c>
      <c r="AP154" s="402">
        <f t="shared" si="13"/>
        <v>-115.92069886724069</v>
      </c>
      <c r="AQ154" s="211">
        <f t="shared" si="35"/>
        <v>-150</v>
      </c>
      <c r="AR154" s="402">
        <f t="shared" si="14"/>
        <v>-86.5</v>
      </c>
      <c r="AS154" s="333">
        <f t="shared" si="25"/>
        <v>334.46419216476215</v>
      </c>
      <c r="AT154" s="334">
        <f t="shared" si="36"/>
        <v>-147.93928585928998</v>
      </c>
      <c r="AU154" s="335">
        <f t="shared" si="26"/>
        <v>32.018586992049293</v>
      </c>
      <c r="AV154" s="334"/>
      <c r="AW154" s="336">
        <f t="shared" si="27"/>
        <v>-78.219269686580049</v>
      </c>
      <c r="AX154" s="336">
        <f t="shared" si="28"/>
        <v>-8.2807303134199586</v>
      </c>
      <c r="AY154" s="337">
        <f t="shared" si="15"/>
        <v>-102.27658775204017</v>
      </c>
      <c r="AZ154" s="337">
        <f t="shared" si="29"/>
        <v>-531.35409963409268</v>
      </c>
      <c r="BA154" s="340">
        <f t="shared" si="30"/>
        <v>102.27658775204017</v>
      </c>
      <c r="BB154" s="340">
        <f t="shared" si="31"/>
        <v>531.35409963409268</v>
      </c>
      <c r="BC154">
        <f t="shared" si="32"/>
        <v>0.3</v>
      </c>
      <c r="BG154"/>
    </row>
    <row r="155" spans="1:59" ht="25" customHeight="1" thickBot="1" x14ac:dyDescent="0.35">
      <c r="B155" s="197">
        <v>13</v>
      </c>
      <c r="C155" s="198"/>
      <c r="D155" s="10">
        <v>0</v>
      </c>
      <c r="E155" s="810" t="s">
        <v>121</v>
      </c>
      <c r="F155" s="178"/>
      <c r="G155" s="178">
        <f t="shared" si="37"/>
        <v>0.3</v>
      </c>
      <c r="H155" s="389">
        <v>176.8294247</v>
      </c>
      <c r="I155" s="390">
        <v>66.429896499999998</v>
      </c>
      <c r="J155" s="361">
        <f t="shared" si="16"/>
        <v>66.429896499999998</v>
      </c>
      <c r="K155" s="361">
        <f t="shared" si="17"/>
        <v>33.214948249999999</v>
      </c>
      <c r="L155" s="361">
        <f t="shared" si="4"/>
        <v>0.54778151346749804</v>
      </c>
      <c r="M155" s="361">
        <f t="shared" si="5"/>
        <v>96.863889887752975</v>
      </c>
      <c r="N155" s="361">
        <f t="shared" si="6"/>
        <v>193.72777977550595</v>
      </c>
      <c r="O155" s="361">
        <f>+C143+D144+D145+D146+D147+D148+D149+D150+D151+D152+D153+D154+(D155/2)</f>
        <v>0</v>
      </c>
      <c r="P155" s="361">
        <f t="shared" si="7"/>
        <v>0</v>
      </c>
      <c r="Q155" s="361">
        <f t="shared" si="8"/>
        <v>0</v>
      </c>
      <c r="R155" s="361">
        <f t="shared" si="18"/>
        <v>147.93928579999999</v>
      </c>
      <c r="S155" s="361">
        <f t="shared" si="33"/>
        <v>147.93928579999999</v>
      </c>
      <c r="T155" s="362">
        <f t="shared" si="9"/>
        <v>147.93928579999999</v>
      </c>
      <c r="V155" s="327">
        <f t="shared" si="10"/>
        <v>0</v>
      </c>
      <c r="W155" s="327"/>
      <c r="X155" s="327"/>
      <c r="Y155" s="327"/>
      <c r="Z155" s="327"/>
      <c r="AA155" s="327"/>
      <c r="AB155" s="363" t="str">
        <f t="shared" si="11"/>
        <v>use the ground stack hole</v>
      </c>
      <c r="AC155" s="397" t="b">
        <f>IF(AD155=13,AF155)</f>
        <v>0</v>
      </c>
      <c r="AD155" s="397">
        <f t="shared" si="34"/>
        <v>1</v>
      </c>
      <c r="AE155" s="397">
        <f>IF(V155=0,0,13)</f>
        <v>0</v>
      </c>
      <c r="AF155" s="327">
        <f>SUM(V155:V166)/($B$140-B154)</f>
        <v>0</v>
      </c>
      <c r="AG155" s="327"/>
      <c r="AH155" s="339">
        <f>SUM(D144:D155)+$C$143</f>
        <v>0</v>
      </c>
      <c r="AI155" s="399" t="b">
        <f t="shared" si="19"/>
        <v>0</v>
      </c>
      <c r="AJ155" s="185">
        <f t="shared" si="20"/>
        <v>74.852239100000006</v>
      </c>
      <c r="AK155" s="330">
        <f t="shared" si="12"/>
        <v>0.96525514282827984</v>
      </c>
      <c r="AL155" s="187">
        <f t="shared" si="21"/>
        <v>186.5249063054722</v>
      </c>
      <c r="AM155" s="185">
        <f t="shared" si="22"/>
        <v>56.785051799999998</v>
      </c>
      <c r="AN155" s="331">
        <f t="shared" si="23"/>
        <v>0.83662142830740083</v>
      </c>
      <c r="AO155" s="189">
        <f t="shared" si="24"/>
        <v>147.93928585928998</v>
      </c>
      <c r="AP155" s="402">
        <f t="shared" si="13"/>
        <v>-98.78956110360906</v>
      </c>
      <c r="AQ155" s="211">
        <f t="shared" si="35"/>
        <v>-165</v>
      </c>
      <c r="AR155" s="402">
        <f t="shared" si="14"/>
        <v>-101.5</v>
      </c>
      <c r="AS155" s="333">
        <f t="shared" si="25"/>
        <v>334.46419216476215</v>
      </c>
      <c r="AT155" s="334">
        <f t="shared" si="36"/>
        <v>-147.93928585928998</v>
      </c>
      <c r="AU155" s="335">
        <f t="shared" si="26"/>
        <v>49.149724755680921</v>
      </c>
      <c r="AV155" s="334"/>
      <c r="AW155" s="336">
        <f t="shared" si="27"/>
        <v>-86.584510750125048</v>
      </c>
      <c r="AX155" s="336">
        <f t="shared" si="28"/>
        <v>-14.915489249874931</v>
      </c>
      <c r="AY155" s="337">
        <f t="shared" si="15"/>
        <v>-92.395278678507125</v>
      </c>
      <c r="AZ155" s="337">
        <f t="shared" si="29"/>
        <v>-294.99535189815481</v>
      </c>
      <c r="BA155" s="340">
        <f t="shared" si="30"/>
        <v>92.395278678507125</v>
      </c>
      <c r="BB155" s="340">
        <f t="shared" si="31"/>
        <v>294.99535189815481</v>
      </c>
      <c r="BC155">
        <f t="shared" si="32"/>
        <v>0.3</v>
      </c>
      <c r="BG155"/>
    </row>
    <row r="156" spans="1:59" ht="25" customHeight="1" thickBot="1" x14ac:dyDescent="0.35">
      <c r="B156" s="197">
        <v>14</v>
      </c>
      <c r="C156" s="198"/>
      <c r="D156" s="10">
        <v>0</v>
      </c>
      <c r="E156" s="810" t="s">
        <v>121</v>
      </c>
      <c r="F156" s="178"/>
      <c r="G156" s="178">
        <f t="shared" si="37"/>
        <v>0.3</v>
      </c>
      <c r="H156" s="389">
        <v>176.8294247</v>
      </c>
      <c r="I156" s="390">
        <v>66.429896499999998</v>
      </c>
      <c r="J156" s="361">
        <f t="shared" si="16"/>
        <v>66.429896499999998</v>
      </c>
      <c r="K156" s="361">
        <f t="shared" si="17"/>
        <v>33.214948249999999</v>
      </c>
      <c r="L156" s="361">
        <f t="shared" si="4"/>
        <v>0.54778151346749804</v>
      </c>
      <c r="M156" s="361">
        <f t="shared" si="5"/>
        <v>96.863889887752975</v>
      </c>
      <c r="N156" s="361">
        <f t="shared" si="6"/>
        <v>193.72777977550595</v>
      </c>
      <c r="O156" s="361">
        <f>+C143+D144+D145+D146+D147+D148+D149+D150+D151+D152+D153+D154+D155+(D156/2)</f>
        <v>0</v>
      </c>
      <c r="P156" s="361">
        <f t="shared" si="7"/>
        <v>0</v>
      </c>
      <c r="Q156" s="361">
        <f t="shared" si="8"/>
        <v>0</v>
      </c>
      <c r="R156" s="361">
        <f t="shared" si="18"/>
        <v>147.93928579999999</v>
      </c>
      <c r="S156" s="361">
        <f t="shared" si="33"/>
        <v>147.93928579999999</v>
      </c>
      <c r="T156" s="362">
        <f t="shared" si="9"/>
        <v>147.93928579999999</v>
      </c>
      <c r="V156" s="327">
        <f t="shared" si="10"/>
        <v>0</v>
      </c>
      <c r="W156" s="327"/>
      <c r="X156" s="327"/>
      <c r="Y156" s="327"/>
      <c r="Z156" s="327"/>
      <c r="AA156" s="327"/>
      <c r="AB156" s="363" t="str">
        <f t="shared" si="11"/>
        <v>use the ground stack hole</v>
      </c>
      <c r="AC156" s="397" t="b">
        <f>IF(AD156=14,AF156)</f>
        <v>0</v>
      </c>
      <c r="AD156" s="397">
        <f t="shared" si="34"/>
        <v>1</v>
      </c>
      <c r="AE156" s="397">
        <f>IF(V156=0,0,14)</f>
        <v>0</v>
      </c>
      <c r="AF156" s="327">
        <f>SUM(V156:V166)/($B$140-B155)</f>
        <v>0</v>
      </c>
      <c r="AG156" s="327"/>
      <c r="AH156" s="339">
        <f>SUM(D144:D156)+$C$143</f>
        <v>0</v>
      </c>
      <c r="AI156" s="399" t="b">
        <f t="shared" si="19"/>
        <v>0</v>
      </c>
      <c r="AJ156" s="185">
        <f t="shared" si="20"/>
        <v>74.852239100000006</v>
      </c>
      <c r="AK156" s="330">
        <f t="shared" si="12"/>
        <v>0.96525514282827984</v>
      </c>
      <c r="AL156" s="187">
        <f t="shared" si="21"/>
        <v>186.5249063054722</v>
      </c>
      <c r="AM156" s="185">
        <f t="shared" si="22"/>
        <v>56.785051799999998</v>
      </c>
      <c r="AN156" s="331">
        <f t="shared" si="23"/>
        <v>0.83662142830740083</v>
      </c>
      <c r="AO156" s="189">
        <f t="shared" si="24"/>
        <v>147.93928585928998</v>
      </c>
      <c r="AP156" s="402">
        <f t="shared" si="13"/>
        <v>-86.069875124603598</v>
      </c>
      <c r="AQ156" s="211">
        <f t="shared" si="35"/>
        <v>-180</v>
      </c>
      <c r="AR156" s="402">
        <f t="shared" si="14"/>
        <v>-116.5</v>
      </c>
      <c r="AS156" s="333">
        <f t="shared" si="25"/>
        <v>334.46419216476215</v>
      </c>
      <c r="AT156" s="334">
        <f t="shared" si="36"/>
        <v>-147.93928585928998</v>
      </c>
      <c r="AU156" s="335">
        <f t="shared" si="26"/>
        <v>61.869410734686383</v>
      </c>
      <c r="AV156" s="334"/>
      <c r="AW156" s="336">
        <f t="shared" si="27"/>
        <v>-94.94975181367009</v>
      </c>
      <c r="AX156" s="336">
        <f t="shared" si="28"/>
        <v>-21.55024818632991</v>
      </c>
      <c r="AY156" s="337">
        <f t="shared" si="15"/>
        <v>-84.255091216028063</v>
      </c>
      <c r="AZ156" s="337">
        <f t="shared" si="29"/>
        <v>-204.17398268253248</v>
      </c>
      <c r="BA156" s="340">
        <f t="shared" si="30"/>
        <v>84.255091216028063</v>
      </c>
      <c r="BB156" s="340">
        <f t="shared" si="31"/>
        <v>204.17398268253248</v>
      </c>
      <c r="BC156">
        <f t="shared" si="32"/>
        <v>0.3</v>
      </c>
      <c r="BG156"/>
    </row>
    <row r="157" spans="1:59" ht="25" customHeight="1" thickBot="1" x14ac:dyDescent="0.35">
      <c r="B157" s="197">
        <v>15</v>
      </c>
      <c r="C157" s="198"/>
      <c r="D157" s="10">
        <v>0</v>
      </c>
      <c r="E157" s="810" t="s">
        <v>121</v>
      </c>
      <c r="F157" s="178"/>
      <c r="G157" s="178">
        <f t="shared" si="37"/>
        <v>0.3</v>
      </c>
      <c r="H157" s="389">
        <v>176.8294247</v>
      </c>
      <c r="I157" s="390">
        <v>66.429896499999998</v>
      </c>
      <c r="J157" s="361">
        <f t="shared" si="16"/>
        <v>66.429896499999998</v>
      </c>
      <c r="K157" s="361">
        <f t="shared" si="17"/>
        <v>33.214948249999999</v>
      </c>
      <c r="L157" s="361">
        <f t="shared" si="4"/>
        <v>0.54778151346749804</v>
      </c>
      <c r="M157" s="361">
        <f t="shared" si="5"/>
        <v>96.863889887752975</v>
      </c>
      <c r="N157" s="361">
        <f t="shared" si="6"/>
        <v>193.72777977550595</v>
      </c>
      <c r="O157" s="361">
        <f>+C143+D144+D145+D146+D147+D148+D149+D150+D151+D152+D153+D154+D155+D156+(D157/2)</f>
        <v>0</v>
      </c>
      <c r="P157" s="361">
        <f t="shared" si="7"/>
        <v>0</v>
      </c>
      <c r="Q157" s="361">
        <f t="shared" si="8"/>
        <v>0</v>
      </c>
      <c r="R157" s="361">
        <f t="shared" si="18"/>
        <v>147.93928579999999</v>
      </c>
      <c r="S157" s="361">
        <f t="shared" si="33"/>
        <v>147.93928579999999</v>
      </c>
      <c r="T157" s="362">
        <f t="shared" si="9"/>
        <v>147.93928579999999</v>
      </c>
      <c r="V157" s="327">
        <f t="shared" si="10"/>
        <v>0</v>
      </c>
      <c r="W157" s="327"/>
      <c r="X157" s="327"/>
      <c r="Y157" s="327"/>
      <c r="Z157" s="327"/>
      <c r="AA157" s="327"/>
      <c r="AB157" s="363" t="str">
        <f t="shared" si="11"/>
        <v>use the ground stack hole</v>
      </c>
      <c r="AC157" s="397" t="b">
        <f>IF(AD157=15,AF157)</f>
        <v>0</v>
      </c>
      <c r="AD157" s="397">
        <f t="shared" si="34"/>
        <v>1</v>
      </c>
      <c r="AE157" s="397">
        <f>IF(V157=0,0,15)</f>
        <v>0</v>
      </c>
      <c r="AF157" s="327">
        <f>SUM(V157:V166)/($B$140-B156)</f>
        <v>0</v>
      </c>
      <c r="AG157" s="327"/>
      <c r="AH157" s="339">
        <f>SUM(D144:D157)+$C$143</f>
        <v>0</v>
      </c>
      <c r="AI157" s="399" t="b">
        <f t="shared" si="19"/>
        <v>0</v>
      </c>
      <c r="AJ157" s="185">
        <f t="shared" si="20"/>
        <v>74.852239100000006</v>
      </c>
      <c r="AK157" s="330">
        <f t="shared" si="12"/>
        <v>0.96525514282827984</v>
      </c>
      <c r="AL157" s="187">
        <f t="shared" si="21"/>
        <v>186.5249063054722</v>
      </c>
      <c r="AM157" s="185">
        <f t="shared" si="22"/>
        <v>56.785051799999998</v>
      </c>
      <c r="AN157" s="331">
        <f t="shared" si="23"/>
        <v>0.83662142830740083</v>
      </c>
      <c r="AO157" s="189">
        <f t="shared" si="24"/>
        <v>147.93928585928998</v>
      </c>
      <c r="AP157" s="402">
        <f t="shared" si="13"/>
        <v>-76.252018646511942</v>
      </c>
      <c r="AQ157" s="211">
        <f t="shared" si="35"/>
        <v>-195</v>
      </c>
      <c r="AR157" s="402">
        <f t="shared" si="14"/>
        <v>-131.5</v>
      </c>
      <c r="AS157" s="333">
        <f t="shared" si="25"/>
        <v>334.46419216476215</v>
      </c>
      <c r="AT157" s="334">
        <f t="shared" si="36"/>
        <v>-147.93928585928998</v>
      </c>
      <c r="AU157" s="335">
        <f t="shared" si="26"/>
        <v>71.687267212778039</v>
      </c>
      <c r="AV157" s="334"/>
      <c r="AW157" s="336">
        <f t="shared" si="27"/>
        <v>-103.31499287721513</v>
      </c>
      <c r="AX157" s="336">
        <f t="shared" si="28"/>
        <v>-28.185007122784878</v>
      </c>
      <c r="AY157" s="337">
        <f t="shared" si="15"/>
        <v>-77.433098306531491</v>
      </c>
      <c r="AZ157" s="337">
        <f t="shared" si="29"/>
        <v>-156.11136732490024</v>
      </c>
      <c r="BA157" s="340">
        <f t="shared" si="30"/>
        <v>77.433098306531491</v>
      </c>
      <c r="BB157" s="340">
        <f t="shared" si="31"/>
        <v>156.11136732490024</v>
      </c>
      <c r="BC157">
        <f t="shared" si="32"/>
        <v>0.3</v>
      </c>
      <c r="BG157"/>
    </row>
    <row r="158" spans="1:59" ht="25" customHeight="1" thickBot="1" x14ac:dyDescent="0.35">
      <c r="B158" s="197">
        <v>16</v>
      </c>
      <c r="C158" s="198"/>
      <c r="D158" s="10">
        <v>0</v>
      </c>
      <c r="E158" s="810" t="s">
        <v>121</v>
      </c>
      <c r="F158" s="178"/>
      <c r="G158" s="178">
        <f t="shared" si="37"/>
        <v>0.3</v>
      </c>
      <c r="H158" s="389">
        <v>176.8294247</v>
      </c>
      <c r="I158" s="390">
        <v>66.429896499999998</v>
      </c>
      <c r="J158" s="361">
        <f t="shared" si="16"/>
        <v>66.429896499999998</v>
      </c>
      <c r="K158" s="361">
        <f t="shared" si="17"/>
        <v>33.214948249999999</v>
      </c>
      <c r="L158" s="361">
        <f t="shared" si="4"/>
        <v>0.54778151346749804</v>
      </c>
      <c r="M158" s="361">
        <f t="shared" si="5"/>
        <v>96.863889887752975</v>
      </c>
      <c r="N158" s="361">
        <f t="shared" si="6"/>
        <v>193.72777977550595</v>
      </c>
      <c r="O158" s="361">
        <f>+C143+D144+D145+D146+D147+D148+D149+D150+D151+D152+D153+D154+D155+D156+D157+(D158/2)</f>
        <v>0</v>
      </c>
      <c r="P158" s="361">
        <f t="shared" si="7"/>
        <v>0</v>
      </c>
      <c r="Q158" s="361">
        <f t="shared" si="8"/>
        <v>0</v>
      </c>
      <c r="R158" s="361">
        <f t="shared" si="18"/>
        <v>147.93928579999999</v>
      </c>
      <c r="S158" s="361">
        <f t="shared" si="33"/>
        <v>147.93928579999999</v>
      </c>
      <c r="T158" s="362">
        <f t="shared" si="9"/>
        <v>147.93928579999999</v>
      </c>
      <c r="V158" s="327">
        <f t="shared" si="10"/>
        <v>0</v>
      </c>
      <c r="W158" s="327"/>
      <c r="X158" s="327"/>
      <c r="Y158" s="327"/>
      <c r="Z158" s="327"/>
      <c r="AA158" s="327"/>
      <c r="AB158" s="363" t="str">
        <f t="shared" si="11"/>
        <v>use the ground stack hole</v>
      </c>
      <c r="AC158" s="397" t="b">
        <f>IF(AD158=16,AF158)</f>
        <v>0</v>
      </c>
      <c r="AD158" s="397">
        <f t="shared" si="34"/>
        <v>1</v>
      </c>
      <c r="AE158" s="397">
        <f>IF(V158=0,0,16)</f>
        <v>0</v>
      </c>
      <c r="AF158" s="327">
        <f>SUM(V158:V166)/($B$140-B157)</f>
        <v>0</v>
      </c>
      <c r="AG158" s="327"/>
      <c r="AH158" s="339">
        <f>SUM(D144:D158)+$C$143</f>
        <v>0</v>
      </c>
      <c r="AI158" s="399" t="b">
        <f t="shared" si="19"/>
        <v>0</v>
      </c>
      <c r="AJ158" s="185">
        <f t="shared" si="20"/>
        <v>74.852239100000006</v>
      </c>
      <c r="AK158" s="330">
        <f t="shared" si="12"/>
        <v>0.96525514282827984</v>
      </c>
      <c r="AL158" s="187">
        <f t="shared" si="21"/>
        <v>186.5249063054722</v>
      </c>
      <c r="AM158" s="185">
        <f t="shared" si="22"/>
        <v>56.785051799999998</v>
      </c>
      <c r="AN158" s="331">
        <f t="shared" si="23"/>
        <v>0.83662142830740083</v>
      </c>
      <c r="AO158" s="189">
        <f t="shared" si="24"/>
        <v>147.93928585928998</v>
      </c>
      <c r="AP158" s="402">
        <f t="shared" si="13"/>
        <v>-68.444644723660886</v>
      </c>
      <c r="AQ158" s="211">
        <f t="shared" si="35"/>
        <v>-210</v>
      </c>
      <c r="AR158" s="402">
        <f t="shared" si="14"/>
        <v>-146.5</v>
      </c>
      <c r="AS158" s="333">
        <f t="shared" si="25"/>
        <v>334.46419216476215</v>
      </c>
      <c r="AT158" s="334">
        <f t="shared" si="36"/>
        <v>-147.93928585928998</v>
      </c>
      <c r="AU158" s="335">
        <f t="shared" si="26"/>
        <v>79.494641135629095</v>
      </c>
      <c r="AV158" s="334"/>
      <c r="AW158" s="336">
        <f t="shared" si="27"/>
        <v>-111.68023394076015</v>
      </c>
      <c r="AX158" s="336">
        <f t="shared" si="28"/>
        <v>-34.819766059239853</v>
      </c>
      <c r="AY158" s="337">
        <f t="shared" si="15"/>
        <v>-71.63308776952897</v>
      </c>
      <c r="AZ158" s="337">
        <f t="shared" si="29"/>
        <v>-126.36500752228362</v>
      </c>
      <c r="BA158" s="340">
        <f t="shared" si="30"/>
        <v>71.63308776952897</v>
      </c>
      <c r="BB158" s="340">
        <f t="shared" si="31"/>
        <v>126.36500752228362</v>
      </c>
      <c r="BC158">
        <f t="shared" si="32"/>
        <v>0.3</v>
      </c>
      <c r="BG158"/>
    </row>
    <row r="159" spans="1:59" ht="25" customHeight="1" thickBot="1" x14ac:dyDescent="0.35">
      <c r="B159" s="197">
        <v>17</v>
      </c>
      <c r="C159" s="198"/>
      <c r="D159" s="10">
        <v>0</v>
      </c>
      <c r="E159" s="810" t="s">
        <v>121</v>
      </c>
      <c r="F159" s="178"/>
      <c r="G159" s="178">
        <f t="shared" si="37"/>
        <v>0.3</v>
      </c>
      <c r="H159" s="389">
        <v>176.8294247</v>
      </c>
      <c r="I159" s="390">
        <v>66.429896499999998</v>
      </c>
      <c r="J159" s="361">
        <f t="shared" si="16"/>
        <v>66.429896499999998</v>
      </c>
      <c r="K159" s="361">
        <f t="shared" si="17"/>
        <v>33.214948249999999</v>
      </c>
      <c r="L159" s="361">
        <f t="shared" si="4"/>
        <v>0.54778151346749804</v>
      </c>
      <c r="M159" s="361">
        <f t="shared" si="5"/>
        <v>96.863889887752975</v>
      </c>
      <c r="N159" s="361">
        <f t="shared" si="6"/>
        <v>193.72777977550595</v>
      </c>
      <c r="O159" s="361">
        <f>+C143+D144+D145+D146+D147+D148+D149+D150+D151+D152+D153+D154+D155+D156+D157+D158+(D159/2)</f>
        <v>0</v>
      </c>
      <c r="P159" s="361">
        <f t="shared" si="7"/>
        <v>0</v>
      </c>
      <c r="Q159" s="361">
        <f t="shared" si="8"/>
        <v>0</v>
      </c>
      <c r="R159" s="361">
        <f t="shared" si="18"/>
        <v>147.93928579999999</v>
      </c>
      <c r="S159" s="361">
        <f t="shared" si="33"/>
        <v>147.93928579999999</v>
      </c>
      <c r="T159" s="362">
        <f t="shared" si="9"/>
        <v>147.93928579999999</v>
      </c>
      <c r="V159" s="327">
        <f t="shared" si="10"/>
        <v>0</v>
      </c>
      <c r="W159" s="327"/>
      <c r="X159" s="327"/>
      <c r="Y159" s="327"/>
      <c r="Z159" s="327"/>
      <c r="AA159" s="327"/>
      <c r="AB159" s="363" t="str">
        <f t="shared" si="11"/>
        <v>use the ground stack hole</v>
      </c>
      <c r="AC159" s="397" t="b">
        <f>IF(AD159=17,AF159)</f>
        <v>0</v>
      </c>
      <c r="AD159" s="397">
        <f t="shared" si="34"/>
        <v>1</v>
      </c>
      <c r="AE159" s="397">
        <f>IF(V159=0,0,17)</f>
        <v>0</v>
      </c>
      <c r="AF159" s="327">
        <f>SUM(V159:V166)/($B$140-B158)</f>
        <v>0</v>
      </c>
      <c r="AG159" s="327"/>
      <c r="AH159" s="339">
        <f>SUM(D144:D159)+$C$143</f>
        <v>0</v>
      </c>
      <c r="AI159" s="399" t="b">
        <f t="shared" si="19"/>
        <v>0</v>
      </c>
      <c r="AJ159" s="185">
        <f t="shared" si="20"/>
        <v>74.852239100000006</v>
      </c>
      <c r="AK159" s="330">
        <f t="shared" si="12"/>
        <v>0.96525514282827984</v>
      </c>
      <c r="AL159" s="187">
        <f t="shared" si="21"/>
        <v>186.5249063054722</v>
      </c>
      <c r="AM159" s="185">
        <f t="shared" si="22"/>
        <v>56.785051799999998</v>
      </c>
      <c r="AN159" s="331">
        <f t="shared" si="23"/>
        <v>0.83662142830740083</v>
      </c>
      <c r="AO159" s="189">
        <f t="shared" si="24"/>
        <v>147.93928585928998</v>
      </c>
      <c r="AP159" s="402">
        <f t="shared" si="13"/>
        <v>-62.087556978429227</v>
      </c>
      <c r="AQ159" s="211">
        <f t="shared" si="35"/>
        <v>-225</v>
      </c>
      <c r="AR159" s="402">
        <f t="shared" si="14"/>
        <v>-161.5</v>
      </c>
      <c r="AS159" s="333">
        <f t="shared" si="25"/>
        <v>334.46419216476215</v>
      </c>
      <c r="AT159" s="334">
        <f t="shared" si="36"/>
        <v>-147.93928585928998</v>
      </c>
      <c r="AU159" s="335">
        <f t="shared" si="26"/>
        <v>85.851728880860747</v>
      </c>
      <c r="AV159" s="334"/>
      <c r="AW159" s="336">
        <f t="shared" si="27"/>
        <v>-120.04547500430517</v>
      </c>
      <c r="AX159" s="336">
        <f t="shared" si="28"/>
        <v>-41.454524995694825</v>
      </c>
      <c r="AY159" s="337">
        <f t="shared" si="15"/>
        <v>-66.641412345722301</v>
      </c>
      <c r="AZ159" s="337">
        <f t="shared" si="29"/>
        <v>-106.14040326012547</v>
      </c>
      <c r="BA159" s="340">
        <f t="shared" si="30"/>
        <v>66.641412345722301</v>
      </c>
      <c r="BB159" s="340">
        <f t="shared" si="31"/>
        <v>106.14040326012547</v>
      </c>
      <c r="BC159">
        <f t="shared" si="32"/>
        <v>0.3</v>
      </c>
      <c r="BD159" s="81"/>
      <c r="BG159"/>
    </row>
    <row r="160" spans="1:59" ht="25" customHeight="1" thickBot="1" x14ac:dyDescent="0.35">
      <c r="B160" s="197">
        <v>18</v>
      </c>
      <c r="C160" s="198"/>
      <c r="D160" s="10">
        <v>0</v>
      </c>
      <c r="E160" s="810" t="s">
        <v>121</v>
      </c>
      <c r="F160" s="178"/>
      <c r="G160" s="178">
        <f t="shared" si="37"/>
        <v>0.3</v>
      </c>
      <c r="H160" s="389">
        <v>176.8294247</v>
      </c>
      <c r="I160" s="390">
        <v>66.429896499999998</v>
      </c>
      <c r="J160" s="361">
        <f t="shared" si="16"/>
        <v>66.429896499999998</v>
      </c>
      <c r="K160" s="361">
        <f t="shared" si="17"/>
        <v>33.214948249999999</v>
      </c>
      <c r="L160" s="361">
        <f t="shared" si="4"/>
        <v>0.54778151346749804</v>
      </c>
      <c r="M160" s="361">
        <f t="shared" si="5"/>
        <v>96.863889887752975</v>
      </c>
      <c r="N160" s="361">
        <f t="shared" si="6"/>
        <v>193.72777977550595</v>
      </c>
      <c r="O160" s="361">
        <f>+C143+D144+D145+D146+D147+D148+D149+D150+D151+D152+D153+D154+D155+D156+D157+D158+D159+(D160/2)</f>
        <v>0</v>
      </c>
      <c r="P160" s="361">
        <f t="shared" si="7"/>
        <v>0</v>
      </c>
      <c r="Q160" s="361">
        <f t="shared" si="8"/>
        <v>0</v>
      </c>
      <c r="R160" s="361">
        <f t="shared" si="18"/>
        <v>147.93928579999999</v>
      </c>
      <c r="S160" s="361">
        <f t="shared" si="33"/>
        <v>147.93928579999999</v>
      </c>
      <c r="T160" s="362">
        <f t="shared" si="9"/>
        <v>147.93928579999999</v>
      </c>
      <c r="V160" s="327">
        <f t="shared" si="10"/>
        <v>0</v>
      </c>
      <c r="W160" s="327"/>
      <c r="X160" s="327"/>
      <c r="Y160" s="327"/>
      <c r="Z160" s="327"/>
      <c r="AA160" s="327"/>
      <c r="AB160" s="363" t="str">
        <f t="shared" si="11"/>
        <v>use the ground stack hole</v>
      </c>
      <c r="AC160" s="397" t="b">
        <f>IF(AD160=18,AF160)</f>
        <v>0</v>
      </c>
      <c r="AD160" s="397">
        <f t="shared" si="34"/>
        <v>1</v>
      </c>
      <c r="AE160" s="397">
        <f>IF(V160=0,0,18)</f>
        <v>0</v>
      </c>
      <c r="AF160" s="327">
        <f>SUM(V160:V166)/($B$140-B159)</f>
        <v>0</v>
      </c>
      <c r="AG160" s="327"/>
      <c r="AH160" s="339">
        <f>SUM(D144:D160)+$C$143</f>
        <v>0</v>
      </c>
      <c r="AI160" s="399" t="b">
        <f t="shared" si="19"/>
        <v>0</v>
      </c>
      <c r="AJ160" s="185">
        <f t="shared" si="20"/>
        <v>74.852239100000006</v>
      </c>
      <c r="AK160" s="330">
        <f t="shared" si="12"/>
        <v>0.96525514282827984</v>
      </c>
      <c r="AL160" s="187">
        <f t="shared" si="21"/>
        <v>186.5249063054722</v>
      </c>
      <c r="AM160" s="185">
        <f t="shared" si="22"/>
        <v>56.785051799999998</v>
      </c>
      <c r="AN160" s="331">
        <f t="shared" si="23"/>
        <v>0.83662142830740083</v>
      </c>
      <c r="AO160" s="189">
        <f t="shared" si="24"/>
        <v>147.93928585928998</v>
      </c>
      <c r="AP160" s="402">
        <f t="shared" si="13"/>
        <v>-56.810994062415411</v>
      </c>
      <c r="AQ160" s="211">
        <f t="shared" si="35"/>
        <v>-240</v>
      </c>
      <c r="AR160" s="402">
        <f t="shared" si="14"/>
        <v>-176.5</v>
      </c>
      <c r="AS160" s="333">
        <f t="shared" si="25"/>
        <v>334.46419216476215</v>
      </c>
      <c r="AT160" s="334">
        <f t="shared" si="36"/>
        <v>-147.93928585928998</v>
      </c>
      <c r="AU160" s="335">
        <f t="shared" si="26"/>
        <v>91.128291796874578</v>
      </c>
      <c r="AV160" s="334"/>
      <c r="AW160" s="336">
        <f t="shared" si="27"/>
        <v>-128.41071606785019</v>
      </c>
      <c r="AX160" s="336">
        <f t="shared" si="28"/>
        <v>-48.089283932149804</v>
      </c>
      <c r="AY160" s="337">
        <f t="shared" si="15"/>
        <v>-62.300096479276128</v>
      </c>
      <c r="AZ160" s="337">
        <f t="shared" si="29"/>
        <v>-91.49647572644362</v>
      </c>
      <c r="BA160" s="340">
        <f t="shared" si="30"/>
        <v>62.300096479276128</v>
      </c>
      <c r="BB160" s="340">
        <f t="shared" si="31"/>
        <v>91.49647572644362</v>
      </c>
      <c r="BC160">
        <f t="shared" si="32"/>
        <v>0.3</v>
      </c>
      <c r="BD160" s="347"/>
      <c r="BG160"/>
    </row>
    <row r="161" spans="2:105" ht="25" customHeight="1" thickBot="1" x14ac:dyDescent="0.5">
      <c r="B161" s="197">
        <v>19</v>
      </c>
      <c r="C161" s="198"/>
      <c r="D161" s="10">
        <v>0</v>
      </c>
      <c r="E161" s="810" t="s">
        <v>121</v>
      </c>
      <c r="F161" s="178"/>
      <c r="G161" s="178">
        <f t="shared" si="37"/>
        <v>0.3</v>
      </c>
      <c r="H161" s="389">
        <v>176.8294247</v>
      </c>
      <c r="I161" s="390">
        <v>66.429896499999998</v>
      </c>
      <c r="J161" s="361">
        <f t="shared" si="16"/>
        <v>66.429896499999998</v>
      </c>
      <c r="K161" s="361">
        <f t="shared" si="17"/>
        <v>33.214948249999999</v>
      </c>
      <c r="L161" s="361">
        <f t="shared" si="4"/>
        <v>0.54778151346749804</v>
      </c>
      <c r="M161" s="361">
        <f t="shared" si="5"/>
        <v>96.863889887752975</v>
      </c>
      <c r="N161" s="361">
        <f t="shared" si="6"/>
        <v>193.72777977550595</v>
      </c>
      <c r="O161" s="361">
        <f>+C143+D144+D145+D146+D147+D148+D149+D150+D151+D152+D153+D154+D155+D156+D157+D158+D159+D160+(D161/2)</f>
        <v>0</v>
      </c>
      <c r="P161" s="361">
        <f t="shared" si="7"/>
        <v>0</v>
      </c>
      <c r="Q161" s="361">
        <f t="shared" si="8"/>
        <v>0</v>
      </c>
      <c r="R161" s="361">
        <f t="shared" si="18"/>
        <v>147.93928579999999</v>
      </c>
      <c r="S161" s="361">
        <f t="shared" si="33"/>
        <v>147.93928579999999</v>
      </c>
      <c r="T161" s="362">
        <f t="shared" si="9"/>
        <v>147.93928579999999</v>
      </c>
      <c r="V161" s="327">
        <f t="shared" si="10"/>
        <v>0</v>
      </c>
      <c r="W161" s="327"/>
      <c r="X161" s="327"/>
      <c r="Y161" s="327"/>
      <c r="Z161" s="327"/>
      <c r="AA161" s="327"/>
      <c r="AB161" s="363" t="str">
        <f t="shared" si="11"/>
        <v>use the ground stack hole</v>
      </c>
      <c r="AC161" s="397" t="b">
        <f>IF(AD161=19,AF161)</f>
        <v>0</v>
      </c>
      <c r="AD161" s="397">
        <f t="shared" si="34"/>
        <v>1</v>
      </c>
      <c r="AE161" s="397">
        <f>IF(V161=0,0,19)</f>
        <v>0</v>
      </c>
      <c r="AF161" s="327">
        <f>SUM(V161:V166)/($B$140-B160)</f>
        <v>0</v>
      </c>
      <c r="AG161" s="327"/>
      <c r="AH161" s="339">
        <f>SUM(D144:D161)+$C$143</f>
        <v>0</v>
      </c>
      <c r="AI161" s="399" t="b">
        <f t="shared" si="19"/>
        <v>0</v>
      </c>
      <c r="AJ161" s="185">
        <f t="shared" si="20"/>
        <v>74.852239100000006</v>
      </c>
      <c r="AK161" s="330">
        <f t="shared" si="12"/>
        <v>0.96525514282827984</v>
      </c>
      <c r="AL161" s="187">
        <f t="shared" si="21"/>
        <v>186.5249063054722</v>
      </c>
      <c r="AM161" s="185">
        <f t="shared" si="22"/>
        <v>56.785051799999998</v>
      </c>
      <c r="AN161" s="331">
        <f t="shared" si="23"/>
        <v>0.83662142830740083</v>
      </c>
      <c r="AO161" s="189">
        <f t="shared" si="24"/>
        <v>147.93928585928998</v>
      </c>
      <c r="AP161" s="402">
        <f t="shared" si="13"/>
        <v>-52.361046746821515</v>
      </c>
      <c r="AQ161" s="211">
        <f t="shared" si="35"/>
        <v>-255</v>
      </c>
      <c r="AR161" s="402">
        <f t="shared" si="14"/>
        <v>-191.5</v>
      </c>
      <c r="AS161" s="333">
        <f t="shared" si="25"/>
        <v>334.46419216476215</v>
      </c>
      <c r="AT161" s="334">
        <f t="shared" si="36"/>
        <v>-147.93928585928998</v>
      </c>
      <c r="AU161" s="335">
        <f t="shared" si="26"/>
        <v>95.578239112468466</v>
      </c>
      <c r="AV161" s="334"/>
      <c r="AW161" s="336">
        <f t="shared" si="27"/>
        <v>-136.77595713139524</v>
      </c>
      <c r="AX161" s="336">
        <f t="shared" si="28"/>
        <v>-54.724042868604776</v>
      </c>
      <c r="AY161" s="337">
        <f t="shared" si="15"/>
        <v>-58.489811863021487</v>
      </c>
      <c r="AZ161" s="337">
        <f t="shared" si="29"/>
        <v>-80.403416292992546</v>
      </c>
      <c r="BA161" s="340">
        <f t="shared" si="30"/>
        <v>58.489811863021487</v>
      </c>
      <c r="BB161" s="340">
        <f t="shared" si="31"/>
        <v>80.403416292992546</v>
      </c>
      <c r="BC161">
        <f t="shared" si="32"/>
        <v>0.3</v>
      </c>
      <c r="BD161" s="86"/>
      <c r="BG161" s="669"/>
      <c r="BH161" s="135"/>
      <c r="BI161" s="135"/>
    </row>
    <row r="162" spans="2:105" ht="25" customHeight="1" thickBot="1" x14ac:dyDescent="0.5">
      <c r="B162" s="197">
        <v>20</v>
      </c>
      <c r="C162" s="198"/>
      <c r="D162" s="10">
        <v>0</v>
      </c>
      <c r="E162" s="810" t="s">
        <v>121</v>
      </c>
      <c r="F162" s="178"/>
      <c r="G162" s="178">
        <f t="shared" si="37"/>
        <v>0.3</v>
      </c>
      <c r="H162" s="389">
        <v>176.8294247</v>
      </c>
      <c r="I162" s="390">
        <v>66.429896499999998</v>
      </c>
      <c r="J162" s="361">
        <f t="shared" si="16"/>
        <v>66.429896499999998</v>
      </c>
      <c r="K162" s="361">
        <f t="shared" si="17"/>
        <v>33.214948249999999</v>
      </c>
      <c r="L162" s="361">
        <f t="shared" si="4"/>
        <v>0.54778151346749804</v>
      </c>
      <c r="M162" s="361">
        <f t="shared" si="5"/>
        <v>96.863889887752975</v>
      </c>
      <c r="N162" s="361">
        <f t="shared" si="6"/>
        <v>193.72777977550595</v>
      </c>
      <c r="O162" s="361">
        <f>+C143+D144+D145+D146+D147+D148+D149+D150+D151+D152+D153+D154+D155+D156+D157+D158+D159+D160+D161+(D162/2)</f>
        <v>0</v>
      </c>
      <c r="P162" s="361">
        <f t="shared" si="7"/>
        <v>0</v>
      </c>
      <c r="Q162" s="361">
        <f t="shared" si="8"/>
        <v>0</v>
      </c>
      <c r="R162" s="361">
        <f t="shared" si="18"/>
        <v>147.93928579999999</v>
      </c>
      <c r="S162" s="361">
        <f t="shared" si="33"/>
        <v>147.93928579999999</v>
      </c>
      <c r="T162" s="362">
        <f t="shared" si="9"/>
        <v>147.93928579999999</v>
      </c>
      <c r="V162" s="327">
        <f t="shared" si="10"/>
        <v>0</v>
      </c>
      <c r="W162" s="327"/>
      <c r="X162" s="327"/>
      <c r="Y162" s="327"/>
      <c r="Z162" s="327"/>
      <c r="AA162" s="327"/>
      <c r="AB162" s="363" t="str">
        <f t="shared" si="11"/>
        <v>use the ground stack hole</v>
      </c>
      <c r="AC162" s="397" t="b">
        <f>IF(AD162=20,AF162)</f>
        <v>0</v>
      </c>
      <c r="AD162" s="397">
        <f t="shared" si="34"/>
        <v>1</v>
      </c>
      <c r="AE162" s="397">
        <f>IF(V162=0,0,20)</f>
        <v>0</v>
      </c>
      <c r="AF162" s="327">
        <f>SUM(V162:V166)/($B$140-B161)</f>
        <v>0</v>
      </c>
      <c r="AG162" s="327"/>
      <c r="AH162" s="339">
        <f>SUM(D144:D162)+$C$143</f>
        <v>0</v>
      </c>
      <c r="AI162" s="399" t="b">
        <f t="shared" si="19"/>
        <v>0</v>
      </c>
      <c r="AJ162" s="185">
        <f t="shared" si="20"/>
        <v>74.852239100000006</v>
      </c>
      <c r="AK162" s="330">
        <f t="shared" si="12"/>
        <v>0.96525514282827984</v>
      </c>
      <c r="AL162" s="187">
        <f t="shared" si="21"/>
        <v>186.5249063054722</v>
      </c>
      <c r="AM162" s="185">
        <f t="shared" si="22"/>
        <v>56.785051799999998</v>
      </c>
      <c r="AN162" s="331">
        <f t="shared" si="23"/>
        <v>0.83662142830740083</v>
      </c>
      <c r="AO162" s="189">
        <f t="shared" si="24"/>
        <v>147.93928585928998</v>
      </c>
      <c r="AP162" s="402">
        <f t="shared" si="13"/>
        <v>-48.557580881434959</v>
      </c>
      <c r="AQ162" s="211">
        <f t="shared" si="35"/>
        <v>-270</v>
      </c>
      <c r="AR162" s="402">
        <f t="shared" si="14"/>
        <v>-206.5</v>
      </c>
      <c r="AS162" s="333">
        <f t="shared" si="25"/>
        <v>334.46419216476215</v>
      </c>
      <c r="AT162" s="334">
        <f t="shared" si="36"/>
        <v>-147.93928585928998</v>
      </c>
      <c r="AU162" s="335">
        <f t="shared" si="26"/>
        <v>99.381704977855023</v>
      </c>
      <c r="AV162" s="334"/>
      <c r="AW162" s="336">
        <f t="shared" si="27"/>
        <v>-145.14119819494027</v>
      </c>
      <c r="AX162" s="336">
        <f t="shared" si="28"/>
        <v>-61.358801805059763</v>
      </c>
      <c r="AY162" s="337">
        <f t="shared" si="15"/>
        <v>-55.118740230152554</v>
      </c>
      <c r="AZ162" s="337">
        <f t="shared" si="29"/>
        <v>-71.709353353721582</v>
      </c>
      <c r="BA162" s="340">
        <f t="shared" si="30"/>
        <v>55.118740230152554</v>
      </c>
      <c r="BB162" s="340">
        <f t="shared" si="31"/>
        <v>71.709353353721582</v>
      </c>
      <c r="BC162">
        <f t="shared" si="32"/>
        <v>0.3</v>
      </c>
      <c r="BD162" s="86"/>
      <c r="BG162" s="669"/>
      <c r="BH162" s="135"/>
      <c r="BI162" s="135"/>
    </row>
    <row r="163" spans="2:105" ht="25" customHeight="1" thickBot="1" x14ac:dyDescent="0.5">
      <c r="B163" s="197">
        <v>21</v>
      </c>
      <c r="C163" s="198"/>
      <c r="D163" s="10">
        <v>0</v>
      </c>
      <c r="E163" s="810" t="s">
        <v>121</v>
      </c>
      <c r="F163" s="178"/>
      <c r="G163" s="178">
        <f t="shared" ref="G163:G166" si="38">+D163+BC163</f>
        <v>0.3</v>
      </c>
      <c r="H163" s="389">
        <v>176.8294247</v>
      </c>
      <c r="I163" s="390">
        <v>66.429896499999998</v>
      </c>
      <c r="J163" s="361">
        <f t="shared" ref="J163:J166" si="39">+I163-D163</f>
        <v>66.429896499999998</v>
      </c>
      <c r="K163" s="361">
        <f t="shared" ref="K163:K166" si="40">+J163/2</f>
        <v>33.214948249999999</v>
      </c>
      <c r="L163" s="361">
        <f t="shared" ref="L163:L166" si="41">SIN(K163*3.14159265358979/180)</f>
        <v>0.54778151346749804</v>
      </c>
      <c r="M163" s="361">
        <f t="shared" ref="M163:M166" si="42">+L163*H163</f>
        <v>96.863889887752975</v>
      </c>
      <c r="N163" s="361">
        <f t="shared" ref="N163:N166" si="43">+M163*2</f>
        <v>193.72777977550595</v>
      </c>
      <c r="O163" s="361">
        <f>+C143+D144+D145+D146+D147+D148+D149+D150+D151+D152+D153+D154+D155+D156+D157+D158+D159+D160+D161+D162+(D163/2)</f>
        <v>0</v>
      </c>
      <c r="P163" s="361">
        <f t="shared" ref="P163:P166" si="44">SIN(O163*3.14159265358979/180)</f>
        <v>0</v>
      </c>
      <c r="Q163" s="361">
        <f t="shared" ref="Q163:Q166" si="45">+P163*N163</f>
        <v>0</v>
      </c>
      <c r="R163" s="361">
        <f t="shared" ref="R163:R166" si="46">+T162</f>
        <v>147.93928579999999</v>
      </c>
      <c r="S163" s="361">
        <f t="shared" ref="S163:S166" si="47">+S162+Q163</f>
        <v>147.93928579999999</v>
      </c>
      <c r="T163" s="362">
        <f t="shared" ref="T163:T166" si="48">+S163</f>
        <v>147.93928579999999</v>
      </c>
      <c r="V163" s="327">
        <f t="shared" ref="V163:V166" si="49">IF(B163&lt;($B$140+1),T163,0)</f>
        <v>0</v>
      </c>
      <c r="W163" s="327"/>
      <c r="X163" s="327"/>
      <c r="Y163" s="327"/>
      <c r="Z163" s="327"/>
      <c r="AA163" s="327"/>
      <c r="AB163" s="363" t="str">
        <f t="shared" si="11"/>
        <v>use the ground stack hole</v>
      </c>
      <c r="AC163" s="397" t="b">
        <f>IF(AD163=21,AF163)</f>
        <v>0</v>
      </c>
      <c r="AD163" s="397">
        <f t="shared" si="34"/>
        <v>1</v>
      </c>
      <c r="AE163" s="397">
        <f>IF(V163=0,0,21)</f>
        <v>0</v>
      </c>
      <c r="AF163" s="327">
        <f>SUM(V163:V166)/($B$140-B162)</f>
        <v>0</v>
      </c>
      <c r="AG163" s="327"/>
      <c r="AH163" s="339">
        <f>SUM(D144:D163)+$C$143</f>
        <v>0</v>
      </c>
      <c r="AI163" s="399" t="b">
        <f t="shared" ref="AI163:AI166" si="50">IF(B163&lt;($B$140+1),AH163)</f>
        <v>0</v>
      </c>
      <c r="AJ163" s="185">
        <f t="shared" si="20"/>
        <v>74.852239100000006</v>
      </c>
      <c r="AK163" s="330">
        <f t="shared" ref="AK163:AK166" si="51">SIN(AJ163*3.14159265358979/180)</f>
        <v>0.96525514282827984</v>
      </c>
      <c r="AL163" s="187">
        <f t="shared" si="21"/>
        <v>186.5249063054722</v>
      </c>
      <c r="AM163" s="185">
        <f t="shared" si="22"/>
        <v>56.785051799999998</v>
      </c>
      <c r="AN163" s="331">
        <f t="shared" ref="AN163:AN166" si="52">SIN(AM163*3.14159265358979/180)</f>
        <v>0.83662142830740083</v>
      </c>
      <c r="AO163" s="189">
        <f t="shared" si="24"/>
        <v>147.93928585928998</v>
      </c>
      <c r="AP163" s="402">
        <f t="shared" si="13"/>
        <v>-45.269257119712506</v>
      </c>
      <c r="AQ163" s="211">
        <f t="shared" si="35"/>
        <v>-285</v>
      </c>
      <c r="AR163" s="402">
        <f t="shared" si="14"/>
        <v>-221.5</v>
      </c>
      <c r="AS163" s="333">
        <f t="shared" ref="AS163:AS166" si="53">+AO163+AL163</f>
        <v>334.46419216476215</v>
      </c>
      <c r="AT163" s="334">
        <f t="shared" ref="AT163:AT166" si="54">+V163-AO163</f>
        <v>-147.93928585928998</v>
      </c>
      <c r="AU163" s="335">
        <f t="shared" ref="AU163:AU166" si="55">+AP163-AT163</f>
        <v>102.67002873957748</v>
      </c>
      <c r="AV163" s="334"/>
      <c r="AW163" s="336">
        <f t="shared" ref="AW163:AW166" si="56">+((AS163-AU163)/AS163)*AR163</f>
        <v>-153.50643925848527</v>
      </c>
      <c r="AX163" s="336">
        <f t="shared" ref="AX163:AX166" si="57">+(AU163/AS163)*AR163</f>
        <v>-67.993560741514742</v>
      </c>
      <c r="AY163" s="337">
        <f t="shared" ref="AY163:AY166" si="58">2*$C$18/AW163</f>
        <v>-52.115077638723804</v>
      </c>
      <c r="AZ163" s="337">
        <f t="shared" ref="AZ163:AZ166" si="59">$D$18/AX163</f>
        <v>-64.712010255310801</v>
      </c>
      <c r="BA163" s="340">
        <f t="shared" si="30"/>
        <v>52.115077638723804</v>
      </c>
      <c r="BB163" s="340">
        <f t="shared" ref="BB163:BB166" si="60">ABS(AZ163)</f>
        <v>64.712010255310801</v>
      </c>
      <c r="BC163">
        <f t="shared" ref="BC163:BC166" si="61">IF(AZ163&lt;0,0.3,0)</f>
        <v>0.3</v>
      </c>
      <c r="BD163" s="86"/>
      <c r="BG163" s="669"/>
      <c r="BH163" s="135"/>
      <c r="BI163" s="135"/>
    </row>
    <row r="164" spans="2:105" ht="25" customHeight="1" thickBot="1" x14ac:dyDescent="0.5">
      <c r="B164" s="197">
        <v>22</v>
      </c>
      <c r="C164" s="198"/>
      <c r="D164" s="10">
        <v>0</v>
      </c>
      <c r="E164" s="810" t="s">
        <v>121</v>
      </c>
      <c r="F164" s="178"/>
      <c r="G164" s="178">
        <f t="shared" si="38"/>
        <v>0.3</v>
      </c>
      <c r="H164" s="389">
        <v>176.8294247</v>
      </c>
      <c r="I164" s="390">
        <v>66.429896499999998</v>
      </c>
      <c r="J164" s="361">
        <f t="shared" si="39"/>
        <v>66.429896499999998</v>
      </c>
      <c r="K164" s="361">
        <f t="shared" si="40"/>
        <v>33.214948249999999</v>
      </c>
      <c r="L164" s="361">
        <f t="shared" si="41"/>
        <v>0.54778151346749804</v>
      </c>
      <c r="M164" s="361">
        <f t="shared" si="42"/>
        <v>96.863889887752975</v>
      </c>
      <c r="N164" s="361">
        <f t="shared" si="43"/>
        <v>193.72777977550595</v>
      </c>
      <c r="O164" s="361">
        <f>+C143+D145+D144+D146+D147+D148+D149+D150+D151+D152+D153+D154+D155+D156+D157+D158+D159+D160+D161+D162+D163+(D164/2)</f>
        <v>0</v>
      </c>
      <c r="P164" s="361">
        <f t="shared" si="44"/>
        <v>0</v>
      </c>
      <c r="Q164" s="361">
        <f t="shared" si="45"/>
        <v>0</v>
      </c>
      <c r="R164" s="361">
        <f t="shared" si="46"/>
        <v>147.93928579999999</v>
      </c>
      <c r="S164" s="361">
        <f t="shared" si="47"/>
        <v>147.93928579999999</v>
      </c>
      <c r="T164" s="362">
        <f t="shared" si="48"/>
        <v>147.93928579999999</v>
      </c>
      <c r="V164" s="327">
        <f t="shared" si="49"/>
        <v>0</v>
      </c>
      <c r="W164" s="327"/>
      <c r="X164" s="327"/>
      <c r="Y164" s="327"/>
      <c r="Z164" s="327"/>
      <c r="AA164" s="327"/>
      <c r="AB164" s="363" t="str">
        <f t="shared" si="11"/>
        <v>use the ground stack hole</v>
      </c>
      <c r="AC164" s="397" t="b">
        <f>IF(AD164=22,AF164)</f>
        <v>0</v>
      </c>
      <c r="AD164" s="397">
        <f t="shared" si="34"/>
        <v>1</v>
      </c>
      <c r="AE164" s="397">
        <f>IF(V164=0,0,22)</f>
        <v>0</v>
      </c>
      <c r="AF164" s="327">
        <f>SUM(V164:V166)/($B$140-B163)</f>
        <v>0</v>
      </c>
      <c r="AG164" s="327"/>
      <c r="AH164" s="339">
        <f>SUM(D144:D164)+$C$143</f>
        <v>0</v>
      </c>
      <c r="AI164" s="399" t="b">
        <f t="shared" si="50"/>
        <v>0</v>
      </c>
      <c r="AJ164" s="185">
        <f t="shared" si="20"/>
        <v>74.852239100000006</v>
      </c>
      <c r="AK164" s="330">
        <f t="shared" si="51"/>
        <v>0.96525514282827984</v>
      </c>
      <c r="AL164" s="187">
        <f t="shared" si="21"/>
        <v>186.5249063054722</v>
      </c>
      <c r="AM164" s="185">
        <f t="shared" si="22"/>
        <v>56.785051799999998</v>
      </c>
      <c r="AN164" s="331">
        <f t="shared" si="52"/>
        <v>0.83662142830740083</v>
      </c>
      <c r="AO164" s="189">
        <f t="shared" si="24"/>
        <v>147.93928585928998</v>
      </c>
      <c r="AP164" s="402">
        <f t="shared" si="13"/>
        <v>-42.398056879561608</v>
      </c>
      <c r="AQ164" s="211">
        <f t="shared" si="35"/>
        <v>-300</v>
      </c>
      <c r="AR164" s="402">
        <f t="shared" si="14"/>
        <v>-236.5</v>
      </c>
      <c r="AS164" s="333">
        <f t="shared" si="53"/>
        <v>334.46419216476215</v>
      </c>
      <c r="AT164" s="334">
        <f t="shared" si="54"/>
        <v>-147.93928585928998</v>
      </c>
      <c r="AU164" s="335">
        <f t="shared" si="55"/>
        <v>105.54122897972837</v>
      </c>
      <c r="AV164" s="334"/>
      <c r="AW164" s="336">
        <f t="shared" si="56"/>
        <v>-161.8716803220303</v>
      </c>
      <c r="AX164" s="336">
        <f t="shared" si="57"/>
        <v>-74.628319677969699</v>
      </c>
      <c r="AY164" s="337">
        <f t="shared" si="58"/>
        <v>-49.421862947766172</v>
      </c>
      <c r="AZ164" s="337">
        <f t="shared" si="59"/>
        <v>-58.95885126432615</v>
      </c>
      <c r="BA164" s="340">
        <f t="shared" si="30"/>
        <v>49.421862947766172</v>
      </c>
      <c r="BB164" s="340">
        <f t="shared" si="60"/>
        <v>58.95885126432615</v>
      </c>
      <c r="BC164">
        <f t="shared" si="61"/>
        <v>0.3</v>
      </c>
      <c r="BD164" s="86"/>
      <c r="BG164" s="669"/>
      <c r="BH164" s="135"/>
      <c r="BI164" s="135"/>
    </row>
    <row r="165" spans="2:105" ht="25" customHeight="1" thickBot="1" x14ac:dyDescent="0.5">
      <c r="B165" s="197">
        <v>23</v>
      </c>
      <c r="C165" s="198"/>
      <c r="D165" s="10">
        <v>0</v>
      </c>
      <c r="E165" s="810" t="s">
        <v>121</v>
      </c>
      <c r="F165" s="178"/>
      <c r="G165" s="178">
        <f t="shared" si="38"/>
        <v>0.3</v>
      </c>
      <c r="H165" s="389">
        <v>176.8294247</v>
      </c>
      <c r="I165" s="390">
        <v>66.429896499999998</v>
      </c>
      <c r="J165" s="361">
        <f t="shared" si="39"/>
        <v>66.429896499999998</v>
      </c>
      <c r="K165" s="361">
        <f t="shared" si="40"/>
        <v>33.214948249999999</v>
      </c>
      <c r="L165" s="361">
        <f t="shared" si="41"/>
        <v>0.54778151346749804</v>
      </c>
      <c r="M165" s="361">
        <f t="shared" si="42"/>
        <v>96.863889887752975</v>
      </c>
      <c r="N165" s="361">
        <f t="shared" si="43"/>
        <v>193.72777977550595</v>
      </c>
      <c r="O165" s="361">
        <f>+C143+D146+D145+D144+D147+D148+D149+D150+D151+D152+D153+D154+D155+D156+D157+D158+D159+D160+D161+D162+D163+D164+(D165/2)</f>
        <v>0</v>
      </c>
      <c r="P165" s="361">
        <f t="shared" si="44"/>
        <v>0</v>
      </c>
      <c r="Q165" s="361">
        <f t="shared" si="45"/>
        <v>0</v>
      </c>
      <c r="R165" s="361">
        <f t="shared" si="46"/>
        <v>147.93928579999999</v>
      </c>
      <c r="S165" s="361">
        <f t="shared" si="47"/>
        <v>147.93928579999999</v>
      </c>
      <c r="T165" s="362">
        <f t="shared" si="48"/>
        <v>147.93928579999999</v>
      </c>
      <c r="V165" s="327">
        <f t="shared" si="49"/>
        <v>0</v>
      </c>
      <c r="W165" s="327"/>
      <c r="X165" s="327"/>
      <c r="Y165" s="327"/>
      <c r="Z165" s="327"/>
      <c r="AA165" s="327"/>
      <c r="AB165" s="363" t="str">
        <f t="shared" si="11"/>
        <v>use the ground stack hole</v>
      </c>
      <c r="AC165" s="397" t="b">
        <f>IF(AD165=23,AF165)</f>
        <v>0</v>
      </c>
      <c r="AD165" s="397">
        <f t="shared" si="34"/>
        <v>1</v>
      </c>
      <c r="AE165" s="397">
        <f>IF(V165=0,0,23)</f>
        <v>0</v>
      </c>
      <c r="AF165" s="327">
        <f>SUM(V165:V166)/($B$140-B164)</f>
        <v>0</v>
      </c>
      <c r="AG165" s="327"/>
      <c r="AH165" s="339">
        <f>SUM(D144:D165)+$C$143</f>
        <v>0</v>
      </c>
      <c r="AI165" s="399" t="b">
        <f t="shared" si="50"/>
        <v>0</v>
      </c>
      <c r="AJ165" s="185">
        <f t="shared" si="20"/>
        <v>74.852239100000006</v>
      </c>
      <c r="AK165" s="330">
        <f t="shared" si="51"/>
        <v>0.96525514282827984</v>
      </c>
      <c r="AL165" s="187">
        <f t="shared" si="21"/>
        <v>186.5249063054722</v>
      </c>
      <c r="AM165" s="185">
        <f t="shared" si="22"/>
        <v>56.785051799999998</v>
      </c>
      <c r="AN165" s="331">
        <f t="shared" si="52"/>
        <v>0.83662142830740083</v>
      </c>
      <c r="AO165" s="189">
        <f t="shared" si="24"/>
        <v>147.93928585928998</v>
      </c>
      <c r="AP165" s="402">
        <f t="shared" si="13"/>
        <v>-39.869345733663302</v>
      </c>
      <c r="AQ165" s="211">
        <f t="shared" si="35"/>
        <v>-315</v>
      </c>
      <c r="AR165" s="402">
        <f t="shared" si="14"/>
        <v>-251.5</v>
      </c>
      <c r="AS165" s="333">
        <f t="shared" si="53"/>
        <v>334.46419216476215</v>
      </c>
      <c r="AT165" s="334">
        <f t="shared" si="54"/>
        <v>-147.93928585928998</v>
      </c>
      <c r="AU165" s="335">
        <f t="shared" si="55"/>
        <v>108.06994012562669</v>
      </c>
      <c r="AV165" s="334"/>
      <c r="AW165" s="336">
        <f t="shared" si="56"/>
        <v>-170.23692138557533</v>
      </c>
      <c r="AX165" s="336">
        <f t="shared" si="57"/>
        <v>-81.263078614424685</v>
      </c>
      <c r="AY165" s="337">
        <f t="shared" si="58"/>
        <v>-46.993331028822652</v>
      </c>
      <c r="AZ165" s="337">
        <f t="shared" si="59"/>
        <v>-54.145130544180162</v>
      </c>
      <c r="BA165" s="340">
        <f t="shared" si="30"/>
        <v>46.993331028822652</v>
      </c>
      <c r="BB165" s="340">
        <f t="shared" si="60"/>
        <v>54.145130544180162</v>
      </c>
      <c r="BC165">
        <f t="shared" si="61"/>
        <v>0.3</v>
      </c>
      <c r="BD165" s="86"/>
      <c r="BG165" s="669"/>
      <c r="BH165" s="135"/>
      <c r="BI165" s="135"/>
    </row>
    <row r="166" spans="2:105" ht="25" customHeight="1" thickBot="1" x14ac:dyDescent="0.5">
      <c r="B166" s="197">
        <v>24</v>
      </c>
      <c r="C166" s="198"/>
      <c r="D166" s="10">
        <v>0</v>
      </c>
      <c r="E166" s="810" t="s">
        <v>121</v>
      </c>
      <c r="F166" s="178"/>
      <c r="G166" s="178">
        <f t="shared" si="38"/>
        <v>0.3</v>
      </c>
      <c r="H166" s="389">
        <v>176.8294247</v>
      </c>
      <c r="I166" s="390">
        <v>66.429896499999998</v>
      </c>
      <c r="J166" s="361">
        <f t="shared" si="39"/>
        <v>66.429896499999998</v>
      </c>
      <c r="K166" s="361">
        <f t="shared" si="40"/>
        <v>33.214948249999999</v>
      </c>
      <c r="L166" s="361">
        <f t="shared" si="41"/>
        <v>0.54778151346749804</v>
      </c>
      <c r="M166" s="361">
        <f t="shared" si="42"/>
        <v>96.863889887752975</v>
      </c>
      <c r="N166" s="361">
        <f t="shared" si="43"/>
        <v>193.72777977550595</v>
      </c>
      <c r="O166" s="361">
        <f>+C143+D147+D146+D145+D144+D148+D149+D150+D151+D152+D153+D154+D155+D156+D157+D158+D159+D160+D161+D162+D163+D164+D165+(D166/2)</f>
        <v>0</v>
      </c>
      <c r="P166" s="361">
        <f t="shared" si="44"/>
        <v>0</v>
      </c>
      <c r="Q166" s="361">
        <f t="shared" si="45"/>
        <v>0</v>
      </c>
      <c r="R166" s="361">
        <f t="shared" si="46"/>
        <v>147.93928579999999</v>
      </c>
      <c r="S166" s="361">
        <f t="shared" si="47"/>
        <v>147.93928579999999</v>
      </c>
      <c r="T166" s="362">
        <f t="shared" si="48"/>
        <v>147.93928579999999</v>
      </c>
      <c r="V166" s="327">
        <f t="shared" si="49"/>
        <v>0</v>
      </c>
      <c r="W166" s="327"/>
      <c r="X166" s="327"/>
      <c r="Y166" s="327"/>
      <c r="Z166" s="327"/>
      <c r="AA166" s="327"/>
      <c r="AB166" s="363" t="str">
        <f t="shared" si="11"/>
        <v>use the ground stack hole</v>
      </c>
      <c r="AC166" s="397" t="b">
        <f>IF(AD166=24,AF166)</f>
        <v>0</v>
      </c>
      <c r="AD166" s="397">
        <f t="shared" si="34"/>
        <v>1</v>
      </c>
      <c r="AE166" s="397">
        <f>IF(V166=0,0,24)</f>
        <v>0</v>
      </c>
      <c r="AF166" s="327">
        <f t="shared" ref="AF166" si="62">SUM(V166:V166)/($B$140-B165)</f>
        <v>0</v>
      </c>
      <c r="AG166" s="327"/>
      <c r="AH166" s="339">
        <f>SUM(D144:D166)+$C$143</f>
        <v>0</v>
      </c>
      <c r="AI166" s="399" t="b">
        <f t="shared" si="50"/>
        <v>0</v>
      </c>
      <c r="AJ166" s="185">
        <f t="shared" si="20"/>
        <v>74.852239100000006</v>
      </c>
      <c r="AK166" s="330">
        <f t="shared" si="51"/>
        <v>0.96525514282827984</v>
      </c>
      <c r="AL166" s="187">
        <f t="shared" si="21"/>
        <v>186.5249063054722</v>
      </c>
      <c r="AM166" s="185">
        <f t="shared" si="22"/>
        <v>56.785051799999998</v>
      </c>
      <c r="AN166" s="331">
        <f t="shared" si="52"/>
        <v>0.83662142830740083</v>
      </c>
      <c r="AO166" s="189">
        <f t="shared" si="24"/>
        <v>147.93928585928998</v>
      </c>
      <c r="AP166" s="402">
        <f t="shared" si="13"/>
        <v>-37.625292502875496</v>
      </c>
      <c r="AQ166" s="211">
        <f t="shared" si="35"/>
        <v>-330</v>
      </c>
      <c r="AR166" s="402">
        <f t="shared" si="14"/>
        <v>-266.5</v>
      </c>
      <c r="AS166" s="333">
        <f t="shared" si="53"/>
        <v>334.46419216476215</v>
      </c>
      <c r="AT166" s="334">
        <f t="shared" si="54"/>
        <v>-147.93928585928998</v>
      </c>
      <c r="AU166" s="335">
        <f t="shared" si="55"/>
        <v>110.31399335641449</v>
      </c>
      <c r="AV166" s="334"/>
      <c r="AW166" s="336">
        <f t="shared" si="56"/>
        <v>-178.60216244912036</v>
      </c>
      <c r="AX166" s="336">
        <f t="shared" si="57"/>
        <v>-87.897837550879657</v>
      </c>
      <c r="AY166" s="337">
        <f t="shared" si="58"/>
        <v>-44.792290811590902</v>
      </c>
      <c r="AZ166" s="337">
        <f t="shared" si="59"/>
        <v>-50.058114313142916</v>
      </c>
      <c r="BA166" s="340">
        <f t="shared" si="30"/>
        <v>44.792290811590902</v>
      </c>
      <c r="BB166" s="340">
        <f t="shared" si="60"/>
        <v>50.058114313142916</v>
      </c>
      <c r="BC166">
        <f t="shared" si="61"/>
        <v>0.3</v>
      </c>
      <c r="BD166" s="86"/>
      <c r="BG166" s="669"/>
      <c r="BH166" s="135"/>
      <c r="BI166" s="135"/>
    </row>
    <row r="167" spans="2:105" ht="17.25" customHeight="1" thickBot="1" x14ac:dyDescent="0.5">
      <c r="D167" s="426"/>
      <c r="E167" s="426"/>
      <c r="F167" s="426"/>
      <c r="G167" s="426"/>
      <c r="V167" s="327"/>
      <c r="W167" s="327"/>
      <c r="X167" s="327"/>
      <c r="Y167" s="327"/>
      <c r="Z167" s="327"/>
      <c r="AA167" s="327"/>
      <c r="AB167" s="352"/>
      <c r="AC167" s="352"/>
      <c r="AD167" s="352"/>
      <c r="AE167" s="352"/>
      <c r="AF167" s="327"/>
      <c r="AG167" s="327"/>
      <c r="AH167" s="327"/>
      <c r="AI167" s="327"/>
      <c r="AJ167" s="426"/>
      <c r="AK167" s="306"/>
      <c r="AL167" s="212"/>
      <c r="AM167" s="426"/>
      <c r="AN167" s="306"/>
      <c r="AO167" s="212"/>
      <c r="AP167" s="334"/>
      <c r="AQ167" s="212"/>
      <c r="AR167" s="334"/>
      <c r="AS167" s="334"/>
      <c r="AT167" s="334"/>
      <c r="AU167" s="334"/>
      <c r="AV167" s="334"/>
      <c r="AW167" s="334"/>
      <c r="AX167" s="334"/>
      <c r="AY167" s="427"/>
      <c r="AZ167" s="427"/>
      <c r="BA167" s="427"/>
      <c r="BB167" s="427"/>
      <c r="BD167" s="428"/>
      <c r="BG167" s="669"/>
      <c r="BH167" s="135"/>
      <c r="BI167" s="135"/>
    </row>
    <row r="168" spans="2:105" ht="29" thickBot="1" x14ac:dyDescent="0.35">
      <c r="B168" s="1029" t="s">
        <v>100</v>
      </c>
      <c r="D168" s="426"/>
      <c r="E168" s="426"/>
      <c r="F168" s="426"/>
      <c r="G168" s="426"/>
      <c r="V168" s="327"/>
      <c r="W168" s="327"/>
      <c r="X168" s="327"/>
      <c r="Y168" s="327"/>
      <c r="Z168" s="327"/>
      <c r="AA168" s="327"/>
      <c r="AB168" s="352"/>
      <c r="AC168" s="352"/>
      <c r="AD168" s="352"/>
      <c r="AE168" s="352"/>
      <c r="AF168" s="327"/>
      <c r="AG168" s="327"/>
      <c r="AH168" s="429" t="s">
        <v>61</v>
      </c>
      <c r="AI168" s="430">
        <f>MAX(AI143:AI166)</f>
        <v>0</v>
      </c>
      <c r="AJ168" s="426"/>
      <c r="AK168" s="306"/>
      <c r="AL168" s="494" t="s">
        <v>150</v>
      </c>
      <c r="AM168" s="495"/>
      <c r="AN168" s="495"/>
      <c r="AO168" s="495"/>
      <c r="AP168" s="496"/>
      <c r="AQ168" s="212"/>
      <c r="AR168" s="334"/>
      <c r="AS168" s="334"/>
      <c r="AT168" s="334"/>
      <c r="AU168" s="334"/>
      <c r="AV168" s="334"/>
      <c r="AW168" s="334"/>
      <c r="AX168" s="334"/>
      <c r="AY168" s="427"/>
      <c r="AZ168" s="427"/>
      <c r="BA168" s="427"/>
      <c r="BB168" s="427"/>
      <c r="BD168" s="428"/>
    </row>
    <row r="169" spans="2:105" ht="44" x14ac:dyDescent="0.3">
      <c r="B169" s="1030"/>
      <c r="D169" s="426"/>
      <c r="E169" s="426"/>
      <c r="F169" s="426"/>
      <c r="G169" s="426"/>
      <c r="V169" s="327"/>
      <c r="W169" s="327"/>
      <c r="X169" s="327"/>
      <c r="Y169" s="327"/>
      <c r="Z169" s="327"/>
      <c r="AA169" s="327"/>
      <c r="AB169" s="352"/>
      <c r="AC169" s="352"/>
      <c r="AD169" s="352"/>
      <c r="AE169" s="352"/>
      <c r="AF169" s="327"/>
      <c r="AG169" s="327"/>
      <c r="AH169" s="501"/>
      <c r="AI169" s="502"/>
      <c r="AJ169" s="426"/>
      <c r="AK169" s="306"/>
      <c r="AL169" s="472" t="s">
        <v>87</v>
      </c>
      <c r="AM169" s="473" t="s">
        <v>88</v>
      </c>
      <c r="AN169" s="473" t="s">
        <v>89</v>
      </c>
      <c r="AO169" s="464" t="s">
        <v>108</v>
      </c>
      <c r="AP169" s="475"/>
      <c r="AQ169" s="212"/>
      <c r="AR169" s="334"/>
      <c r="AS169" s="334"/>
      <c r="AT169" s="334"/>
      <c r="AU169" s="334"/>
      <c r="AV169" s="334"/>
      <c r="AW169" s="334"/>
      <c r="AX169" s="334"/>
      <c r="AY169" s="427"/>
      <c r="AZ169" s="427"/>
      <c r="BA169" s="427"/>
      <c r="BB169" s="427"/>
      <c r="BD169" s="428"/>
    </row>
    <row r="170" spans="2:105" ht="29" hidden="1" thickBot="1" x14ac:dyDescent="0.35">
      <c r="B170" s="1030"/>
      <c r="D170" s="426"/>
      <c r="E170" s="426"/>
      <c r="F170" s="426"/>
      <c r="G170" s="426"/>
      <c r="V170" s="327"/>
      <c r="W170" s="327"/>
      <c r="X170" s="327"/>
      <c r="Y170" s="327"/>
      <c r="Z170" s="327"/>
      <c r="AA170" s="327"/>
      <c r="AB170" s="352"/>
      <c r="AC170" s="352"/>
      <c r="AD170" s="352"/>
      <c r="AE170" s="352"/>
      <c r="AF170" s="327"/>
      <c r="AG170" s="327"/>
      <c r="AH170" s="501"/>
      <c r="AI170" s="502"/>
      <c r="AJ170" s="426"/>
      <c r="AK170" s="306"/>
      <c r="AL170" s="437">
        <v>3.3679226</v>
      </c>
      <c r="AM170" s="477">
        <f>+(AI168*-1)-AL170</f>
        <v>-3.3679226</v>
      </c>
      <c r="AN170" s="478">
        <f>COS(AM170*3.14159265358979/180)</f>
        <v>0.99827287452202351</v>
      </c>
      <c r="AO170" s="460">
        <f>+AN170*273.3307633</f>
        <v>272.85868677478982</v>
      </c>
      <c r="AP170" s="479"/>
      <c r="AQ170" s="212"/>
      <c r="AR170" s="334"/>
      <c r="AS170" s="334"/>
      <c r="AT170" s="334"/>
      <c r="AU170" s="334"/>
      <c r="AV170" s="334"/>
      <c r="AW170" s="334"/>
      <c r="AX170" s="334"/>
      <c r="AY170" s="427"/>
      <c r="AZ170" s="427"/>
      <c r="BA170" s="427"/>
      <c r="BB170" s="427"/>
      <c r="BD170" s="428"/>
    </row>
    <row r="171" spans="2:105" ht="29" hidden="1" thickBot="1" x14ac:dyDescent="0.35">
      <c r="B171" s="1030"/>
      <c r="D171" s="426"/>
      <c r="E171" s="426"/>
      <c r="F171" s="426"/>
      <c r="G171" s="426"/>
      <c r="V171" s="327"/>
      <c r="W171" s="327"/>
      <c r="X171" s="327"/>
      <c r="Y171" s="327"/>
      <c r="Z171" s="327"/>
      <c r="AA171" s="327"/>
      <c r="AB171" s="352"/>
      <c r="AC171" s="352"/>
      <c r="AD171" s="352"/>
      <c r="AE171" s="352"/>
      <c r="AF171" s="327"/>
      <c r="AG171" s="327"/>
      <c r="AH171" s="501"/>
      <c r="AI171" s="502"/>
      <c r="AJ171" s="426"/>
      <c r="AK171" s="306"/>
      <c r="AL171" s="493" t="s">
        <v>151</v>
      </c>
      <c r="AM171" s="497"/>
      <c r="AN171" s="497"/>
      <c r="AO171" s="497"/>
      <c r="AP171" s="498"/>
      <c r="AQ171" s="212"/>
      <c r="AR171" s="334"/>
      <c r="AS171" s="334"/>
      <c r="AT171" s="334"/>
      <c r="AU171" s="334"/>
      <c r="AV171" s="334"/>
      <c r="AW171" s="334"/>
      <c r="AX171" s="334"/>
      <c r="AY171" s="427"/>
      <c r="AZ171" s="427"/>
      <c r="BA171" s="427"/>
      <c r="BB171" s="427"/>
      <c r="BD171" s="428"/>
    </row>
    <row r="172" spans="2:105" ht="49" hidden="1" x14ac:dyDescent="0.3">
      <c r="B172" s="1030"/>
      <c r="D172" s="426"/>
      <c r="E172" s="426"/>
      <c r="F172" s="426"/>
      <c r="G172" s="426"/>
      <c r="V172" s="327"/>
      <c r="W172" s="327"/>
      <c r="X172" s="327"/>
      <c r="Y172" s="327"/>
      <c r="Z172" s="327"/>
      <c r="AA172" s="327"/>
      <c r="AB172" s="352"/>
      <c r="AC172" s="352"/>
      <c r="AD172" s="352"/>
      <c r="AE172" s="352"/>
      <c r="AF172" s="327"/>
      <c r="AG172" s="327"/>
      <c r="AH172" s="501"/>
      <c r="AI172" s="502"/>
      <c r="AJ172" s="426"/>
      <c r="AK172" s="306"/>
      <c r="AL172" s="499"/>
      <c r="AM172" s="473" t="s">
        <v>95</v>
      </c>
      <c r="AN172" s="473" t="s">
        <v>94</v>
      </c>
      <c r="AO172" s="474" t="s">
        <v>152</v>
      </c>
      <c r="AP172" s="492" t="s">
        <v>93</v>
      </c>
      <c r="AQ172" s="212"/>
      <c r="AR172" s="334"/>
      <c r="AS172" s="334"/>
      <c r="AT172" s="334"/>
      <c r="AU172" s="334"/>
      <c r="AV172" s="334"/>
      <c r="AW172" s="334"/>
      <c r="AX172" s="334"/>
      <c r="AY172" s="427"/>
      <c r="AZ172" s="427"/>
      <c r="BA172" s="427"/>
      <c r="BB172" s="427"/>
      <c r="BD172" s="428"/>
    </row>
    <row r="173" spans="2:105" ht="29" thickBot="1" x14ac:dyDescent="0.35">
      <c r="B173" s="1031"/>
      <c r="C173"/>
      <c r="D173" s="426"/>
      <c r="E173" s="426"/>
      <c r="F173" s="426"/>
      <c r="G173" s="426"/>
      <c r="V173" s="327"/>
      <c r="W173" s="327"/>
      <c r="X173" s="327"/>
      <c r="Y173" s="327"/>
      <c r="Z173" s="327"/>
      <c r="AA173" s="327"/>
      <c r="AB173" s="352"/>
      <c r="AC173" s="352"/>
      <c r="AD173" s="352"/>
      <c r="AE173" s="352"/>
      <c r="AF173" s="327"/>
      <c r="AG173" s="327"/>
      <c r="AH173" s="327"/>
      <c r="AI173" s="327"/>
      <c r="AJ173" s="426"/>
      <c r="AK173" s="306"/>
      <c r="AL173" s="500"/>
      <c r="AM173" s="480">
        <f>+AI168</f>
        <v>0</v>
      </c>
      <c r="AN173" s="481">
        <f>SIN(AM173*3.14159265358979/180)</f>
        <v>0</v>
      </c>
      <c r="AO173" s="482">
        <f>+AN173*((+B140*193.7277797
)+69+69)</f>
        <v>0</v>
      </c>
      <c r="AP173" s="483">
        <f>+AO170+AO173</f>
        <v>272.85868677478982</v>
      </c>
      <c r="AQ173" s="212"/>
      <c r="AR173" s="334"/>
      <c r="AS173" s="334"/>
      <c r="AT173" s="334"/>
      <c r="AU173" s="334"/>
      <c r="AV173" s="334"/>
      <c r="AW173" s="334"/>
      <c r="AX173" s="334"/>
      <c r="AY173" s="427"/>
      <c r="AZ173" s="427"/>
      <c r="BA173" s="427"/>
      <c r="BB173" s="427"/>
      <c r="BD173" s="428"/>
    </row>
    <row r="174" spans="2:105" ht="40.5" customHeight="1" thickBot="1" x14ac:dyDescent="0.35">
      <c r="B174" s="14">
        <v>0</v>
      </c>
      <c r="D174" s="1032" t="s">
        <v>166</v>
      </c>
      <c r="E174" s="1033"/>
      <c r="F174" s="426"/>
      <c r="G174" s="426"/>
      <c r="V174" s="327"/>
      <c r="W174" s="327"/>
      <c r="X174" s="327"/>
      <c r="Y174" s="327"/>
      <c r="Z174" s="327"/>
      <c r="AA174" s="327"/>
      <c r="AB174" s="783"/>
      <c r="AC174" s="352"/>
      <c r="AD174" s="352"/>
      <c r="AE174" s="352"/>
      <c r="AF174" s="327"/>
      <c r="AG174" s="327"/>
      <c r="AH174" s="327"/>
      <c r="AI174" s="327"/>
      <c r="AJ174" s="426"/>
      <c r="AK174" s="306"/>
      <c r="AL174" s="212"/>
      <c r="AM174" s="426"/>
      <c r="AN174" s="306"/>
      <c r="AO174" s="212"/>
      <c r="AP174" s="334"/>
      <c r="AQ174" s="212"/>
      <c r="AR174" s="334"/>
      <c r="AS174" s="334"/>
      <c r="AT174" s="334"/>
      <c r="AU174" s="334"/>
      <c r="AV174" s="334"/>
      <c r="AW174" s="334"/>
      <c r="AX174" s="334"/>
      <c r="AY174" s="427"/>
      <c r="AZ174" s="427"/>
      <c r="BA174" s="427"/>
      <c r="BB174" s="427"/>
      <c r="BD174" s="428"/>
      <c r="CI174" s="667"/>
      <c r="CJ174" s="667"/>
      <c r="CK174" s="667"/>
      <c r="CL174" s="667"/>
      <c r="CM174" s="667"/>
      <c r="CN174" s="667"/>
      <c r="CO174" s="667"/>
      <c r="CP174" s="667"/>
      <c r="CQ174" s="667"/>
      <c r="CR174" s="667"/>
      <c r="CS174" s="667"/>
      <c r="CT174" s="667"/>
      <c r="CU174" s="667"/>
      <c r="CV174" s="667"/>
      <c r="CW174" s="667"/>
      <c r="CX174" s="667"/>
      <c r="CY174" s="667"/>
      <c r="CZ174" s="667"/>
      <c r="DA174" s="667"/>
    </row>
    <row r="175" spans="2:105" ht="29" thickBot="1" x14ac:dyDescent="0.35">
      <c r="D175" s="426"/>
      <c r="E175" s="426"/>
      <c r="F175" s="426"/>
      <c r="G175" s="426"/>
      <c r="V175" s="327"/>
      <c r="W175" s="327"/>
      <c r="X175" s="327"/>
      <c r="Y175" s="327"/>
      <c r="Z175" s="327"/>
      <c r="AA175" s="327"/>
      <c r="AB175" s="352"/>
      <c r="AC175" s="352"/>
      <c r="AD175" s="352"/>
      <c r="AE175" s="352"/>
      <c r="AF175" s="327"/>
      <c r="AG175" s="327"/>
      <c r="AH175" s="327"/>
      <c r="AI175" s="327"/>
      <c r="AJ175" s="426"/>
      <c r="AK175" s="306"/>
      <c r="AL175" s="212"/>
      <c r="AM175" s="426"/>
      <c r="AN175" s="306"/>
      <c r="AO175" s="212"/>
      <c r="AP175" s="334"/>
      <c r="AQ175" s="212"/>
      <c r="AR175" s="334"/>
      <c r="AS175" s="334"/>
      <c r="AT175" s="334"/>
      <c r="AU175" s="334"/>
      <c r="AV175" s="334"/>
      <c r="AW175" s="334"/>
      <c r="AX175" s="334"/>
      <c r="AY175" s="427"/>
      <c r="AZ175" s="427"/>
      <c r="BA175" s="427"/>
      <c r="BB175" s="427"/>
      <c r="BD175" s="428"/>
      <c r="CM175" s="667"/>
      <c r="CN175" s="667"/>
      <c r="CO175" s="667"/>
      <c r="CP175" s="667"/>
      <c r="CQ175" s="667"/>
      <c r="CR175" s="667"/>
      <c r="CS175" s="667"/>
      <c r="CT175" s="667"/>
      <c r="CU175" s="667"/>
      <c r="CV175" s="667"/>
      <c r="CW175" s="667"/>
      <c r="CX175" s="667"/>
      <c r="CY175" s="667"/>
      <c r="CZ175" s="667"/>
      <c r="DA175" s="667"/>
    </row>
    <row r="176" spans="2:105" ht="75.75" customHeight="1" thickBot="1" x14ac:dyDescent="0.35">
      <c r="B176" s="247" t="s">
        <v>30</v>
      </c>
      <c r="C176" s="303"/>
      <c r="D176" s="17"/>
      <c r="E176" s="17"/>
      <c r="F176" s="17"/>
      <c r="G176" s="17"/>
      <c r="T176" s="110"/>
      <c r="BD176" s="81"/>
      <c r="CM176" s="667"/>
      <c r="CN176" s="667"/>
      <c r="CO176" s="667"/>
      <c r="CP176" s="667"/>
      <c r="CQ176" s="667"/>
      <c r="CR176" s="667"/>
      <c r="CS176" s="667"/>
      <c r="CT176" s="667"/>
      <c r="CU176" s="667"/>
      <c r="CV176" s="667"/>
      <c r="CW176" s="667"/>
      <c r="CX176" s="667"/>
      <c r="CY176" s="667"/>
      <c r="CZ176" s="667"/>
      <c r="DA176" s="667"/>
    </row>
    <row r="177" spans="2:105" ht="43.5" customHeight="1" thickBot="1" x14ac:dyDescent="0.35">
      <c r="B177" s="11">
        <v>1</v>
      </c>
      <c r="C177" s="377"/>
      <c r="D177" s="304" t="s">
        <v>120</v>
      </c>
      <c r="E177" s="234"/>
      <c r="F177" s="234"/>
      <c r="G177" s="234"/>
      <c r="H177" s="244" t="s">
        <v>62</v>
      </c>
      <c r="I177" s="244" t="s">
        <v>63</v>
      </c>
      <c r="J177" s="244" t="s">
        <v>64</v>
      </c>
      <c r="K177"/>
      <c r="L177"/>
      <c r="M177"/>
      <c r="N177"/>
      <c r="O177"/>
      <c r="P177" s="244" t="s">
        <v>65</v>
      </c>
      <c r="Q177" s="244" t="s">
        <v>66</v>
      </c>
      <c r="R177" s="234"/>
      <c r="S177" s="244" t="s">
        <v>67</v>
      </c>
      <c r="T177" s="305"/>
      <c r="W177" s="1016" t="s">
        <v>68</v>
      </c>
      <c r="X177" s="1016"/>
      <c r="Y177" s="1016"/>
      <c r="Z177" s="1016"/>
      <c r="AA177" s="1016"/>
      <c r="AZ177" s="306"/>
      <c r="BA177" s="1014" t="s">
        <v>50</v>
      </c>
      <c r="BB177" s="1015"/>
      <c r="BD177" s="81"/>
      <c r="CM177" s="667"/>
      <c r="CN177" s="667"/>
      <c r="CO177" s="667"/>
      <c r="CP177" s="667"/>
      <c r="CQ177" s="667"/>
      <c r="CR177" s="667"/>
      <c r="CS177" s="667"/>
      <c r="CT177" s="667"/>
      <c r="CU177" s="667"/>
      <c r="CV177" s="667"/>
      <c r="CW177" s="667"/>
      <c r="CX177" s="667"/>
      <c r="CY177" s="667"/>
      <c r="CZ177" s="667"/>
      <c r="DA177" s="667"/>
    </row>
    <row r="178" spans="2:105" ht="41" hidden="1" thickBot="1" x14ac:dyDescent="0.35">
      <c r="C178" s="307"/>
      <c r="D178" s="431" t="s">
        <v>13</v>
      </c>
      <c r="H178" s="257" t="s">
        <v>4</v>
      </c>
      <c r="I178" s="257" t="s">
        <v>1</v>
      </c>
      <c r="J178" s="278" t="s">
        <v>60</v>
      </c>
      <c r="K178" s="226" t="s">
        <v>2</v>
      </c>
      <c r="L178" s="226" t="s">
        <v>3</v>
      </c>
      <c r="M178" s="226" t="s">
        <v>8</v>
      </c>
      <c r="N178" s="226" t="s">
        <v>5</v>
      </c>
      <c r="O178" s="226" t="s">
        <v>6</v>
      </c>
      <c r="P178" s="226" t="s">
        <v>7</v>
      </c>
      <c r="Q178" s="226" t="s">
        <v>9</v>
      </c>
      <c r="R178" s="257" t="s">
        <v>10</v>
      </c>
      <c r="S178" s="226" t="s">
        <v>11</v>
      </c>
      <c r="T178" s="309" t="s">
        <v>12</v>
      </c>
      <c r="W178" s="257" t="s">
        <v>133</v>
      </c>
      <c r="X178" s="226" t="s">
        <v>69</v>
      </c>
      <c r="Y178" s="257" t="s">
        <v>134</v>
      </c>
      <c r="Z178" s="310" t="s">
        <v>70</v>
      </c>
      <c r="AA178" s="310" t="s">
        <v>71</v>
      </c>
      <c r="AC178" s="226" t="s">
        <v>72</v>
      </c>
      <c r="AD178" s="226"/>
      <c r="AE178" s="226"/>
      <c r="AF178" s="311"/>
      <c r="AG178" s="311"/>
      <c r="AH178" s="311"/>
      <c r="AI178" s="311"/>
      <c r="AJ178" s="311"/>
      <c r="AK178" s="311"/>
      <c r="AL178" s="311"/>
      <c r="AM178" s="311"/>
      <c r="AN178" s="311"/>
      <c r="AO178" s="311"/>
      <c r="AP178" s="311" t="s">
        <v>153</v>
      </c>
      <c r="AQ178" s="311"/>
      <c r="AR178" s="311" t="s">
        <v>153</v>
      </c>
      <c r="AS178" s="311"/>
      <c r="AT178" s="311"/>
      <c r="AU178" s="311" t="s">
        <v>153</v>
      </c>
      <c r="AV178" s="311"/>
      <c r="AW178" s="311"/>
      <c r="AX178" s="311"/>
      <c r="AY178" s="306"/>
      <c r="AZ178" s="306"/>
      <c r="BA178" s="311"/>
      <c r="BB178" s="311"/>
      <c r="BC178" s="151"/>
      <c r="BD178" s="81"/>
      <c r="CM178" s="667"/>
      <c r="CN178" s="667"/>
      <c r="CO178" s="667"/>
      <c r="CP178" s="667"/>
      <c r="CQ178" s="667"/>
      <c r="CR178" s="667"/>
      <c r="CS178" s="667"/>
      <c r="CT178" s="667"/>
      <c r="CU178" s="667"/>
      <c r="CV178" s="667"/>
      <c r="CW178" s="667"/>
      <c r="CX178" s="667"/>
      <c r="CY178" s="667"/>
      <c r="CZ178" s="667"/>
      <c r="DA178" s="667"/>
    </row>
    <row r="179" spans="2:105" ht="43.5" customHeight="1" thickBot="1" x14ac:dyDescent="0.35">
      <c r="B179" s="312"/>
      <c r="C179" s="313"/>
      <c r="D179" s="432" t="s">
        <v>22</v>
      </c>
      <c r="E179" s="17"/>
      <c r="F179" s="234"/>
      <c r="G179" s="160"/>
      <c r="H179" s="257"/>
      <c r="I179" s="257"/>
      <c r="J179" s="278"/>
      <c r="K179" s="226"/>
      <c r="L179" s="226"/>
      <c r="M179" s="226"/>
      <c r="N179" s="226"/>
      <c r="O179" s="226"/>
      <c r="P179" s="226"/>
      <c r="Q179" s="226"/>
      <c r="R179" s="257"/>
      <c r="S179" s="226"/>
      <c r="T179" s="309"/>
      <c r="V179" s="311"/>
      <c r="W179" s="311"/>
      <c r="X179" s="311"/>
      <c r="Y179" s="311"/>
      <c r="Z179" s="311"/>
      <c r="AA179" s="311"/>
      <c r="AB179" s="311"/>
      <c r="AC179" s="314">
        <f>SUM(AC180:AC191)</f>
        <v>236.60761114734083</v>
      </c>
      <c r="AD179" s="315"/>
      <c r="AE179" s="315"/>
      <c r="AF179" s="311" t="s">
        <v>38</v>
      </c>
      <c r="AG179" s="433" t="s">
        <v>74</v>
      </c>
      <c r="AH179" s="316" t="s">
        <v>31</v>
      </c>
      <c r="AI179" s="316"/>
      <c r="AJ179" s="266" t="s">
        <v>124</v>
      </c>
      <c r="AK179" s="317" t="s">
        <v>32</v>
      </c>
      <c r="AL179" s="268" t="s">
        <v>33</v>
      </c>
      <c r="AM179" s="269" t="s">
        <v>125</v>
      </c>
      <c r="AN179" s="318" t="s">
        <v>34</v>
      </c>
      <c r="AO179" s="268" t="s">
        <v>35</v>
      </c>
      <c r="AP179" s="319" t="s">
        <v>47</v>
      </c>
      <c r="AQ179" s="268" t="s">
        <v>135</v>
      </c>
      <c r="AR179" s="319" t="s">
        <v>154</v>
      </c>
      <c r="AS179" s="311" t="s">
        <v>46</v>
      </c>
      <c r="AT179" s="311" t="s">
        <v>59</v>
      </c>
      <c r="AU179" s="319" t="s">
        <v>155</v>
      </c>
      <c r="AV179" s="434"/>
      <c r="AW179" s="320" t="s">
        <v>41</v>
      </c>
      <c r="AX179" s="320" t="s">
        <v>42</v>
      </c>
      <c r="AY179" s="321" t="s">
        <v>23</v>
      </c>
      <c r="AZ179" s="321" t="s">
        <v>24</v>
      </c>
      <c r="BA179" s="322" t="s">
        <v>23</v>
      </c>
      <c r="BB179" s="322" t="s">
        <v>24</v>
      </c>
      <c r="BD179" s="81"/>
      <c r="CM179" s="667"/>
      <c r="CN179" s="667"/>
      <c r="CO179" s="667"/>
      <c r="CP179" s="667"/>
      <c r="CQ179" s="667"/>
      <c r="CR179" s="667"/>
      <c r="CS179" s="667"/>
      <c r="CT179" s="667"/>
      <c r="CU179" s="667"/>
      <c r="CV179" s="667"/>
      <c r="CW179" s="667"/>
      <c r="CX179" s="667"/>
      <c r="CY179" s="667"/>
      <c r="CZ179" s="667"/>
      <c r="DA179" s="667"/>
    </row>
    <row r="180" spans="2:105" ht="25" customHeight="1" thickBot="1" x14ac:dyDescent="0.35">
      <c r="B180" s="175">
        <v>1</v>
      </c>
      <c r="C180" s="176">
        <f>+B174+AI168+D180</f>
        <v>0</v>
      </c>
      <c r="D180" s="10">
        <v>0</v>
      </c>
      <c r="E180" s="177" t="s">
        <v>123</v>
      </c>
      <c r="F180" s="178"/>
      <c r="G180" s="178"/>
      <c r="H180" s="244">
        <v>316.69135080000001</v>
      </c>
      <c r="I180" s="626">
        <v>41.658166299999998</v>
      </c>
      <c r="J180" s="391">
        <f>+I180-C180</f>
        <v>41.658166299999998</v>
      </c>
      <c r="K180" s="391"/>
      <c r="L180" s="391"/>
      <c r="M180" s="391"/>
      <c r="N180" s="391"/>
      <c r="O180" s="391"/>
      <c r="P180" s="244">
        <f>COS(J180*3.14159265358979/180)</f>
        <v>0.74712369172584558</v>
      </c>
      <c r="Q180" s="244">
        <f>+P180*H180</f>
        <v>236.60761114734083</v>
      </c>
      <c r="R180" s="392">
        <v>236.60761120000001</v>
      </c>
      <c r="S180" s="244">
        <f>+Q180</f>
        <v>236.60761114734083</v>
      </c>
      <c r="T180" s="393">
        <f t="shared" ref="T180:T191" si="63">+S180</f>
        <v>236.60761114734083</v>
      </c>
      <c r="U180" s="345"/>
      <c r="V180" s="394">
        <f>IF(B180&lt;($B$177+1),T180,0)</f>
        <v>236.60761114734083</v>
      </c>
      <c r="W180" s="395">
        <v>41.658166299999998</v>
      </c>
      <c r="X180" s="394">
        <f>+W180+AI192</f>
        <v>41.658166299999998</v>
      </c>
      <c r="Y180" s="395">
        <v>316.69135080000001</v>
      </c>
      <c r="Z180" s="310">
        <f>+COS(X180*3.14159265358979/180)*Y180</f>
        <v>236.60761114734083</v>
      </c>
      <c r="AA180" s="396">
        <f>+AC179-Z180</f>
        <v>0</v>
      </c>
      <c r="AB180" s="363"/>
      <c r="AC180" s="397">
        <f>IF(AD180=1,AF180)</f>
        <v>236.60761114734083</v>
      </c>
      <c r="AD180" s="397">
        <f>MAX(AE$180:AE$191)</f>
        <v>1</v>
      </c>
      <c r="AE180" s="397">
        <f>IF(V180=0,0,1)</f>
        <v>1</v>
      </c>
      <c r="AF180" s="394">
        <f>SUM(V180:V191)/($B$177)</f>
        <v>236.60761114734083</v>
      </c>
      <c r="AG180" s="394">
        <f>+AF180+$AA$143</f>
        <v>236.60761108805067</v>
      </c>
      <c r="AH180" s="398">
        <f>+D180+C180</f>
        <v>0</v>
      </c>
      <c r="AI180" s="399">
        <f>IF(B180&lt;($B$177+1),AH180)</f>
        <v>0</v>
      </c>
      <c r="AJ180" s="281">
        <f>48.3418337+AH180</f>
        <v>48.341833700000002</v>
      </c>
      <c r="AK180" s="400">
        <f>SIN(AJ180*3.14159265358979/180)</f>
        <v>0.74712369172584447</v>
      </c>
      <c r="AL180" s="209">
        <f>+AK180*316.6913508</f>
        <v>236.60761114734046</v>
      </c>
      <c r="AM180" s="207">
        <f>55.9091199-AH180</f>
        <v>55.9091199</v>
      </c>
      <c r="AN180" s="401">
        <f>SIN(AM180*3.14159265358979/180)</f>
        <v>0.82814956232072179</v>
      </c>
      <c r="AO180" s="211">
        <f>+AN180*375.5484699</f>
        <v>311.01030097790175</v>
      </c>
      <c r="AP180" s="402">
        <f t="shared" ref="AP180:AP191" si="64">+((AF180*AQ180)+($AQ$204*($AF$204+$AA$180)))/AR180</f>
        <v>180.66919738490537</v>
      </c>
      <c r="AQ180" s="189">
        <f>33*B177</f>
        <v>33</v>
      </c>
      <c r="AR180" s="402">
        <f>+AQ180+$AQ$204+7.5</f>
        <v>55.5</v>
      </c>
      <c r="AS180" s="403">
        <f>+AO180+AL180</f>
        <v>547.61791212524224</v>
      </c>
      <c r="AT180" s="404">
        <f>+V180-AL180</f>
        <v>3.694822225952521E-13</v>
      </c>
      <c r="AU180" s="405">
        <f>+AP180-AT180</f>
        <v>180.669197384905</v>
      </c>
      <c r="AV180" s="404"/>
      <c r="AW180" s="406">
        <f>+((AS180-AU180)/AS180)*AR180</f>
        <v>37.189531637217549</v>
      </c>
      <c r="AX180" s="406">
        <f>+(AU180/AS180)*AR180</f>
        <v>18.310468362782448</v>
      </c>
      <c r="AY180" s="337">
        <f>2*$C$19/AW180</f>
        <v>161.33572367971098</v>
      </c>
      <c r="AZ180" s="337">
        <f>2*$D$19/AX180</f>
        <v>327.68140503688591</v>
      </c>
      <c r="BA180" s="340">
        <f>ABS(AY180)</f>
        <v>161.33572367971098</v>
      </c>
      <c r="BB180" s="340">
        <f>ABS(AZ180)</f>
        <v>327.68140503688591</v>
      </c>
      <c r="BC180" s="51"/>
      <c r="BD180" s="81"/>
      <c r="CM180" s="667"/>
      <c r="CN180" s="667"/>
      <c r="CO180" s="667"/>
      <c r="CP180" s="667"/>
      <c r="CQ180" s="667"/>
      <c r="CR180" s="667"/>
      <c r="CS180" s="667"/>
      <c r="CT180" s="667"/>
      <c r="CU180" s="667"/>
      <c r="CV180" s="667"/>
      <c r="CW180" s="667"/>
      <c r="CX180" s="667"/>
      <c r="CY180" s="667"/>
      <c r="CZ180" s="667"/>
      <c r="DA180" s="667"/>
    </row>
    <row r="181" spans="2:105" ht="25" customHeight="1" thickBot="1" x14ac:dyDescent="0.35">
      <c r="B181" s="197">
        <v>2</v>
      </c>
      <c r="C181" s="198"/>
      <c r="D181" s="10">
        <v>0</v>
      </c>
      <c r="E181" s="199" t="s">
        <v>123</v>
      </c>
      <c r="F181" s="178"/>
      <c r="G181" s="178"/>
      <c r="H181" s="389">
        <v>375.54846989999999</v>
      </c>
      <c r="I181" s="390">
        <v>68.183381800000006</v>
      </c>
      <c r="J181" s="361">
        <f>+I181+D181</f>
        <v>68.183381800000006</v>
      </c>
      <c r="K181" s="361">
        <f t="shared" ref="K181:K191" si="65">+J181/2</f>
        <v>34.091690900000003</v>
      </c>
      <c r="L181" s="361">
        <f t="shared" ref="L181:L191" si="66">SIN(K181*3.14159265358979/180)</f>
        <v>0.56051890240384605</v>
      </c>
      <c r="M181" s="361">
        <f t="shared" ref="M181:M191" si="67">+L181*H181</f>
        <v>210.50201614779181</v>
      </c>
      <c r="N181" s="361">
        <f t="shared" ref="N181:N191" si="68">+M181*2</f>
        <v>421.00403229558361</v>
      </c>
      <c r="O181" s="361">
        <f>+C180+(D181/2)</f>
        <v>0</v>
      </c>
      <c r="P181" s="361">
        <f t="shared" ref="P181:P191" si="69">SIN(O181*3.14159265358979/180)</f>
        <v>0</v>
      </c>
      <c r="Q181" s="361">
        <f t="shared" ref="Q181:Q191" si="70">+P181*N181</f>
        <v>0</v>
      </c>
      <c r="R181" s="361">
        <f t="shared" ref="R181:R191" si="71">+T180</f>
        <v>236.60761114734083</v>
      </c>
      <c r="S181" s="361">
        <f>+R181+Q181</f>
        <v>236.60761114734083</v>
      </c>
      <c r="T181" s="362">
        <f t="shared" si="63"/>
        <v>236.60761114734083</v>
      </c>
      <c r="V181" s="327">
        <f t="shared" ref="V181:V191" si="72">IF(B181&lt;($B$177+1),T181,0)</f>
        <v>0</v>
      </c>
      <c r="W181" s="327"/>
      <c r="X181" s="327"/>
      <c r="Y181" s="327"/>
      <c r="Z181" s="327"/>
      <c r="AA181" s="327"/>
      <c r="AB181" s="363"/>
      <c r="AC181" s="397" t="b">
        <f>IF(AD181=2,AF181)</f>
        <v>0</v>
      </c>
      <c r="AD181" s="397">
        <f t="shared" ref="AD181:AD191" si="73">MAX(AE$180:AE$191)</f>
        <v>1</v>
      </c>
      <c r="AE181" s="397">
        <f>IF(V181=0,0,2)</f>
        <v>0</v>
      </c>
      <c r="AF181" s="327" t="e">
        <f>SUM(V181:V191)/($B$177-B180)</f>
        <v>#DIV/0!</v>
      </c>
      <c r="AG181" s="327"/>
      <c r="AH181" s="339">
        <f>SUM(D181)+$C$180</f>
        <v>0</v>
      </c>
      <c r="AI181" s="399" t="b">
        <f t="shared" ref="AI181:AI191" si="74">IF(B181&lt;($B$177+1),AH181)</f>
        <v>0</v>
      </c>
      <c r="AJ181" s="207">
        <f t="shared" ref="AJ181:AJ191" si="75">48.3418337+AH181</f>
        <v>48.341833700000002</v>
      </c>
      <c r="AK181" s="330">
        <f>SIN(AJ181*3.14159265358979/180)</f>
        <v>0.74712369172584447</v>
      </c>
      <c r="AL181" s="209">
        <f t="shared" ref="AL181:AL191" si="76">+AK181*316.6913508</f>
        <v>236.60761114734046</v>
      </c>
      <c r="AM181" s="207">
        <f t="shared" ref="AM181:AM191" si="77">55.9091199-AH181</f>
        <v>55.9091199</v>
      </c>
      <c r="AN181" s="331">
        <f t="shared" ref="AN181:AN191" si="78">SIN(AM181*3.14159265358979/180)</f>
        <v>0.82814956232072179</v>
      </c>
      <c r="AO181" s="211">
        <f t="shared" ref="AO181:AO191" si="79">+AN181*375.5484699</f>
        <v>311.01030097790175</v>
      </c>
      <c r="AP181" s="402" t="e">
        <f t="shared" si="64"/>
        <v>#DIV/0!</v>
      </c>
      <c r="AQ181" s="211">
        <f>33*($B$177-B180)</f>
        <v>0</v>
      </c>
      <c r="AR181" s="332">
        <f>+AQ181+$AQ$204+7.5</f>
        <v>22.5</v>
      </c>
      <c r="AS181" s="333">
        <f t="shared" ref="AS181:AS191" si="80">+AO181+AL181</f>
        <v>547.61791212524224</v>
      </c>
      <c r="AT181" s="334">
        <f t="shared" ref="AT181:AT191" si="81">+V181-AL181</f>
        <v>-236.60761114734046</v>
      </c>
      <c r="AU181" s="335" t="e">
        <f t="shared" ref="AU181:AU191" si="82">+AP181-AT181</f>
        <v>#DIV/0!</v>
      </c>
      <c r="AV181" s="334"/>
      <c r="AW181" s="336" t="e">
        <f t="shared" ref="AW181:AW191" si="83">+((AS181-AU181)/AS181)*AR181</f>
        <v>#DIV/0!</v>
      </c>
      <c r="AX181" s="336" t="e">
        <f t="shared" ref="AX181:AX191" si="84">+(AU181/AS181)*AR181</f>
        <v>#DIV/0!</v>
      </c>
      <c r="AY181" s="337" t="e">
        <f t="shared" ref="AY181:AY191" si="85">2*$C$19/AW181</f>
        <v>#DIV/0!</v>
      </c>
      <c r="AZ181" s="337" t="e">
        <f t="shared" ref="AZ181:AZ191" si="86">2*$D$19/AX181</f>
        <v>#DIV/0!</v>
      </c>
      <c r="BA181" s="340" t="e">
        <f t="shared" ref="BA181:BB191" si="87">ABS(AY181)</f>
        <v>#DIV/0!</v>
      </c>
      <c r="BB181" s="340" t="e">
        <f t="shared" si="87"/>
        <v>#DIV/0!</v>
      </c>
      <c r="BD181" s="81"/>
      <c r="CM181" s="667"/>
      <c r="CN181" s="667"/>
      <c r="CO181" s="667"/>
      <c r="CP181" s="667"/>
      <c r="CQ181" s="667"/>
      <c r="CR181" s="667"/>
      <c r="CS181" s="667"/>
      <c r="CT181" s="667"/>
      <c r="CU181" s="667"/>
      <c r="CV181" s="667"/>
      <c r="CW181" s="667"/>
      <c r="CX181" s="667"/>
      <c r="CY181" s="667"/>
      <c r="CZ181" s="667"/>
      <c r="DA181" s="667"/>
    </row>
    <row r="182" spans="2:105" ht="25" customHeight="1" thickBot="1" x14ac:dyDescent="0.35">
      <c r="B182" s="197">
        <v>3</v>
      </c>
      <c r="C182" s="198"/>
      <c r="D182" s="10">
        <v>0</v>
      </c>
      <c r="E182" s="199" t="s">
        <v>123</v>
      </c>
      <c r="F182" s="178"/>
      <c r="G182" s="178"/>
      <c r="H182" s="389">
        <v>375.54846989999999</v>
      </c>
      <c r="I182" s="390">
        <v>68.183381800000006</v>
      </c>
      <c r="J182" s="361">
        <f t="shared" ref="J182:J191" si="88">+I182+D182</f>
        <v>68.183381800000006</v>
      </c>
      <c r="K182" s="361">
        <f t="shared" si="65"/>
        <v>34.091690900000003</v>
      </c>
      <c r="L182" s="361">
        <f t="shared" si="66"/>
        <v>0.56051890240384605</v>
      </c>
      <c r="M182" s="361">
        <f t="shared" si="67"/>
        <v>210.50201614779181</v>
      </c>
      <c r="N182" s="361">
        <f t="shared" si="68"/>
        <v>421.00403229558361</v>
      </c>
      <c r="O182" s="361">
        <f>+C180+D181+(D182/2)</f>
        <v>0</v>
      </c>
      <c r="P182" s="361">
        <f t="shared" si="69"/>
        <v>0</v>
      </c>
      <c r="Q182" s="361">
        <f t="shared" si="70"/>
        <v>0</v>
      </c>
      <c r="R182" s="361">
        <f t="shared" si="71"/>
        <v>236.60761114734083</v>
      </c>
      <c r="S182" s="361">
        <f t="shared" ref="S182:S191" si="89">+S181+Q182</f>
        <v>236.60761114734083</v>
      </c>
      <c r="T182" s="362">
        <f t="shared" si="63"/>
        <v>236.60761114734083</v>
      </c>
      <c r="V182" s="327">
        <f t="shared" si="72"/>
        <v>0</v>
      </c>
      <c r="W182" s="327"/>
      <c r="X182" s="327"/>
      <c r="Y182" s="327"/>
      <c r="Z182" s="327"/>
      <c r="AA182" s="327"/>
      <c r="AB182" s="363"/>
      <c r="AC182" s="397" t="b">
        <f>IF(AD182=3,AF182)</f>
        <v>0</v>
      </c>
      <c r="AD182" s="397">
        <f t="shared" si="73"/>
        <v>1</v>
      </c>
      <c r="AE182" s="397">
        <f>IF(V182=0,0,3)</f>
        <v>0</v>
      </c>
      <c r="AF182" s="327">
        <f>SUM(V182:V191)/($B$177-B181)</f>
        <v>0</v>
      </c>
      <c r="AG182" s="327"/>
      <c r="AH182" s="339">
        <f>SUM(D181:D182)+$C$180</f>
        <v>0</v>
      </c>
      <c r="AI182" s="399" t="b">
        <f t="shared" si="74"/>
        <v>0</v>
      </c>
      <c r="AJ182" s="207">
        <f t="shared" si="75"/>
        <v>48.341833700000002</v>
      </c>
      <c r="AK182" s="330">
        <f t="shared" ref="AK182:AK191" si="90">SIN(AJ182*3.14159265358979/180)</f>
        <v>0.74712369172584447</v>
      </c>
      <c r="AL182" s="209">
        <f t="shared" si="76"/>
        <v>236.60761114734046</v>
      </c>
      <c r="AM182" s="207">
        <f t="shared" si="77"/>
        <v>55.9091199</v>
      </c>
      <c r="AN182" s="331">
        <f t="shared" si="78"/>
        <v>0.82814956232072179</v>
      </c>
      <c r="AO182" s="211">
        <f t="shared" si="79"/>
        <v>311.01030097790175</v>
      </c>
      <c r="AP182" s="402">
        <f t="shared" si="64"/>
        <v>-211.34183685714282</v>
      </c>
      <c r="AQ182" s="211">
        <f t="shared" ref="AQ182:AQ191" si="91">33*($B$177-B181)</f>
        <v>-33</v>
      </c>
      <c r="AR182" s="332">
        <f t="shared" ref="AR182:AR191" si="92">+AQ182+$AQ$204+7.5</f>
        <v>-10.5</v>
      </c>
      <c r="AS182" s="333">
        <f t="shared" si="80"/>
        <v>547.61791212524224</v>
      </c>
      <c r="AT182" s="334">
        <f t="shared" si="81"/>
        <v>-236.60761114734046</v>
      </c>
      <c r="AU182" s="335">
        <f t="shared" si="82"/>
        <v>25.265774290197641</v>
      </c>
      <c r="AV182" s="334"/>
      <c r="AW182" s="336">
        <f t="shared" si="83"/>
        <v>-10.015555236282333</v>
      </c>
      <c r="AX182" s="336">
        <f t="shared" si="84"/>
        <v>-0.4844447637176672</v>
      </c>
      <c r="AY182" s="337">
        <f t="shared" si="85"/>
        <v>-599.06813536052505</v>
      </c>
      <c r="AZ182" s="337">
        <f t="shared" si="86"/>
        <v>-12385.312938374085</v>
      </c>
      <c r="BA182" s="340">
        <f t="shared" si="87"/>
        <v>599.06813536052505</v>
      </c>
      <c r="BB182" s="340">
        <f t="shared" si="87"/>
        <v>12385.312938374085</v>
      </c>
      <c r="BD182" s="81"/>
      <c r="CM182" s="667"/>
      <c r="CN182" s="667"/>
      <c r="CO182" s="667"/>
      <c r="CP182" s="667"/>
      <c r="CQ182" s="667"/>
      <c r="CR182" s="667"/>
      <c r="CS182" s="667"/>
      <c r="CT182" s="667"/>
      <c r="CU182" s="667"/>
      <c r="CV182" s="667"/>
      <c r="CW182" s="667"/>
      <c r="CX182" s="667"/>
      <c r="CY182" s="667"/>
      <c r="CZ182" s="667"/>
      <c r="DA182" s="667"/>
    </row>
    <row r="183" spans="2:105" ht="25" customHeight="1" thickBot="1" x14ac:dyDescent="0.35">
      <c r="B183" s="197">
        <v>4</v>
      </c>
      <c r="C183" s="198"/>
      <c r="D183" s="10">
        <v>0</v>
      </c>
      <c r="E183" s="199" t="s">
        <v>123</v>
      </c>
      <c r="F183" s="178"/>
      <c r="G183" s="178"/>
      <c r="H183" s="389">
        <v>375.54846989999999</v>
      </c>
      <c r="I183" s="390">
        <v>68.183381800000006</v>
      </c>
      <c r="J183" s="361">
        <f t="shared" si="88"/>
        <v>68.183381800000006</v>
      </c>
      <c r="K183" s="361">
        <f t="shared" si="65"/>
        <v>34.091690900000003</v>
      </c>
      <c r="L183" s="361">
        <f t="shared" si="66"/>
        <v>0.56051890240384605</v>
      </c>
      <c r="M183" s="361">
        <f t="shared" si="67"/>
        <v>210.50201614779181</v>
      </c>
      <c r="N183" s="361">
        <f t="shared" si="68"/>
        <v>421.00403229558361</v>
      </c>
      <c r="O183" s="361">
        <f>+C180+D181+D182+(D183/2)</f>
        <v>0</v>
      </c>
      <c r="P183" s="361">
        <f t="shared" si="69"/>
        <v>0</v>
      </c>
      <c r="Q183" s="361">
        <f t="shared" si="70"/>
        <v>0</v>
      </c>
      <c r="R183" s="361">
        <f t="shared" si="71"/>
        <v>236.60761114734083</v>
      </c>
      <c r="S183" s="361">
        <f t="shared" si="89"/>
        <v>236.60761114734083</v>
      </c>
      <c r="T183" s="362">
        <f t="shared" si="63"/>
        <v>236.60761114734083</v>
      </c>
      <c r="V183" s="327">
        <f t="shared" si="72"/>
        <v>0</v>
      </c>
      <c r="W183" s="327"/>
      <c r="X183" s="327"/>
      <c r="Y183" s="327"/>
      <c r="Z183" s="327"/>
      <c r="AA183" s="327"/>
      <c r="AB183" s="363"/>
      <c r="AC183" s="397" t="b">
        <f>IF(AD183=4,AF183)</f>
        <v>0</v>
      </c>
      <c r="AD183" s="397">
        <f t="shared" si="73"/>
        <v>1</v>
      </c>
      <c r="AE183" s="397">
        <f>IF(V183=0,0,4)</f>
        <v>0</v>
      </c>
      <c r="AF183" s="327">
        <f>SUM(V183:V191)/($B$177-B182)</f>
        <v>0</v>
      </c>
      <c r="AG183" s="327"/>
      <c r="AH183" s="339">
        <f>SUM(D181:D183)+$C$180</f>
        <v>0</v>
      </c>
      <c r="AI183" s="399" t="b">
        <f t="shared" si="74"/>
        <v>0</v>
      </c>
      <c r="AJ183" s="207">
        <f t="shared" si="75"/>
        <v>48.341833700000002</v>
      </c>
      <c r="AK183" s="330">
        <f t="shared" si="90"/>
        <v>0.74712369172584447</v>
      </c>
      <c r="AL183" s="209">
        <f t="shared" si="76"/>
        <v>236.60761114734046</v>
      </c>
      <c r="AM183" s="207">
        <f t="shared" si="77"/>
        <v>55.9091199</v>
      </c>
      <c r="AN183" s="331">
        <f t="shared" si="78"/>
        <v>0.82814956232072179</v>
      </c>
      <c r="AO183" s="211">
        <f t="shared" si="79"/>
        <v>311.01030097790175</v>
      </c>
      <c r="AP183" s="402">
        <f t="shared" si="64"/>
        <v>-51.013546827586204</v>
      </c>
      <c r="AQ183" s="211">
        <f t="shared" si="91"/>
        <v>-66</v>
      </c>
      <c r="AR183" s="332">
        <f t="shared" si="92"/>
        <v>-43.5</v>
      </c>
      <c r="AS183" s="333">
        <f t="shared" si="80"/>
        <v>547.61791212524224</v>
      </c>
      <c r="AT183" s="334">
        <f t="shared" si="81"/>
        <v>-236.60761114734046</v>
      </c>
      <c r="AU183" s="335">
        <f t="shared" si="82"/>
        <v>185.59406431975427</v>
      </c>
      <c r="AV183" s="334"/>
      <c r="AW183" s="336">
        <f t="shared" si="83"/>
        <v>-28.757345278247755</v>
      </c>
      <c r="AX183" s="336">
        <f t="shared" si="84"/>
        <v>-14.742654721752249</v>
      </c>
      <c r="AY183" s="337">
        <f t="shared" si="85"/>
        <v>-208.64234657078862</v>
      </c>
      <c r="AZ183" s="337">
        <f t="shared" si="86"/>
        <v>-406.98233209974177</v>
      </c>
      <c r="BA183" s="340">
        <f t="shared" si="87"/>
        <v>208.64234657078862</v>
      </c>
      <c r="BB183" s="340">
        <f t="shared" si="87"/>
        <v>406.98233209974177</v>
      </c>
      <c r="BD183" s="81"/>
      <c r="CM183" s="667"/>
      <c r="CN183" s="667"/>
      <c r="CO183" s="667"/>
      <c r="CP183" s="667"/>
      <c r="CQ183" s="667"/>
      <c r="CR183" s="667"/>
      <c r="CS183" s="667"/>
      <c r="CT183" s="667"/>
      <c r="CU183" s="667"/>
      <c r="CV183" s="667"/>
      <c r="CW183" s="667"/>
      <c r="CX183" s="667"/>
      <c r="CY183" s="667"/>
      <c r="CZ183" s="667"/>
      <c r="DA183" s="667"/>
    </row>
    <row r="184" spans="2:105" ht="25" customHeight="1" thickBot="1" x14ac:dyDescent="0.35">
      <c r="B184" s="197">
        <v>5</v>
      </c>
      <c r="C184" s="198"/>
      <c r="D184" s="10">
        <v>0</v>
      </c>
      <c r="E184" s="199" t="s">
        <v>123</v>
      </c>
      <c r="F184" s="178"/>
      <c r="G184" s="178"/>
      <c r="H184" s="389">
        <v>375.54846989999999</v>
      </c>
      <c r="I184" s="390">
        <v>68.183381800000006</v>
      </c>
      <c r="J184" s="361">
        <f t="shared" si="88"/>
        <v>68.183381800000006</v>
      </c>
      <c r="K184" s="361">
        <f t="shared" si="65"/>
        <v>34.091690900000003</v>
      </c>
      <c r="L184" s="361">
        <f t="shared" si="66"/>
        <v>0.56051890240384605</v>
      </c>
      <c r="M184" s="361">
        <f t="shared" si="67"/>
        <v>210.50201614779181</v>
      </c>
      <c r="N184" s="361">
        <f t="shared" si="68"/>
        <v>421.00403229558361</v>
      </c>
      <c r="O184" s="361">
        <f>+C180+D181+D182+D183+(D184/2)</f>
        <v>0</v>
      </c>
      <c r="P184" s="361">
        <f t="shared" si="69"/>
        <v>0</v>
      </c>
      <c r="Q184" s="361">
        <f t="shared" si="70"/>
        <v>0</v>
      </c>
      <c r="R184" s="361">
        <f t="shared" si="71"/>
        <v>236.60761114734083</v>
      </c>
      <c r="S184" s="361">
        <f t="shared" si="89"/>
        <v>236.60761114734083</v>
      </c>
      <c r="T184" s="362">
        <f t="shared" si="63"/>
        <v>236.60761114734083</v>
      </c>
      <c r="V184" s="327">
        <f t="shared" si="72"/>
        <v>0</v>
      </c>
      <c r="W184" s="327"/>
      <c r="X184" s="327"/>
      <c r="Y184" s="327"/>
      <c r="Z184" s="327"/>
      <c r="AA184" s="327"/>
      <c r="AB184" s="363"/>
      <c r="AC184" s="397" t="b">
        <f>IF(AD184=5,AF184)</f>
        <v>0</v>
      </c>
      <c r="AD184" s="397">
        <f t="shared" si="73"/>
        <v>1</v>
      </c>
      <c r="AE184" s="397">
        <f>IF(V184=0,0,5)</f>
        <v>0</v>
      </c>
      <c r="AF184" s="327">
        <f>SUM(V184:V191)/($B$177-B183)</f>
        <v>0</v>
      </c>
      <c r="AG184" s="327"/>
      <c r="AH184" s="339">
        <f>SUM(D181:D184)+$C$180</f>
        <v>0</v>
      </c>
      <c r="AI184" s="399" t="b">
        <f t="shared" si="74"/>
        <v>0</v>
      </c>
      <c r="AJ184" s="207">
        <f t="shared" si="75"/>
        <v>48.341833700000002</v>
      </c>
      <c r="AK184" s="330">
        <f t="shared" si="90"/>
        <v>0.74712369172584447</v>
      </c>
      <c r="AL184" s="209">
        <f t="shared" si="76"/>
        <v>236.60761114734046</v>
      </c>
      <c r="AM184" s="207">
        <f t="shared" si="77"/>
        <v>55.9091199</v>
      </c>
      <c r="AN184" s="331">
        <f t="shared" si="78"/>
        <v>0.82814956232072179</v>
      </c>
      <c r="AO184" s="211">
        <f t="shared" si="79"/>
        <v>311.01030097790175</v>
      </c>
      <c r="AP184" s="402">
        <f t="shared" si="64"/>
        <v>-29.007703098039212</v>
      </c>
      <c r="AQ184" s="211">
        <f t="shared" si="91"/>
        <v>-99</v>
      </c>
      <c r="AR184" s="332">
        <f t="shared" si="92"/>
        <v>-76.5</v>
      </c>
      <c r="AS184" s="333">
        <f t="shared" si="80"/>
        <v>547.61791212524224</v>
      </c>
      <c r="AT184" s="334">
        <f t="shared" si="81"/>
        <v>-236.60761114734046</v>
      </c>
      <c r="AU184" s="335">
        <f t="shared" si="82"/>
        <v>207.59990804930126</v>
      </c>
      <c r="AV184" s="334"/>
      <c r="AW184" s="336">
        <f t="shared" si="83"/>
        <v>-47.499135320213171</v>
      </c>
      <c r="AX184" s="336">
        <f t="shared" si="84"/>
        <v>-29.000864679786833</v>
      </c>
      <c r="AY184" s="337">
        <f t="shared" si="85"/>
        <v>-126.31808894101512</v>
      </c>
      <c r="AZ184" s="337">
        <f t="shared" si="86"/>
        <v>-206.8903829678537</v>
      </c>
      <c r="BA184" s="340">
        <f t="shared" si="87"/>
        <v>126.31808894101512</v>
      </c>
      <c r="BB184" s="340">
        <f t="shared" si="87"/>
        <v>206.8903829678537</v>
      </c>
      <c r="BD184" s="81"/>
      <c r="CM184" s="667"/>
      <c r="CN184" s="667"/>
      <c r="CO184" s="667"/>
      <c r="CP184" s="667"/>
      <c r="CQ184" s="667"/>
      <c r="CR184" s="667"/>
      <c r="CS184" s="667"/>
      <c r="CT184" s="667"/>
      <c r="CU184" s="667"/>
      <c r="CV184" s="667"/>
      <c r="CW184" s="667"/>
      <c r="CX184" s="667"/>
      <c r="CY184" s="667"/>
      <c r="CZ184" s="667"/>
      <c r="DA184" s="667"/>
    </row>
    <row r="185" spans="2:105" ht="25" customHeight="1" thickBot="1" x14ac:dyDescent="0.35">
      <c r="B185" s="197">
        <v>6</v>
      </c>
      <c r="C185" s="198"/>
      <c r="D185" s="10">
        <v>0</v>
      </c>
      <c r="E185" s="199" t="s">
        <v>123</v>
      </c>
      <c r="F185" s="178"/>
      <c r="G185" s="178"/>
      <c r="H185" s="389">
        <v>375.54846989999999</v>
      </c>
      <c r="I185" s="390">
        <v>68.183381800000006</v>
      </c>
      <c r="J185" s="361">
        <f t="shared" si="88"/>
        <v>68.183381800000006</v>
      </c>
      <c r="K185" s="361">
        <f t="shared" si="65"/>
        <v>34.091690900000003</v>
      </c>
      <c r="L185" s="361">
        <f t="shared" si="66"/>
        <v>0.56051890240384605</v>
      </c>
      <c r="M185" s="361">
        <f t="shared" si="67"/>
        <v>210.50201614779181</v>
      </c>
      <c r="N185" s="361">
        <f t="shared" si="68"/>
        <v>421.00403229558361</v>
      </c>
      <c r="O185" s="361">
        <f>+C180+D181+D182+D183+D184+(D185/2)</f>
        <v>0</v>
      </c>
      <c r="P185" s="361">
        <f t="shared" si="69"/>
        <v>0</v>
      </c>
      <c r="Q185" s="361">
        <f t="shared" si="70"/>
        <v>0</v>
      </c>
      <c r="R185" s="361">
        <f t="shared" si="71"/>
        <v>236.60761114734083</v>
      </c>
      <c r="S185" s="361">
        <f t="shared" si="89"/>
        <v>236.60761114734083</v>
      </c>
      <c r="T185" s="362">
        <f t="shared" si="63"/>
        <v>236.60761114734083</v>
      </c>
      <c r="V185" s="327">
        <f t="shared" si="72"/>
        <v>0</v>
      </c>
      <c r="W185" s="327"/>
      <c r="X185" s="327"/>
      <c r="Y185" s="327"/>
      <c r="Z185" s="327"/>
      <c r="AA185" s="327"/>
      <c r="AB185" s="363"/>
      <c r="AC185" s="397" t="b">
        <f>IF(AD185=6,AF185)</f>
        <v>0</v>
      </c>
      <c r="AD185" s="397">
        <f t="shared" si="73"/>
        <v>1</v>
      </c>
      <c r="AE185" s="397">
        <f>IF(V185=0,0,6)</f>
        <v>0</v>
      </c>
      <c r="AF185" s="327">
        <f>SUM(V185:V191)/($B$177-B184)</f>
        <v>0</v>
      </c>
      <c r="AG185" s="327"/>
      <c r="AH185" s="339">
        <f>SUM(D181:D185)+$C$180</f>
        <v>0</v>
      </c>
      <c r="AI185" s="399" t="b">
        <f t="shared" si="74"/>
        <v>0</v>
      </c>
      <c r="AJ185" s="207">
        <f t="shared" si="75"/>
        <v>48.341833700000002</v>
      </c>
      <c r="AK185" s="330">
        <f t="shared" si="90"/>
        <v>0.74712369172584447</v>
      </c>
      <c r="AL185" s="209">
        <f t="shared" si="76"/>
        <v>236.60761114734046</v>
      </c>
      <c r="AM185" s="207">
        <f t="shared" si="77"/>
        <v>55.9091199</v>
      </c>
      <c r="AN185" s="331">
        <f t="shared" si="78"/>
        <v>0.82814956232072179</v>
      </c>
      <c r="AO185" s="211">
        <f t="shared" si="79"/>
        <v>311.01030097790175</v>
      </c>
      <c r="AP185" s="402">
        <f t="shared" si="64"/>
        <v>-20.265655589041096</v>
      </c>
      <c r="AQ185" s="211">
        <f t="shared" si="91"/>
        <v>-132</v>
      </c>
      <c r="AR185" s="332">
        <f t="shared" si="92"/>
        <v>-109.5</v>
      </c>
      <c r="AS185" s="333">
        <f t="shared" si="80"/>
        <v>547.61791212524224</v>
      </c>
      <c r="AT185" s="334">
        <f t="shared" si="81"/>
        <v>-236.60761114734046</v>
      </c>
      <c r="AU185" s="335">
        <f t="shared" si="82"/>
        <v>216.34195555829936</v>
      </c>
      <c r="AV185" s="334"/>
      <c r="AW185" s="336">
        <f t="shared" si="83"/>
        <v>-66.240925362178587</v>
      </c>
      <c r="AX185" s="336">
        <f t="shared" si="84"/>
        <v>-43.259074637821406</v>
      </c>
      <c r="AY185" s="337">
        <f t="shared" si="85"/>
        <v>-90.578444778578003</v>
      </c>
      <c r="AZ185" s="337">
        <f t="shared" si="86"/>
        <v>-138.69922207615141</v>
      </c>
      <c r="BA185" s="340">
        <f t="shared" si="87"/>
        <v>90.578444778578003</v>
      </c>
      <c r="BB185" s="340">
        <f t="shared" si="87"/>
        <v>138.69922207615141</v>
      </c>
      <c r="BD185" s="81"/>
      <c r="CM185" s="667"/>
      <c r="CN185" s="667"/>
      <c r="CO185" s="667"/>
      <c r="CP185" s="667"/>
      <c r="CQ185" s="667"/>
      <c r="CR185" s="667"/>
      <c r="CS185" s="667"/>
      <c r="CT185" s="667"/>
      <c r="CU185" s="667"/>
      <c r="CV185" s="667"/>
      <c r="CW185" s="667"/>
      <c r="CX185" s="667"/>
      <c r="CY185" s="667"/>
      <c r="CZ185" s="667"/>
      <c r="DA185" s="667"/>
    </row>
    <row r="186" spans="2:105" ht="25" customHeight="1" thickBot="1" x14ac:dyDescent="0.35">
      <c r="B186" s="197">
        <v>7</v>
      </c>
      <c r="C186" s="198"/>
      <c r="D186" s="10">
        <v>0</v>
      </c>
      <c r="E186" s="199" t="s">
        <v>123</v>
      </c>
      <c r="F186" s="178"/>
      <c r="G186" s="178"/>
      <c r="H186" s="389">
        <v>375.54846989999999</v>
      </c>
      <c r="I186" s="390">
        <v>68.183381800000006</v>
      </c>
      <c r="J186" s="361">
        <f t="shared" si="88"/>
        <v>68.183381800000006</v>
      </c>
      <c r="K186" s="361">
        <f t="shared" si="65"/>
        <v>34.091690900000003</v>
      </c>
      <c r="L186" s="361">
        <f t="shared" si="66"/>
        <v>0.56051890240384605</v>
      </c>
      <c r="M186" s="361">
        <f t="shared" si="67"/>
        <v>210.50201614779181</v>
      </c>
      <c r="N186" s="361">
        <f t="shared" si="68"/>
        <v>421.00403229558361</v>
      </c>
      <c r="O186" s="361">
        <f>+C180+D181+D182+D183+D184+D185+(D186/2)</f>
        <v>0</v>
      </c>
      <c r="P186" s="361">
        <f t="shared" si="69"/>
        <v>0</v>
      </c>
      <c r="Q186" s="361">
        <f t="shared" si="70"/>
        <v>0</v>
      </c>
      <c r="R186" s="361">
        <f t="shared" si="71"/>
        <v>236.60761114734083</v>
      </c>
      <c r="S186" s="361">
        <f t="shared" si="89"/>
        <v>236.60761114734083</v>
      </c>
      <c r="T186" s="362">
        <f t="shared" si="63"/>
        <v>236.60761114734083</v>
      </c>
      <c r="V186" s="327">
        <f t="shared" si="72"/>
        <v>0</v>
      </c>
      <c r="W186" s="327"/>
      <c r="X186" s="327"/>
      <c r="Y186" s="327"/>
      <c r="Z186" s="327"/>
      <c r="AA186" s="327"/>
      <c r="AB186" s="363"/>
      <c r="AC186" s="397" t="b">
        <f>IF(AD186=7,AF186)</f>
        <v>0</v>
      </c>
      <c r="AD186" s="397">
        <f t="shared" si="73"/>
        <v>1</v>
      </c>
      <c r="AE186" s="397">
        <f>IF(V186=0,0,7)</f>
        <v>0</v>
      </c>
      <c r="AF186" s="327">
        <f>SUM(V186:V191)/($B$177-B185)</f>
        <v>0</v>
      </c>
      <c r="AG186" s="327"/>
      <c r="AH186" s="339">
        <f>SUM(D181:D186)+$C$180</f>
        <v>0</v>
      </c>
      <c r="AI186" s="399" t="b">
        <f t="shared" si="74"/>
        <v>0</v>
      </c>
      <c r="AJ186" s="207">
        <f t="shared" si="75"/>
        <v>48.341833700000002</v>
      </c>
      <c r="AK186" s="330">
        <f t="shared" si="90"/>
        <v>0.74712369172584447</v>
      </c>
      <c r="AL186" s="209">
        <f t="shared" si="76"/>
        <v>236.60761114734046</v>
      </c>
      <c r="AM186" s="207">
        <f t="shared" si="77"/>
        <v>55.9091199</v>
      </c>
      <c r="AN186" s="331">
        <f t="shared" si="78"/>
        <v>0.82814956232072179</v>
      </c>
      <c r="AO186" s="211">
        <f t="shared" si="79"/>
        <v>311.01030097790175</v>
      </c>
      <c r="AP186" s="402">
        <f t="shared" si="64"/>
        <v>-15.572556399999998</v>
      </c>
      <c r="AQ186" s="211">
        <f t="shared" si="91"/>
        <v>-165</v>
      </c>
      <c r="AR186" s="332">
        <f t="shared" si="92"/>
        <v>-142.5</v>
      </c>
      <c r="AS186" s="333">
        <f t="shared" si="80"/>
        <v>547.61791212524224</v>
      </c>
      <c r="AT186" s="334">
        <f t="shared" si="81"/>
        <v>-236.60761114734046</v>
      </c>
      <c r="AU186" s="335">
        <f t="shared" si="82"/>
        <v>221.03505474734047</v>
      </c>
      <c r="AV186" s="334"/>
      <c r="AW186" s="336">
        <f t="shared" si="83"/>
        <v>-84.982715404144002</v>
      </c>
      <c r="AX186" s="336">
        <f t="shared" si="84"/>
        <v>-57.517284595855998</v>
      </c>
      <c r="AY186" s="337">
        <f t="shared" si="85"/>
        <v>-70.60259220320728</v>
      </c>
      <c r="AZ186" s="337">
        <f t="shared" si="86"/>
        <v>-104.3164683826588</v>
      </c>
      <c r="BA186" s="340">
        <f t="shared" si="87"/>
        <v>70.60259220320728</v>
      </c>
      <c r="BB186" s="340">
        <f t="shared" si="87"/>
        <v>104.3164683826588</v>
      </c>
      <c r="BD186" s="81"/>
      <c r="CM186" s="667"/>
      <c r="CN186" s="667"/>
      <c r="CO186" s="667"/>
      <c r="CP186" s="667"/>
      <c r="CQ186" s="667"/>
      <c r="CR186" s="667"/>
      <c r="CS186" s="667"/>
      <c r="CT186" s="667"/>
      <c r="CU186" s="667"/>
      <c r="CV186" s="667"/>
      <c r="CW186" s="667"/>
      <c r="CX186" s="667"/>
      <c r="CY186" s="667"/>
      <c r="CZ186" s="667"/>
      <c r="DA186" s="667"/>
    </row>
    <row r="187" spans="2:105" ht="25" customHeight="1" thickBot="1" x14ac:dyDescent="0.35">
      <c r="B187" s="197">
        <v>8</v>
      </c>
      <c r="C187" s="198"/>
      <c r="D187" s="10">
        <v>0</v>
      </c>
      <c r="E187" s="199" t="s">
        <v>123</v>
      </c>
      <c r="F187" s="178"/>
      <c r="G187" s="178"/>
      <c r="H187" s="389">
        <v>375.54846989999999</v>
      </c>
      <c r="I187" s="390">
        <v>68.183381800000006</v>
      </c>
      <c r="J187" s="361">
        <f t="shared" si="88"/>
        <v>68.183381800000006</v>
      </c>
      <c r="K187" s="361">
        <f t="shared" si="65"/>
        <v>34.091690900000003</v>
      </c>
      <c r="L187" s="361">
        <f t="shared" si="66"/>
        <v>0.56051890240384605</v>
      </c>
      <c r="M187" s="361">
        <f t="shared" si="67"/>
        <v>210.50201614779181</v>
      </c>
      <c r="N187" s="361">
        <f t="shared" si="68"/>
        <v>421.00403229558361</v>
      </c>
      <c r="O187" s="361">
        <f>+C180+D181+D182+D183+D184+D185+D186+(D187/2)</f>
        <v>0</v>
      </c>
      <c r="P187" s="361">
        <f t="shared" si="69"/>
        <v>0</v>
      </c>
      <c r="Q187" s="361">
        <f t="shared" si="70"/>
        <v>0</v>
      </c>
      <c r="R187" s="361">
        <f t="shared" si="71"/>
        <v>236.60761114734083</v>
      </c>
      <c r="S187" s="361">
        <f t="shared" si="89"/>
        <v>236.60761114734083</v>
      </c>
      <c r="T187" s="362">
        <f t="shared" si="63"/>
        <v>236.60761114734083</v>
      </c>
      <c r="V187" s="327">
        <f t="shared" si="72"/>
        <v>0</v>
      </c>
      <c r="W187" s="327"/>
      <c r="X187" s="327"/>
      <c r="Y187" s="327"/>
      <c r="Z187" s="327"/>
      <c r="AA187" s="327"/>
      <c r="AB187" s="363"/>
      <c r="AC187" s="397" t="b">
        <f>IF(AD187=8,AF187)</f>
        <v>0</v>
      </c>
      <c r="AD187" s="397">
        <f t="shared" si="73"/>
        <v>1</v>
      </c>
      <c r="AE187" s="397">
        <f>IF(V187=0,0,8)</f>
        <v>0</v>
      </c>
      <c r="AF187" s="327">
        <f>SUM(V187:V191)/($B$177-B186)</f>
        <v>0</v>
      </c>
      <c r="AG187" s="327"/>
      <c r="AH187" s="339">
        <f>SUM(D181:D187)+$C$180</f>
        <v>0</v>
      </c>
      <c r="AI187" s="399" t="b">
        <f t="shared" si="74"/>
        <v>0</v>
      </c>
      <c r="AJ187" s="207">
        <f t="shared" si="75"/>
        <v>48.341833700000002</v>
      </c>
      <c r="AK187" s="330">
        <f t="shared" si="90"/>
        <v>0.74712369172584447</v>
      </c>
      <c r="AL187" s="209">
        <f t="shared" si="76"/>
        <v>236.60761114734046</v>
      </c>
      <c r="AM187" s="207">
        <f t="shared" si="77"/>
        <v>55.9091199</v>
      </c>
      <c r="AN187" s="331">
        <f t="shared" si="78"/>
        <v>0.82814956232072179</v>
      </c>
      <c r="AO187" s="211">
        <f t="shared" si="79"/>
        <v>311.01030097790175</v>
      </c>
      <c r="AP187" s="402">
        <f t="shared" si="64"/>
        <v>-12.644383401709401</v>
      </c>
      <c r="AQ187" s="211">
        <f t="shared" si="91"/>
        <v>-198</v>
      </c>
      <c r="AR187" s="332">
        <f t="shared" si="92"/>
        <v>-175.5</v>
      </c>
      <c r="AS187" s="333">
        <f t="shared" si="80"/>
        <v>547.61791212524224</v>
      </c>
      <c r="AT187" s="334">
        <f t="shared" si="81"/>
        <v>-236.60761114734046</v>
      </c>
      <c r="AU187" s="335">
        <f t="shared" si="82"/>
        <v>223.96322774563106</v>
      </c>
      <c r="AV187" s="334"/>
      <c r="AW187" s="336">
        <f t="shared" si="83"/>
        <v>-103.72450544610943</v>
      </c>
      <c r="AX187" s="336">
        <f t="shared" si="84"/>
        <v>-71.775494553890567</v>
      </c>
      <c r="AY187" s="337">
        <f t="shared" si="85"/>
        <v>-57.845539722696763</v>
      </c>
      <c r="AZ187" s="337">
        <f t="shared" si="86"/>
        <v>-83.593990362477712</v>
      </c>
      <c r="BA187" s="340">
        <f t="shared" si="87"/>
        <v>57.845539722696763</v>
      </c>
      <c r="BB187" s="340">
        <f t="shared" si="87"/>
        <v>83.593990362477712</v>
      </c>
      <c r="BD187" s="81"/>
      <c r="CM187" s="667"/>
      <c r="CN187" s="667"/>
      <c r="CO187" s="667"/>
      <c r="CP187" s="667"/>
      <c r="CQ187" s="667"/>
      <c r="CR187" s="667"/>
      <c r="CS187" s="667"/>
      <c r="CT187" s="667"/>
      <c r="CU187" s="667"/>
      <c r="CV187" s="667"/>
      <c r="CW187" s="667"/>
      <c r="CX187" s="667"/>
      <c r="CY187" s="667"/>
      <c r="CZ187" s="667"/>
      <c r="DA187" s="667"/>
    </row>
    <row r="188" spans="2:105" ht="25" customHeight="1" thickBot="1" x14ac:dyDescent="0.35">
      <c r="B188" s="197">
        <v>9</v>
      </c>
      <c r="C188" s="198"/>
      <c r="D188" s="10">
        <v>0</v>
      </c>
      <c r="E188" s="199" t="s">
        <v>123</v>
      </c>
      <c r="F188" s="178"/>
      <c r="G188" s="178"/>
      <c r="H188" s="389">
        <v>375.54846989999999</v>
      </c>
      <c r="I188" s="390">
        <v>68.183381800000006</v>
      </c>
      <c r="J188" s="361">
        <f t="shared" si="88"/>
        <v>68.183381800000006</v>
      </c>
      <c r="K188" s="361">
        <f t="shared" si="65"/>
        <v>34.091690900000003</v>
      </c>
      <c r="L188" s="361">
        <f t="shared" si="66"/>
        <v>0.56051890240384605</v>
      </c>
      <c r="M188" s="361">
        <f t="shared" si="67"/>
        <v>210.50201614779181</v>
      </c>
      <c r="N188" s="361">
        <f t="shared" si="68"/>
        <v>421.00403229558361</v>
      </c>
      <c r="O188" s="361">
        <f>+C180+D181+D182+D183+D184+D185+D186+D187+(D188/2)</f>
        <v>0</v>
      </c>
      <c r="P188" s="361">
        <f t="shared" si="69"/>
        <v>0</v>
      </c>
      <c r="Q188" s="361">
        <f t="shared" si="70"/>
        <v>0</v>
      </c>
      <c r="R188" s="361">
        <f t="shared" si="71"/>
        <v>236.60761114734083</v>
      </c>
      <c r="S188" s="361">
        <f t="shared" si="89"/>
        <v>236.60761114734083</v>
      </c>
      <c r="T188" s="362">
        <f t="shared" si="63"/>
        <v>236.60761114734083</v>
      </c>
      <c r="V188" s="327">
        <f t="shared" si="72"/>
        <v>0</v>
      </c>
      <c r="W188" s="327"/>
      <c r="X188" s="327"/>
      <c r="Y188" s="327"/>
      <c r="Z188" s="327"/>
      <c r="AA188" s="327"/>
      <c r="AB188" s="363"/>
      <c r="AC188" s="397" t="b">
        <f>IF(AD188=9,AF188)</f>
        <v>0</v>
      </c>
      <c r="AD188" s="397">
        <f t="shared" si="73"/>
        <v>1</v>
      </c>
      <c r="AE188" s="397">
        <f>IF(V188=0,0,9)</f>
        <v>0</v>
      </c>
      <c r="AF188" s="327">
        <f>SUM(V188:V191)/($B$177-B187)</f>
        <v>0</v>
      </c>
      <c r="AG188" s="327"/>
      <c r="AH188" s="339">
        <f>SUM(D181:D188)+$C$180</f>
        <v>0</v>
      </c>
      <c r="AI188" s="399" t="b">
        <f t="shared" si="74"/>
        <v>0</v>
      </c>
      <c r="AJ188" s="207">
        <f t="shared" si="75"/>
        <v>48.341833700000002</v>
      </c>
      <c r="AK188" s="330">
        <f t="shared" si="90"/>
        <v>0.74712369172584447</v>
      </c>
      <c r="AL188" s="209">
        <f t="shared" si="76"/>
        <v>236.60761114734046</v>
      </c>
      <c r="AM188" s="207">
        <f t="shared" si="77"/>
        <v>55.9091199</v>
      </c>
      <c r="AN188" s="331">
        <f t="shared" si="78"/>
        <v>0.82814956232072179</v>
      </c>
      <c r="AO188" s="211">
        <f t="shared" si="79"/>
        <v>311.01030097790175</v>
      </c>
      <c r="AP188" s="402">
        <f t="shared" si="64"/>
        <v>-10.643114086330934</v>
      </c>
      <c r="AQ188" s="211">
        <f t="shared" si="91"/>
        <v>-231</v>
      </c>
      <c r="AR188" s="332">
        <f t="shared" si="92"/>
        <v>-208.5</v>
      </c>
      <c r="AS188" s="333">
        <f t="shared" si="80"/>
        <v>547.61791212524224</v>
      </c>
      <c r="AT188" s="334">
        <f t="shared" si="81"/>
        <v>-236.60761114734046</v>
      </c>
      <c r="AU188" s="335">
        <f t="shared" si="82"/>
        <v>225.96449706100952</v>
      </c>
      <c r="AV188" s="334"/>
      <c r="AW188" s="336">
        <f t="shared" si="83"/>
        <v>-122.46629548807485</v>
      </c>
      <c r="AX188" s="336">
        <f t="shared" si="84"/>
        <v>-86.033704511925151</v>
      </c>
      <c r="AY188" s="337">
        <f t="shared" si="85"/>
        <v>-48.993071735269808</v>
      </c>
      <c r="AZ188" s="337">
        <f t="shared" si="86"/>
        <v>-69.740109809735543</v>
      </c>
      <c r="BA188" s="340">
        <f t="shared" si="87"/>
        <v>48.993071735269808</v>
      </c>
      <c r="BB188" s="340">
        <f t="shared" si="87"/>
        <v>69.740109809735543</v>
      </c>
      <c r="BD188" s="81"/>
      <c r="CM188" s="667"/>
      <c r="CN188" s="667"/>
      <c r="CO188" s="667"/>
      <c r="CP188" s="667"/>
      <c r="CQ188" s="667"/>
      <c r="CR188" s="667"/>
      <c r="CS188" s="667"/>
      <c r="CT188" s="667"/>
      <c r="CU188" s="667"/>
      <c r="CV188" s="667"/>
      <c r="CW188" s="667"/>
      <c r="CX188" s="667"/>
      <c r="CY188" s="667"/>
      <c r="CZ188" s="667"/>
      <c r="DA188" s="667"/>
    </row>
    <row r="189" spans="2:105" ht="25" customHeight="1" thickBot="1" x14ac:dyDescent="0.35">
      <c r="B189" s="197">
        <v>10</v>
      </c>
      <c r="C189" s="198"/>
      <c r="D189" s="10">
        <v>0</v>
      </c>
      <c r="E189" s="199" t="s">
        <v>123</v>
      </c>
      <c r="F189" s="178"/>
      <c r="G189" s="178"/>
      <c r="H189" s="389">
        <v>375.54846989999999</v>
      </c>
      <c r="I189" s="390">
        <v>68.183381800000006</v>
      </c>
      <c r="J189" s="361">
        <f t="shared" si="88"/>
        <v>68.183381800000006</v>
      </c>
      <c r="K189" s="361">
        <f t="shared" si="65"/>
        <v>34.091690900000003</v>
      </c>
      <c r="L189" s="361">
        <f t="shared" si="66"/>
        <v>0.56051890240384605</v>
      </c>
      <c r="M189" s="361">
        <f>+L189*H189</f>
        <v>210.50201614779181</v>
      </c>
      <c r="N189" s="361">
        <f t="shared" si="68"/>
        <v>421.00403229558361</v>
      </c>
      <c r="O189" s="361">
        <f>+C180+D181+D182+D183+D184+D185+D186+D187+D188+(D189/2)</f>
        <v>0</v>
      </c>
      <c r="P189" s="361">
        <f t="shared" si="69"/>
        <v>0</v>
      </c>
      <c r="Q189" s="361">
        <f t="shared" si="70"/>
        <v>0</v>
      </c>
      <c r="R189" s="361">
        <f t="shared" si="71"/>
        <v>236.60761114734083</v>
      </c>
      <c r="S189" s="361">
        <f t="shared" si="89"/>
        <v>236.60761114734083</v>
      </c>
      <c r="T189" s="362">
        <f t="shared" si="63"/>
        <v>236.60761114734083</v>
      </c>
      <c r="V189" s="327">
        <f t="shared" si="72"/>
        <v>0</v>
      </c>
      <c r="W189" s="327"/>
      <c r="X189" s="327"/>
      <c r="Y189" s="327"/>
      <c r="Z189" s="327"/>
      <c r="AA189" s="327"/>
      <c r="AB189" s="363"/>
      <c r="AC189" s="397" t="b">
        <f>IF(AD189=10,AF189)</f>
        <v>0</v>
      </c>
      <c r="AD189" s="397">
        <f t="shared" si="73"/>
        <v>1</v>
      </c>
      <c r="AE189" s="397">
        <f>IF(V189=0,0,10)</f>
        <v>0</v>
      </c>
      <c r="AF189" s="327">
        <f>SUM(V189:V191)/($B$177-B188)</f>
        <v>0</v>
      </c>
      <c r="AG189" s="327"/>
      <c r="AH189" s="339">
        <f>SUM(D181:D189)+$C$180</f>
        <v>0</v>
      </c>
      <c r="AI189" s="399" t="b">
        <f t="shared" si="74"/>
        <v>0</v>
      </c>
      <c r="AJ189" s="207">
        <f t="shared" si="75"/>
        <v>48.341833700000002</v>
      </c>
      <c r="AK189" s="330">
        <f t="shared" si="90"/>
        <v>0.74712369172584447</v>
      </c>
      <c r="AL189" s="209">
        <f t="shared" si="76"/>
        <v>236.60761114734046</v>
      </c>
      <c r="AM189" s="207">
        <f t="shared" si="77"/>
        <v>55.9091199</v>
      </c>
      <c r="AN189" s="331">
        <f t="shared" si="78"/>
        <v>0.82814956232072179</v>
      </c>
      <c r="AO189" s="211">
        <f t="shared" si="79"/>
        <v>311.01030097790175</v>
      </c>
      <c r="AP189" s="402">
        <f t="shared" si="64"/>
        <v>-9.1887755155279489</v>
      </c>
      <c r="AQ189" s="211">
        <f t="shared" si="91"/>
        <v>-264</v>
      </c>
      <c r="AR189" s="332">
        <f t="shared" si="92"/>
        <v>-241.5</v>
      </c>
      <c r="AS189" s="333">
        <f t="shared" si="80"/>
        <v>547.61791212524224</v>
      </c>
      <c r="AT189" s="334">
        <f t="shared" si="81"/>
        <v>-236.60761114734046</v>
      </c>
      <c r="AU189" s="335">
        <f t="shared" si="82"/>
        <v>227.41883563181253</v>
      </c>
      <c r="AV189" s="334"/>
      <c r="AW189" s="336">
        <f t="shared" si="83"/>
        <v>-141.20808553004028</v>
      </c>
      <c r="AX189" s="336">
        <f t="shared" si="84"/>
        <v>-100.29191446995975</v>
      </c>
      <c r="AY189" s="337">
        <f t="shared" si="85"/>
        <v>-42.490484716072253</v>
      </c>
      <c r="AZ189" s="337">
        <f t="shared" si="86"/>
        <v>-59.825361114201968</v>
      </c>
      <c r="BA189" s="340">
        <f t="shared" si="87"/>
        <v>42.490484716072253</v>
      </c>
      <c r="BB189" s="340">
        <f t="shared" si="87"/>
        <v>59.825361114201968</v>
      </c>
      <c r="BD189" s="81"/>
      <c r="CM189" s="667"/>
      <c r="CN189" s="667"/>
      <c r="CO189" s="667"/>
      <c r="CP189" s="667"/>
      <c r="CQ189" s="667"/>
      <c r="CR189" s="667"/>
      <c r="CS189" s="667"/>
      <c r="CT189" s="667"/>
      <c r="CU189" s="667"/>
      <c r="CV189" s="667"/>
      <c r="CW189" s="667"/>
      <c r="CX189" s="667"/>
      <c r="CY189" s="667"/>
      <c r="CZ189" s="667"/>
      <c r="DA189" s="667"/>
    </row>
    <row r="190" spans="2:105" ht="29" thickBot="1" x14ac:dyDescent="0.35">
      <c r="B190" s="197">
        <v>11</v>
      </c>
      <c r="C190" s="198"/>
      <c r="D190" s="10">
        <v>0</v>
      </c>
      <c r="E190" s="199" t="s">
        <v>123</v>
      </c>
      <c r="F190" s="178"/>
      <c r="G190" s="178"/>
      <c r="H190" s="389">
        <v>375.54846989999999</v>
      </c>
      <c r="I190" s="390">
        <v>68.183381800000006</v>
      </c>
      <c r="J190" s="361">
        <f t="shared" si="88"/>
        <v>68.183381800000006</v>
      </c>
      <c r="K190" s="361">
        <f t="shared" si="65"/>
        <v>34.091690900000003</v>
      </c>
      <c r="L190" s="361">
        <f t="shared" si="66"/>
        <v>0.56051890240384605</v>
      </c>
      <c r="M190" s="361">
        <f t="shared" si="67"/>
        <v>210.50201614779181</v>
      </c>
      <c r="N190" s="361">
        <f t="shared" si="68"/>
        <v>421.00403229558361</v>
      </c>
      <c r="O190" s="361">
        <f>+C180+D181+D182+D183+D184+D185+D186+D187+D188+D189+(D190/2)</f>
        <v>0</v>
      </c>
      <c r="P190" s="361">
        <f t="shared" si="69"/>
        <v>0</v>
      </c>
      <c r="Q190" s="361">
        <f t="shared" si="70"/>
        <v>0</v>
      </c>
      <c r="R190" s="361">
        <f t="shared" si="71"/>
        <v>236.60761114734083</v>
      </c>
      <c r="S190" s="361">
        <f t="shared" si="89"/>
        <v>236.60761114734083</v>
      </c>
      <c r="T190" s="362">
        <f t="shared" si="63"/>
        <v>236.60761114734083</v>
      </c>
      <c r="V190" s="327">
        <f t="shared" si="72"/>
        <v>0</v>
      </c>
      <c r="W190" s="327"/>
      <c r="X190" s="327"/>
      <c r="Y190" s="327"/>
      <c r="Z190" s="327"/>
      <c r="AA190" s="327"/>
      <c r="AB190" s="363"/>
      <c r="AC190" s="397" t="b">
        <f>IF(AD190=11,AF190)</f>
        <v>0</v>
      </c>
      <c r="AD190" s="397">
        <f t="shared" si="73"/>
        <v>1</v>
      </c>
      <c r="AE190" s="397">
        <f>IF(V190=0,0,11)</f>
        <v>0</v>
      </c>
      <c r="AF190" s="327">
        <f>SUM(V190:V191)/($B$177-B189)</f>
        <v>0</v>
      </c>
      <c r="AG190" s="327"/>
      <c r="AH190" s="339">
        <f>SUM(D181:D190)+$C$180</f>
        <v>0</v>
      </c>
      <c r="AI190" s="399" t="b">
        <f t="shared" si="74"/>
        <v>0</v>
      </c>
      <c r="AJ190" s="207">
        <f t="shared" si="75"/>
        <v>48.341833700000002</v>
      </c>
      <c r="AK190" s="330">
        <f t="shared" si="90"/>
        <v>0.74712369172584447</v>
      </c>
      <c r="AL190" s="209">
        <f t="shared" si="76"/>
        <v>236.60761114734046</v>
      </c>
      <c r="AM190" s="207">
        <f t="shared" si="77"/>
        <v>55.9091199</v>
      </c>
      <c r="AN190" s="331">
        <f t="shared" si="78"/>
        <v>0.82814956232072179</v>
      </c>
      <c r="AO190" s="211">
        <f t="shared" si="79"/>
        <v>311.01030097790175</v>
      </c>
      <c r="AP190" s="402">
        <f t="shared" si="64"/>
        <v>-8.0841139781420761</v>
      </c>
      <c r="AQ190" s="211">
        <f t="shared" si="91"/>
        <v>-297</v>
      </c>
      <c r="AR190" s="332">
        <f t="shared" si="92"/>
        <v>-274.5</v>
      </c>
      <c r="AS190" s="333">
        <f t="shared" si="80"/>
        <v>547.61791212524224</v>
      </c>
      <c r="AT190" s="334">
        <f t="shared" si="81"/>
        <v>-236.60761114734046</v>
      </c>
      <c r="AU190" s="335">
        <f t="shared" si="82"/>
        <v>228.52349716919838</v>
      </c>
      <c r="AV190" s="334"/>
      <c r="AW190" s="336">
        <f t="shared" si="83"/>
        <v>-159.94987557200568</v>
      </c>
      <c r="AX190" s="336">
        <f t="shared" si="84"/>
        <v>-114.55012442799431</v>
      </c>
      <c r="AY190" s="337">
        <f t="shared" si="85"/>
        <v>-37.511751594323314</v>
      </c>
      <c r="AZ190" s="337">
        <f t="shared" si="86"/>
        <v>-52.378816958610756</v>
      </c>
      <c r="BA190" s="340">
        <f t="shared" si="87"/>
        <v>37.511751594323314</v>
      </c>
      <c r="BB190" s="340">
        <f t="shared" si="87"/>
        <v>52.378816958610756</v>
      </c>
      <c r="BD190" s="81"/>
      <c r="CM190" s="667"/>
      <c r="CN190" s="667"/>
      <c r="CO190" s="667"/>
      <c r="CP190" s="667"/>
      <c r="CQ190" s="667"/>
      <c r="CR190" s="667"/>
      <c r="CS190" s="667"/>
      <c r="CT190" s="667"/>
      <c r="CU190" s="667"/>
      <c r="CV190" s="667"/>
      <c r="CW190" s="667"/>
      <c r="CX190" s="667"/>
      <c r="CY190" s="667"/>
      <c r="CZ190" s="667"/>
      <c r="DA190" s="667"/>
    </row>
    <row r="191" spans="2:105" ht="32" thickBot="1" x14ac:dyDescent="0.5">
      <c r="B191" s="197">
        <v>12</v>
      </c>
      <c r="C191" s="198"/>
      <c r="D191" s="10">
        <v>0</v>
      </c>
      <c r="E191" s="199" t="s">
        <v>123</v>
      </c>
      <c r="F191" s="178"/>
      <c r="G191" s="178"/>
      <c r="H191" s="389">
        <v>375.54846989999999</v>
      </c>
      <c r="I191" s="390">
        <v>68.183381800000006</v>
      </c>
      <c r="J191" s="361">
        <f t="shared" si="88"/>
        <v>68.183381800000006</v>
      </c>
      <c r="K191" s="361">
        <f t="shared" si="65"/>
        <v>34.091690900000003</v>
      </c>
      <c r="L191" s="361">
        <f t="shared" si="66"/>
        <v>0.56051890240384605</v>
      </c>
      <c r="M191" s="361">
        <f t="shared" si="67"/>
        <v>210.50201614779181</v>
      </c>
      <c r="N191" s="361">
        <f t="shared" si="68"/>
        <v>421.00403229558361</v>
      </c>
      <c r="O191" s="361">
        <f>+C180+D181+D182+D183+D184+D185+D186+D187+D188+D189+D190+(D191/2)</f>
        <v>0</v>
      </c>
      <c r="P191" s="361">
        <f t="shared" si="69"/>
        <v>0</v>
      </c>
      <c r="Q191" s="361">
        <f t="shared" si="70"/>
        <v>0</v>
      </c>
      <c r="R191" s="361">
        <f t="shared" si="71"/>
        <v>236.60761114734083</v>
      </c>
      <c r="S191" s="361">
        <f t="shared" si="89"/>
        <v>236.60761114734083</v>
      </c>
      <c r="T191" s="362">
        <f t="shared" si="63"/>
        <v>236.60761114734083</v>
      </c>
      <c r="V191" s="327">
        <f t="shared" si="72"/>
        <v>0</v>
      </c>
      <c r="W191" s="327"/>
      <c r="X191" s="327"/>
      <c r="Y191" s="327"/>
      <c r="Z191" s="327"/>
      <c r="AA191" s="327"/>
      <c r="AB191" s="363"/>
      <c r="AC191" s="397" t="b">
        <f>IF(AD191=12,AF191)</f>
        <v>0</v>
      </c>
      <c r="AD191" s="397">
        <f t="shared" si="73"/>
        <v>1</v>
      </c>
      <c r="AE191" s="397">
        <f>IF(V191=0,0,12)</f>
        <v>0</v>
      </c>
      <c r="AF191" s="327">
        <f>SUM(V191)/($B$177-B190)</f>
        <v>0</v>
      </c>
      <c r="AG191" s="327"/>
      <c r="AH191" s="339">
        <f>SUM(D181:D191)+$C$180</f>
        <v>0</v>
      </c>
      <c r="AI191" s="399" t="b">
        <f t="shared" si="74"/>
        <v>0</v>
      </c>
      <c r="AJ191" s="207">
        <f t="shared" si="75"/>
        <v>48.341833700000002</v>
      </c>
      <c r="AK191" s="330">
        <f t="shared" si="90"/>
        <v>0.74712369172584447</v>
      </c>
      <c r="AL191" s="209">
        <f t="shared" si="76"/>
        <v>236.60761114734046</v>
      </c>
      <c r="AM191" s="207">
        <f t="shared" si="77"/>
        <v>55.9091199</v>
      </c>
      <c r="AN191" s="331">
        <f t="shared" si="78"/>
        <v>0.82814956232072179</v>
      </c>
      <c r="AO191" s="211">
        <f t="shared" si="79"/>
        <v>311.01030097790175</v>
      </c>
      <c r="AP191" s="402">
        <f t="shared" si="64"/>
        <v>-7.216550526829268</v>
      </c>
      <c r="AQ191" s="211">
        <f t="shared" si="91"/>
        <v>-330</v>
      </c>
      <c r="AR191" s="332">
        <f t="shared" si="92"/>
        <v>-307.5</v>
      </c>
      <c r="AS191" s="333">
        <f t="shared" si="80"/>
        <v>547.61791212524224</v>
      </c>
      <c r="AT191" s="334">
        <f t="shared" si="81"/>
        <v>-236.60761114734046</v>
      </c>
      <c r="AU191" s="335">
        <f t="shared" si="82"/>
        <v>229.39106062051118</v>
      </c>
      <c r="AV191" s="334"/>
      <c r="AW191" s="336">
        <f t="shared" si="83"/>
        <v>-178.69166561397111</v>
      </c>
      <c r="AX191" s="336">
        <f t="shared" si="84"/>
        <v>-128.80833438602889</v>
      </c>
      <c r="AY191" s="337">
        <f t="shared" si="85"/>
        <v>-33.577391421051743</v>
      </c>
      <c r="AZ191" s="337">
        <f t="shared" si="86"/>
        <v>-46.580836780471451</v>
      </c>
      <c r="BA191" s="340">
        <f t="shared" si="87"/>
        <v>33.577391421051743</v>
      </c>
      <c r="BB191" s="340">
        <f t="shared" si="87"/>
        <v>46.580836780471451</v>
      </c>
      <c r="BD191" s="81"/>
      <c r="BG191" s="669"/>
      <c r="BH191" s="135"/>
      <c r="BI191" s="135"/>
      <c r="CM191" s="667"/>
      <c r="CN191" s="667"/>
      <c r="CO191" s="667"/>
      <c r="CP191" s="667"/>
      <c r="CQ191" s="667"/>
      <c r="CR191" s="667"/>
      <c r="CS191" s="667"/>
      <c r="CT191" s="667"/>
      <c r="CU191" s="667"/>
      <c r="CV191" s="667"/>
      <c r="CW191" s="667"/>
      <c r="CX191" s="667"/>
      <c r="CY191" s="667"/>
      <c r="CZ191" s="667"/>
      <c r="DA191" s="667"/>
    </row>
    <row r="192" spans="2:105" ht="32" hidden="1" thickBot="1" x14ac:dyDescent="0.5">
      <c r="U192" s="196"/>
      <c r="AH192" s="435" t="s">
        <v>61</v>
      </c>
      <c r="AI192" s="436">
        <f>MAX(AI180:AI191)</f>
        <v>0</v>
      </c>
      <c r="BD192" s="81"/>
      <c r="BG192" s="669"/>
      <c r="BH192" s="135"/>
      <c r="BI192" s="135"/>
      <c r="CM192" s="667"/>
      <c r="CN192" s="667"/>
      <c r="CO192" s="667"/>
      <c r="CP192" s="667"/>
      <c r="CQ192" s="667"/>
      <c r="CR192" s="667"/>
      <c r="CS192" s="667"/>
      <c r="CT192" s="667"/>
      <c r="CU192" s="667"/>
      <c r="CV192" s="667"/>
      <c r="CW192" s="667"/>
      <c r="CX192" s="667"/>
      <c r="CY192" s="667"/>
      <c r="CZ192" s="667"/>
      <c r="DA192" s="667"/>
    </row>
    <row r="193" spans="2:105" ht="32" hidden="1" thickBot="1" x14ac:dyDescent="0.5">
      <c r="B193" s="251"/>
      <c r="U193" s="196"/>
      <c r="AL193" s="494" t="s">
        <v>156</v>
      </c>
      <c r="AM193" s="495"/>
      <c r="AN193" s="495"/>
      <c r="AO193" s="495"/>
      <c r="AP193" s="496"/>
      <c r="BG193" s="669"/>
      <c r="BH193" s="135"/>
      <c r="BI193" s="135"/>
      <c r="CM193" s="667"/>
      <c r="CN193" s="667"/>
      <c r="CO193" s="667"/>
      <c r="CP193" s="667"/>
      <c r="CQ193" s="667"/>
      <c r="CR193" s="667"/>
      <c r="CS193" s="667"/>
      <c r="CT193" s="667"/>
      <c r="CU193" s="667"/>
      <c r="CV193" s="667"/>
      <c r="CW193" s="667"/>
      <c r="CX193" s="667"/>
      <c r="CY193" s="667"/>
      <c r="CZ193" s="667"/>
      <c r="DA193" s="667"/>
    </row>
    <row r="194" spans="2:105" ht="48" hidden="1" thickBot="1" x14ac:dyDescent="0.5">
      <c r="B194" s="251"/>
      <c r="AB194" s="306"/>
      <c r="AC194" s="306"/>
      <c r="AD194" s="306"/>
      <c r="AE194" s="306"/>
      <c r="AH194" s="429" t="s">
        <v>61</v>
      </c>
      <c r="AI194" s="430">
        <f>MAX(AI180:AI192)</f>
        <v>0</v>
      </c>
      <c r="AL194" s="472" t="s">
        <v>87</v>
      </c>
      <c r="AM194" s="473" t="s">
        <v>88</v>
      </c>
      <c r="AN194" s="473" t="s">
        <v>89</v>
      </c>
      <c r="AO194" s="464" t="s">
        <v>108</v>
      </c>
      <c r="AP194" s="475"/>
      <c r="BG194" s="669"/>
      <c r="BH194" s="135"/>
      <c r="BI194" s="135"/>
      <c r="CM194" s="667"/>
      <c r="CN194" s="667"/>
      <c r="CO194" s="667"/>
      <c r="CP194" s="667"/>
      <c r="CQ194" s="667"/>
      <c r="CR194" s="667"/>
      <c r="CS194" s="667"/>
      <c r="CT194" s="667"/>
      <c r="CU194" s="667"/>
      <c r="CV194" s="667"/>
      <c r="CW194" s="667"/>
      <c r="CX194" s="667"/>
      <c r="CY194" s="667"/>
      <c r="CZ194" s="667"/>
      <c r="DA194" s="667"/>
    </row>
    <row r="195" spans="2:105" ht="32" hidden="1" thickBot="1" x14ac:dyDescent="0.5">
      <c r="B195" s="251"/>
      <c r="AB195" s="306"/>
      <c r="AC195" s="306"/>
      <c r="AD195" s="306"/>
      <c r="AE195" s="306"/>
      <c r="AH195" s="501"/>
      <c r="AI195" s="502"/>
      <c r="AL195" s="476">
        <v>3.3679226</v>
      </c>
      <c r="AM195" s="477">
        <f>+(AI194*-1)-AL195</f>
        <v>-3.3679226</v>
      </c>
      <c r="AN195" s="478">
        <f>COS(AM195*3.14159265358979/180)</f>
        <v>0.99827287452202351</v>
      </c>
      <c r="AO195" s="460">
        <f>+AN195*273.3307633</f>
        <v>272.85868677478982</v>
      </c>
      <c r="AP195" s="479"/>
      <c r="BG195" s="669"/>
      <c r="BH195" s="135"/>
      <c r="BI195" s="135"/>
      <c r="CM195" s="667"/>
      <c r="CN195" s="667"/>
      <c r="CO195" s="667"/>
      <c r="CP195" s="667"/>
      <c r="CQ195" s="667"/>
      <c r="CR195" s="667"/>
      <c r="CS195" s="667"/>
      <c r="CT195" s="667"/>
      <c r="CU195" s="667"/>
      <c r="CV195" s="667"/>
      <c r="CW195" s="667"/>
      <c r="CX195" s="667"/>
      <c r="CY195" s="667"/>
      <c r="CZ195" s="667"/>
      <c r="DA195" s="667"/>
    </row>
    <row r="196" spans="2:105" ht="32" hidden="1" thickBot="1" x14ac:dyDescent="0.5">
      <c r="B196" s="251"/>
      <c r="AB196" s="306"/>
      <c r="AC196" s="306"/>
      <c r="AD196" s="306"/>
      <c r="AE196" s="306"/>
      <c r="AH196" s="501"/>
      <c r="AI196" s="502"/>
      <c r="AL196" s="493" t="s">
        <v>157</v>
      </c>
      <c r="AM196" s="497"/>
      <c r="AN196" s="497"/>
      <c r="AO196" s="497"/>
      <c r="AP196" s="498"/>
      <c r="BG196" s="669"/>
      <c r="BH196" s="135"/>
      <c r="BI196" s="135"/>
      <c r="CM196" s="667"/>
      <c r="CN196" s="667"/>
      <c r="CO196" s="667"/>
      <c r="CP196" s="667"/>
      <c r="CQ196" s="667"/>
      <c r="CR196" s="667"/>
      <c r="CS196" s="667"/>
      <c r="CT196" s="667"/>
      <c r="CU196" s="667"/>
      <c r="CV196" s="667"/>
      <c r="CW196" s="667"/>
      <c r="CX196" s="667"/>
      <c r="CY196" s="667"/>
      <c r="CZ196" s="667"/>
      <c r="DA196" s="667"/>
    </row>
    <row r="197" spans="2:105" ht="76" hidden="1" x14ac:dyDescent="0.45">
      <c r="B197" s="251"/>
      <c r="AB197" s="306"/>
      <c r="AC197" s="306"/>
      <c r="AD197" s="306"/>
      <c r="AE197" s="306"/>
      <c r="AH197" s="501"/>
      <c r="AI197" s="502"/>
      <c r="AL197" s="499"/>
      <c r="AM197" s="473" t="s">
        <v>95</v>
      </c>
      <c r="AN197" s="473" t="s">
        <v>94</v>
      </c>
      <c r="AO197" s="474" t="s">
        <v>158</v>
      </c>
      <c r="AP197" s="492" t="s">
        <v>93</v>
      </c>
      <c r="BG197" s="669"/>
      <c r="BH197" s="135"/>
      <c r="BI197" s="135"/>
      <c r="CM197" s="667"/>
      <c r="CN197" s="667"/>
      <c r="CO197" s="667"/>
      <c r="CP197" s="667"/>
      <c r="CQ197" s="667"/>
      <c r="CR197" s="667"/>
      <c r="CS197" s="667"/>
      <c r="CT197" s="667"/>
      <c r="CU197" s="667"/>
      <c r="CV197" s="667"/>
      <c r="CW197" s="667"/>
      <c r="CX197" s="667"/>
      <c r="CY197" s="667"/>
      <c r="CZ197" s="667"/>
      <c r="DA197" s="667"/>
    </row>
    <row r="198" spans="2:105" ht="32" hidden="1" thickBot="1" x14ac:dyDescent="0.5">
      <c r="V198" s="110"/>
      <c r="W198" s="110"/>
      <c r="X198" s="110"/>
      <c r="Y198" s="110"/>
      <c r="Z198" s="110"/>
      <c r="AA198" s="110"/>
      <c r="AB198" s="110"/>
      <c r="AC198" s="110"/>
      <c r="AD198" s="110"/>
      <c r="AE198" s="110"/>
      <c r="AF198" s="110"/>
      <c r="AG198" s="110"/>
      <c r="AH198" s="110"/>
      <c r="AI198" s="110"/>
      <c r="AJ198" s="110"/>
      <c r="AK198" s="110"/>
      <c r="AL198" s="500"/>
      <c r="AM198" s="480">
        <f>+AI194</f>
        <v>0</v>
      </c>
      <c r="AN198" s="481">
        <f>SIN(AM198*3.14159265358979/180)</f>
        <v>0</v>
      </c>
      <c r="AO198" s="482">
        <f>+AN198*((+B140*193.7277797)+(B177*421)+69+69+69)</f>
        <v>0</v>
      </c>
      <c r="AP198" s="483">
        <f>+AO195+AO198</f>
        <v>272.85868677478982</v>
      </c>
      <c r="AQ198" s="110"/>
      <c r="AR198" s="110"/>
      <c r="AS198" s="110"/>
      <c r="AT198" s="110">
        <f>+AS180-AP180</f>
        <v>366.94871474033687</v>
      </c>
      <c r="AU198" s="110"/>
      <c r="AV198" s="110"/>
      <c r="AW198" s="110"/>
      <c r="AX198" s="110"/>
      <c r="AY198" s="110"/>
      <c r="AZ198" s="110"/>
      <c r="BA198" s="110"/>
      <c r="BB198" s="110"/>
      <c r="BC198" s="77"/>
      <c r="BG198" s="669"/>
      <c r="BH198" s="135"/>
      <c r="BI198" s="135"/>
      <c r="CM198" s="667"/>
      <c r="CN198" s="667"/>
      <c r="CO198" s="667"/>
      <c r="CP198" s="667"/>
      <c r="CQ198" s="667"/>
      <c r="CR198" s="667"/>
      <c r="CS198" s="667"/>
      <c r="CT198" s="667"/>
      <c r="CU198" s="667"/>
      <c r="CV198" s="667"/>
      <c r="CW198" s="667"/>
      <c r="CX198" s="667"/>
      <c r="CY198" s="667"/>
      <c r="CZ198" s="667"/>
      <c r="DA198" s="667"/>
    </row>
    <row r="199" spans="2:105" ht="32" thickBot="1" x14ac:dyDescent="0.5"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110"/>
      <c r="AH199" s="110"/>
      <c r="AI199" s="110"/>
      <c r="AJ199" s="110"/>
      <c r="AK199" s="110"/>
      <c r="AL199" s="110"/>
      <c r="AM199" s="110"/>
      <c r="AN199" s="110"/>
      <c r="AO199" s="110"/>
      <c r="AP199" s="110"/>
      <c r="AQ199" s="110"/>
      <c r="AR199" s="110"/>
      <c r="AS199" s="110"/>
      <c r="AT199" s="110"/>
      <c r="AU199" s="110"/>
      <c r="AV199" s="110"/>
      <c r="AW199" s="110"/>
      <c r="AX199" s="110"/>
      <c r="AY199" s="110"/>
      <c r="AZ199" s="110"/>
      <c r="BA199" s="110"/>
      <c r="BB199" s="110"/>
      <c r="BC199" s="77"/>
      <c r="BG199" s="669"/>
      <c r="BH199" s="135"/>
      <c r="BI199" s="135"/>
      <c r="CM199" s="667"/>
      <c r="CN199" s="667"/>
      <c r="CO199" s="667"/>
      <c r="CP199" s="667"/>
      <c r="CQ199" s="667"/>
      <c r="CR199" s="667"/>
      <c r="CS199" s="667"/>
      <c r="CT199" s="667"/>
      <c r="CU199" s="667"/>
      <c r="CV199" s="667"/>
      <c r="CW199" s="667"/>
      <c r="CX199" s="667"/>
      <c r="CY199" s="667"/>
      <c r="CZ199" s="667"/>
      <c r="DA199" s="667"/>
    </row>
    <row r="200" spans="2:105" ht="77.25" customHeight="1" thickBot="1" x14ac:dyDescent="0.5">
      <c r="B200" s="247" t="s">
        <v>86</v>
      </c>
      <c r="C200" s="343"/>
      <c r="D200" s="344"/>
      <c r="E200" s="17"/>
      <c r="F200" s="17"/>
      <c r="G200" s="17"/>
      <c r="H200" s="345"/>
      <c r="I200" s="345"/>
      <c r="J200" s="345"/>
      <c r="K200" s="345"/>
      <c r="L200" s="345"/>
      <c r="M200" s="345"/>
      <c r="N200" s="345"/>
      <c r="O200" s="345"/>
      <c r="P200" s="345"/>
      <c r="Q200" s="345"/>
      <c r="R200" s="345"/>
      <c r="S200" s="346" t="s">
        <v>141</v>
      </c>
      <c r="T200" s="346">
        <f>SUM(V204:V227)/B201</f>
        <v>147.93928579999999</v>
      </c>
      <c r="U200" s="133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0"/>
      <c r="AF200" s="110"/>
      <c r="AG200" s="110"/>
      <c r="AH200" s="110"/>
      <c r="AI200" s="110"/>
      <c r="AJ200" s="110"/>
      <c r="AK200" s="110"/>
      <c r="AL200" s="110"/>
      <c r="AM200" s="110"/>
      <c r="AN200" s="110"/>
      <c r="AO200" s="110"/>
      <c r="AP200" s="110"/>
      <c r="AQ200" s="110"/>
      <c r="AR200" s="110"/>
      <c r="AS200" s="110"/>
      <c r="AT200" s="110"/>
      <c r="AU200" s="110"/>
      <c r="AV200" s="110"/>
      <c r="AW200" s="110"/>
      <c r="AX200" s="110"/>
      <c r="AY200" s="110"/>
      <c r="AZ200" s="110"/>
      <c r="BA200" s="110"/>
      <c r="BB200" s="110"/>
      <c r="BC200" s="77"/>
      <c r="BG200" s="669"/>
      <c r="BH200" s="135"/>
      <c r="BI200" s="135"/>
      <c r="CM200" s="667"/>
      <c r="CN200" s="667"/>
      <c r="CO200" s="667"/>
      <c r="CP200" s="667"/>
      <c r="CQ200" s="667"/>
      <c r="CR200" s="667"/>
      <c r="CS200" s="667"/>
      <c r="CT200" s="667"/>
      <c r="CU200" s="667"/>
      <c r="CV200" s="667"/>
      <c r="CW200" s="667"/>
      <c r="CX200" s="667"/>
      <c r="CY200" s="667"/>
      <c r="CZ200" s="667"/>
      <c r="DA200" s="667"/>
    </row>
    <row r="201" spans="2:105" ht="32" thickBot="1" x14ac:dyDescent="0.5">
      <c r="B201" s="11">
        <v>1</v>
      </c>
      <c r="C201" s="377"/>
      <c r="D201" s="304" t="s">
        <v>101</v>
      </c>
      <c r="E201" s="234"/>
      <c r="F201" s="234"/>
      <c r="G201" s="234"/>
      <c r="H201" s="348"/>
      <c r="I201" s="349"/>
      <c r="J201" s="349"/>
      <c r="K201" s="349"/>
      <c r="L201" s="349"/>
      <c r="M201" s="349"/>
      <c r="N201" s="349"/>
      <c r="O201" s="349"/>
      <c r="P201" s="349"/>
      <c r="Q201" s="349"/>
      <c r="R201" s="349"/>
      <c r="S201" s="350"/>
      <c r="T201" s="351"/>
      <c r="U201" s="293"/>
      <c r="V201" s="352"/>
      <c r="W201" s="352"/>
      <c r="X201" s="352"/>
      <c r="Y201" s="352"/>
      <c r="Z201" s="352"/>
      <c r="AA201" s="352"/>
      <c r="AB201" s="352"/>
      <c r="AC201" s="352"/>
      <c r="AD201" s="352"/>
      <c r="AE201" s="352"/>
      <c r="AF201" s="352"/>
      <c r="AG201" s="352"/>
      <c r="AH201" s="352"/>
      <c r="AI201" s="352"/>
      <c r="AJ201" s="352"/>
      <c r="AK201" s="352"/>
      <c r="AL201" s="352"/>
      <c r="AM201" s="352"/>
      <c r="AN201" s="352"/>
      <c r="AO201" s="352"/>
      <c r="AP201" s="352"/>
      <c r="AQ201" s="352"/>
      <c r="AR201" s="352"/>
      <c r="AS201" s="352"/>
      <c r="AT201" s="352"/>
      <c r="AU201" s="352"/>
      <c r="AV201" s="352"/>
      <c r="AW201" s="352"/>
      <c r="AX201" s="352"/>
      <c r="AY201" s="352"/>
      <c r="AZ201" s="352"/>
      <c r="BA201" s="1014" t="s">
        <v>50</v>
      </c>
      <c r="BB201" s="1015"/>
      <c r="BC201" s="138"/>
      <c r="BG201" s="669"/>
      <c r="BH201" s="135"/>
      <c r="BI201" s="135"/>
      <c r="CM201" s="667"/>
      <c r="CN201" s="667"/>
      <c r="CO201" s="667"/>
      <c r="CP201" s="667"/>
      <c r="CQ201" s="667"/>
      <c r="CR201" s="667"/>
      <c r="CS201" s="667"/>
      <c r="CT201" s="667"/>
      <c r="CU201" s="667"/>
      <c r="CV201" s="667"/>
      <c r="CW201" s="667"/>
      <c r="CX201" s="667"/>
      <c r="CY201" s="667"/>
      <c r="CZ201" s="667"/>
      <c r="DA201" s="667"/>
    </row>
    <row r="202" spans="2:105" ht="32" hidden="1" thickBot="1" x14ac:dyDescent="0.5">
      <c r="C202" s="307"/>
      <c r="D202" s="255" t="s">
        <v>13</v>
      </c>
      <c r="E202" s="527" t="s">
        <v>122</v>
      </c>
      <c r="H202" s="353" t="s">
        <v>4</v>
      </c>
      <c r="I202" s="353" t="s">
        <v>1</v>
      </c>
      <c r="J202" s="345" t="s">
        <v>0</v>
      </c>
      <c r="K202" s="345" t="s">
        <v>2</v>
      </c>
      <c r="L202" s="345" t="s">
        <v>3</v>
      </c>
      <c r="M202" s="345" t="s">
        <v>8</v>
      </c>
      <c r="N202" s="345" t="s">
        <v>5</v>
      </c>
      <c r="O202" s="345" t="s">
        <v>6</v>
      </c>
      <c r="P202" s="345" t="s">
        <v>7</v>
      </c>
      <c r="Q202" s="345" t="s">
        <v>9</v>
      </c>
      <c r="R202" s="354" t="s">
        <v>10</v>
      </c>
      <c r="S202" s="345" t="s">
        <v>11</v>
      </c>
      <c r="T202" s="355" t="s">
        <v>12</v>
      </c>
      <c r="V202" s="311"/>
      <c r="W202" s="311"/>
      <c r="X202" s="311"/>
      <c r="Y202" s="311"/>
      <c r="Z202" s="311"/>
      <c r="AA202" s="311"/>
      <c r="AB202" s="311"/>
      <c r="AC202" s="311"/>
      <c r="AD202" s="311"/>
      <c r="AE202" s="311"/>
      <c r="AF202" s="311"/>
      <c r="AG202" s="311"/>
      <c r="AH202" s="311"/>
      <c r="AI202" s="311"/>
      <c r="AJ202" s="311"/>
      <c r="AK202" s="311"/>
      <c r="AL202" s="311"/>
      <c r="AM202" s="311"/>
      <c r="AN202" s="311"/>
      <c r="AO202" s="311"/>
      <c r="AP202" s="311"/>
      <c r="AQ202" s="311"/>
      <c r="AR202" s="311"/>
      <c r="AS202" s="311"/>
      <c r="AT202" s="311"/>
      <c r="AU202" s="311"/>
      <c r="AV202" s="311"/>
      <c r="AW202" s="311"/>
      <c r="AX202" s="311"/>
      <c r="AY202" s="306"/>
      <c r="AZ202" s="311"/>
      <c r="BA202" s="311"/>
      <c r="BB202" s="311"/>
      <c r="BC202" s="151"/>
      <c r="BG202" s="669"/>
      <c r="BH202" s="135"/>
      <c r="BI202" s="135"/>
      <c r="CM202" s="667"/>
      <c r="CN202" s="667"/>
      <c r="CO202" s="667"/>
      <c r="CP202" s="667"/>
      <c r="CQ202" s="667"/>
      <c r="CR202" s="667"/>
      <c r="CS202" s="667"/>
      <c r="CT202" s="667"/>
      <c r="CU202" s="667"/>
      <c r="CV202" s="667"/>
      <c r="CW202" s="667"/>
      <c r="CX202" s="667"/>
      <c r="CY202" s="667"/>
      <c r="CZ202" s="667"/>
      <c r="DA202" s="667"/>
    </row>
    <row r="203" spans="2:105" ht="45" customHeight="1" thickBot="1" x14ac:dyDescent="0.5">
      <c r="B203" s="312"/>
      <c r="C203" s="313"/>
      <c r="D203" s="432" t="s">
        <v>22</v>
      </c>
      <c r="E203" s="234"/>
      <c r="F203" s="356" t="s">
        <v>45</v>
      </c>
      <c r="G203" s="160"/>
      <c r="H203" s="357"/>
      <c r="I203" s="358"/>
      <c r="R203" s="354"/>
      <c r="T203" s="359"/>
      <c r="V203" s="311"/>
      <c r="W203" s="311"/>
      <c r="X203" s="311"/>
      <c r="Y203" s="311"/>
      <c r="Z203" s="311"/>
      <c r="AA203" s="311"/>
      <c r="AB203" s="311"/>
      <c r="AC203" s="311"/>
      <c r="AD203" s="311"/>
      <c r="AE203" s="311"/>
      <c r="AF203" s="311" t="s">
        <v>38</v>
      </c>
      <c r="AG203" s="433" t="s">
        <v>75</v>
      </c>
      <c r="AH203" s="316" t="s">
        <v>31</v>
      </c>
      <c r="AI203" s="316"/>
      <c r="AJ203" s="165" t="s">
        <v>104</v>
      </c>
      <c r="AK203" s="317" t="s">
        <v>32</v>
      </c>
      <c r="AL203" s="167" t="s">
        <v>33</v>
      </c>
      <c r="AM203" s="165" t="s">
        <v>105</v>
      </c>
      <c r="AN203" s="318" t="s">
        <v>34</v>
      </c>
      <c r="AO203" s="169" t="s">
        <v>35</v>
      </c>
      <c r="AP203" s="318"/>
      <c r="AQ203" s="360" t="s">
        <v>36</v>
      </c>
      <c r="AR203" s="311"/>
      <c r="AS203" s="311" t="s">
        <v>37</v>
      </c>
      <c r="AT203" s="311" t="s">
        <v>39</v>
      </c>
      <c r="AU203" s="311"/>
      <c r="AV203" s="311" t="s">
        <v>40</v>
      </c>
      <c r="AW203" s="320" t="s">
        <v>41</v>
      </c>
      <c r="AX203" s="320" t="s">
        <v>42</v>
      </c>
      <c r="AY203" s="321" t="s">
        <v>23</v>
      </c>
      <c r="AZ203" s="321" t="s">
        <v>24</v>
      </c>
      <c r="BA203" s="322" t="s">
        <v>23</v>
      </c>
      <c r="BB203" s="322" t="s">
        <v>24</v>
      </c>
      <c r="BG203" s="669"/>
      <c r="BH203" s="135"/>
      <c r="BI203" s="135"/>
      <c r="CM203" s="667"/>
      <c r="CN203" s="667"/>
      <c r="CO203" s="667"/>
      <c r="CP203" s="667"/>
      <c r="CQ203" s="667"/>
      <c r="CR203" s="667"/>
      <c r="CS203" s="667"/>
      <c r="CT203" s="667"/>
      <c r="CU203" s="667"/>
      <c r="CV203" s="667"/>
      <c r="CW203" s="667"/>
      <c r="CX203" s="667"/>
      <c r="CY203" s="667"/>
      <c r="CZ203" s="667"/>
      <c r="DA203" s="667"/>
    </row>
    <row r="204" spans="2:105" ht="25" customHeight="1" thickBot="1" x14ac:dyDescent="0.5">
      <c r="B204" s="175">
        <v>1</v>
      </c>
      <c r="C204" s="176">
        <f>+AI194+D204</f>
        <v>0</v>
      </c>
      <c r="D204" s="10">
        <v>0</v>
      </c>
      <c r="E204" s="177" t="s">
        <v>103</v>
      </c>
      <c r="F204" s="178">
        <f>+G204</f>
        <v>0</v>
      </c>
      <c r="G204" s="178">
        <f>+D204</f>
        <v>0</v>
      </c>
      <c r="H204" s="389">
        <v>176.8294247</v>
      </c>
      <c r="I204" s="390">
        <v>66.429896499999998</v>
      </c>
      <c r="J204" s="391">
        <f>+I204-C204</f>
        <v>66.429896499999998</v>
      </c>
      <c r="K204" s="391">
        <f>+J204/2</f>
        <v>33.214948249999999</v>
      </c>
      <c r="L204" s="391">
        <f t="shared" ref="L204:L223" si="93">SIN(K204*3.14159265358979/180)</f>
        <v>0.54778151346749804</v>
      </c>
      <c r="M204" s="391">
        <f t="shared" ref="M204:M223" si="94">+L204*H204</f>
        <v>96.863889887752975</v>
      </c>
      <c r="N204" s="391">
        <f t="shared" ref="N204:N223" si="95">+M204*2</f>
        <v>193.72777977550595</v>
      </c>
      <c r="O204" s="391">
        <f>+C204/2</f>
        <v>0</v>
      </c>
      <c r="P204" s="391">
        <f t="shared" ref="P204:P223" si="96">SIN(O204*3.14159265358979/180)</f>
        <v>0</v>
      </c>
      <c r="Q204" s="391">
        <f t="shared" ref="Q204:Q223" si="97">+P204*N204</f>
        <v>0</v>
      </c>
      <c r="R204" s="392">
        <v>147.93928579999999</v>
      </c>
      <c r="S204" s="391">
        <f>+R204+Q204</f>
        <v>147.93928579999999</v>
      </c>
      <c r="T204" s="393">
        <f t="shared" ref="T204:T223" si="98">+S204</f>
        <v>147.93928579999999</v>
      </c>
      <c r="U204" s="345"/>
      <c r="V204" s="394">
        <f t="shared" ref="V204:V223" si="99">IF(B204&lt;($B$201+1),T204,0)</f>
        <v>147.93928579999999</v>
      </c>
      <c r="W204" s="395"/>
      <c r="X204" s="394"/>
      <c r="Y204" s="395"/>
      <c r="Z204" s="310"/>
      <c r="AA204" s="396"/>
      <c r="AB204" s="363" t="str">
        <f t="shared" ref="AB204:AB227" si="100">IF(AZ204&lt;0,"use the ground stack hole"," ")</f>
        <v xml:space="preserve"> </v>
      </c>
      <c r="AC204" s="397"/>
      <c r="AD204" s="397"/>
      <c r="AE204" s="397"/>
      <c r="AF204" s="394">
        <f>SUM(V204:V227)/($B$201)</f>
        <v>147.93928579999999</v>
      </c>
      <c r="AG204" s="394">
        <f>+AF204+AA180+AA143</f>
        <v>147.93928574070983</v>
      </c>
      <c r="AH204" s="398">
        <f>C204</f>
        <v>0</v>
      </c>
      <c r="AI204" s="399"/>
      <c r="AJ204" s="185">
        <f>74.8522391-AH204</f>
        <v>74.852239100000006</v>
      </c>
      <c r="AK204" s="400">
        <f t="shared" ref="AK204:AK223" si="101">SIN(AJ204*3.14159265358979/180)</f>
        <v>0.96525514282827984</v>
      </c>
      <c r="AL204" s="209">
        <f>+AK204*193.2389666</f>
        <v>186.5249063054722</v>
      </c>
      <c r="AM204" s="207">
        <f>56.7850518+AH204</f>
        <v>56.785051799999998</v>
      </c>
      <c r="AN204" s="401">
        <f>SIN(AM204*3.14159265358979/180)</f>
        <v>0.83662142830740083</v>
      </c>
      <c r="AO204" s="211">
        <f>+AN204*176.8294247</f>
        <v>147.93928585928998</v>
      </c>
      <c r="AP204" s="402"/>
      <c r="AQ204" s="189">
        <f>15*B201</f>
        <v>15</v>
      </c>
      <c r="AR204" s="402"/>
      <c r="AS204" s="403">
        <f>+AO204+AL204</f>
        <v>334.46419216476215</v>
      </c>
      <c r="AT204" s="404">
        <f>+V204-AO204</f>
        <v>-5.9289988030286622E-8</v>
      </c>
      <c r="AU204" s="405"/>
      <c r="AV204" s="404">
        <f>+AF204-AT204</f>
        <v>147.93928585928998</v>
      </c>
      <c r="AW204" s="406">
        <f>+((AS204-AV204)/AS204)*AQ204</f>
        <v>8.3652410635450245</v>
      </c>
      <c r="AX204" s="406">
        <f>+(AV204/AS204)*AQ204</f>
        <v>6.6347589364549746</v>
      </c>
      <c r="AY204" s="337">
        <f t="shared" ref="AY204:AY223" si="102">2*$C$18/AW204</f>
        <v>956.33825005513438</v>
      </c>
      <c r="AZ204" s="337">
        <f t="shared" ref="AZ204:AZ223" si="103">$D$18/AX204</f>
        <v>663.1740568333247</v>
      </c>
      <c r="BA204" s="340">
        <f>ABS(AY204)</f>
        <v>956.33825005513438</v>
      </c>
      <c r="BB204" s="340">
        <f>ABS(AZ204)</f>
        <v>663.1740568333247</v>
      </c>
      <c r="BC204" s="51" t="s">
        <v>43</v>
      </c>
      <c r="BG204" s="669"/>
      <c r="BH204" s="135"/>
      <c r="BI204" s="135"/>
      <c r="CM204" s="667"/>
      <c r="CN204" s="667"/>
      <c r="CO204" s="667"/>
      <c r="CP204" s="667"/>
      <c r="CQ204" s="667"/>
      <c r="CR204" s="667"/>
      <c r="CS204" s="667"/>
      <c r="CT204" s="667"/>
      <c r="CU204" s="667"/>
      <c r="CV204" s="667"/>
      <c r="CW204" s="667"/>
      <c r="CX204" s="667"/>
      <c r="CY204" s="667"/>
      <c r="CZ204" s="667"/>
      <c r="DA204" s="667"/>
    </row>
    <row r="205" spans="2:105" ht="25" customHeight="1" thickBot="1" x14ac:dyDescent="0.35">
      <c r="B205" s="197">
        <v>2</v>
      </c>
      <c r="C205" s="198"/>
      <c r="D205" s="10">
        <v>0</v>
      </c>
      <c r="E205" s="178" t="s">
        <v>121</v>
      </c>
      <c r="F205" s="178" t="e">
        <f t="shared" ref="F205:F223" si="104">+G205</f>
        <v>#DIV/0!</v>
      </c>
      <c r="G205" s="178" t="e">
        <f>+D205+BC205</f>
        <v>#DIV/0!</v>
      </c>
      <c r="H205" s="389">
        <v>176.8294247</v>
      </c>
      <c r="I205" s="390">
        <v>66.429896499999998</v>
      </c>
      <c r="J205" s="361">
        <f t="shared" ref="J205:J223" si="105">+I205-D205</f>
        <v>66.429896499999998</v>
      </c>
      <c r="K205" s="361">
        <f t="shared" ref="K205:K223" si="106">+J205/2</f>
        <v>33.214948249999999</v>
      </c>
      <c r="L205" s="361">
        <f t="shared" si="93"/>
        <v>0.54778151346749804</v>
      </c>
      <c r="M205" s="361">
        <f t="shared" si="94"/>
        <v>96.863889887752975</v>
      </c>
      <c r="N205" s="361">
        <f t="shared" si="95"/>
        <v>193.72777977550595</v>
      </c>
      <c r="O205" s="361">
        <f>+C204+(D205/2)</f>
        <v>0</v>
      </c>
      <c r="P205" s="361">
        <f t="shared" si="96"/>
        <v>0</v>
      </c>
      <c r="Q205" s="361">
        <f t="shared" si="97"/>
        <v>0</v>
      </c>
      <c r="R205" s="361">
        <f t="shared" ref="R205:R223" si="107">+T204</f>
        <v>147.93928579999999</v>
      </c>
      <c r="S205" s="361">
        <f>+R205+Q205</f>
        <v>147.93928579999999</v>
      </c>
      <c r="T205" s="362">
        <f t="shared" si="98"/>
        <v>147.93928579999999</v>
      </c>
      <c r="V205" s="327">
        <f t="shared" si="99"/>
        <v>0</v>
      </c>
      <c r="W205" s="327"/>
      <c r="X205" s="327"/>
      <c r="Y205" s="327"/>
      <c r="Z205" s="327"/>
      <c r="AA205" s="327"/>
      <c r="AB205" s="363" t="e">
        <f t="shared" si="100"/>
        <v>#DIV/0!</v>
      </c>
      <c r="AC205" s="397"/>
      <c r="AD205" s="397"/>
      <c r="AE205" s="397"/>
      <c r="AF205" s="327" t="e">
        <f>SUM(V205:V228)/($B$201-B204)</f>
        <v>#DIV/0!</v>
      </c>
      <c r="AG205" s="327"/>
      <c r="AH205" s="339">
        <f>SUM(D205)+$C$204</f>
        <v>0</v>
      </c>
      <c r="AI205" s="399"/>
      <c r="AJ205" s="207">
        <f t="shared" ref="AJ205:AJ227" si="108">74.8522391-AH205</f>
        <v>74.852239100000006</v>
      </c>
      <c r="AK205" s="330">
        <f t="shared" si="101"/>
        <v>0.96525514282827984</v>
      </c>
      <c r="AL205" s="209">
        <f t="shared" ref="AL205:AL227" si="109">+AK205*193.2389666</f>
        <v>186.5249063054722</v>
      </c>
      <c r="AM205" s="207">
        <f t="shared" ref="AM205:AM227" si="110">56.7850518+AH205</f>
        <v>56.785051799999998</v>
      </c>
      <c r="AN205" s="331">
        <f t="shared" ref="AN205:AN223" si="111">SIN(AM205*3.14159265358979/180)</f>
        <v>0.83662142830740083</v>
      </c>
      <c r="AO205" s="211">
        <f t="shared" ref="AO205:AO227" si="112">+AN205*176.8294247</f>
        <v>147.93928585928998</v>
      </c>
      <c r="AP205" s="402"/>
      <c r="AQ205" s="211">
        <f>15*($B$201-B204)</f>
        <v>0</v>
      </c>
      <c r="AR205" s="332"/>
      <c r="AS205" s="333">
        <f t="shared" ref="AS205:AS223" si="113">+AO205+AL205</f>
        <v>334.46419216476215</v>
      </c>
      <c r="AT205" s="334">
        <f>+V205-AO205</f>
        <v>-147.93928585928998</v>
      </c>
      <c r="AU205" s="335"/>
      <c r="AV205" s="334" t="e">
        <f>+AF205-AT205</f>
        <v>#DIV/0!</v>
      </c>
      <c r="AW205" s="336" t="e">
        <f t="shared" ref="AW205:AW223" si="114">+((AS205-AV205)/AS205)*AQ205</f>
        <v>#DIV/0!</v>
      </c>
      <c r="AX205" s="336" t="e">
        <f t="shared" ref="AX205:AX223" si="115">+(AV205/AS205)*AQ205</f>
        <v>#DIV/0!</v>
      </c>
      <c r="AY205" s="337" t="e">
        <f t="shared" si="102"/>
        <v>#DIV/0!</v>
      </c>
      <c r="AZ205" s="337" t="e">
        <f t="shared" si="103"/>
        <v>#DIV/0!</v>
      </c>
      <c r="BA205" s="340" t="e">
        <f t="shared" ref="BA205:BB223" si="116">ABS(AY205)</f>
        <v>#DIV/0!</v>
      </c>
      <c r="BB205" s="340" t="e">
        <f t="shared" si="116"/>
        <v>#DIV/0!</v>
      </c>
      <c r="BC205" t="e">
        <f t="shared" ref="BC205:BC223" si="117">IF(AZ205&lt;0,0.3,0)</f>
        <v>#DIV/0!</v>
      </c>
      <c r="CM205" s="667"/>
      <c r="CN205" s="667"/>
      <c r="CO205" s="667"/>
      <c r="CP205" s="667"/>
      <c r="CQ205" s="667"/>
      <c r="CR205" s="667"/>
      <c r="CS205" s="667"/>
      <c r="CT205" s="667"/>
      <c r="CU205" s="667"/>
      <c r="CV205" s="667"/>
      <c r="CW205" s="667"/>
      <c r="CX205" s="667"/>
      <c r="CY205" s="667"/>
      <c r="CZ205" s="667"/>
      <c r="DA205" s="667"/>
    </row>
    <row r="206" spans="2:105" ht="25" customHeight="1" thickBot="1" x14ac:dyDescent="0.35">
      <c r="B206" s="197">
        <v>3</v>
      </c>
      <c r="C206" s="198"/>
      <c r="D206" s="10">
        <v>0</v>
      </c>
      <c r="E206" s="178" t="s">
        <v>121</v>
      </c>
      <c r="F206" s="178">
        <f t="shared" si="104"/>
        <v>0.3</v>
      </c>
      <c r="G206" s="178">
        <f t="shared" ref="G206:G223" si="118">+D206+BC206</f>
        <v>0.3</v>
      </c>
      <c r="H206" s="389">
        <v>176.8294247</v>
      </c>
      <c r="I206" s="390">
        <v>66.429896499999998</v>
      </c>
      <c r="J206" s="361">
        <f t="shared" si="105"/>
        <v>66.429896499999998</v>
      </c>
      <c r="K206" s="361">
        <f t="shared" si="106"/>
        <v>33.214948249999999</v>
      </c>
      <c r="L206" s="361">
        <f t="shared" si="93"/>
        <v>0.54778151346749804</v>
      </c>
      <c r="M206" s="361">
        <f t="shared" si="94"/>
        <v>96.863889887752975</v>
      </c>
      <c r="N206" s="361">
        <f t="shared" si="95"/>
        <v>193.72777977550595</v>
      </c>
      <c r="O206" s="361">
        <f>+C204+D205+(D206/2)</f>
        <v>0</v>
      </c>
      <c r="P206" s="361">
        <f t="shared" si="96"/>
        <v>0</v>
      </c>
      <c r="Q206" s="361">
        <f t="shared" si="97"/>
        <v>0</v>
      </c>
      <c r="R206" s="361">
        <f t="shared" si="107"/>
        <v>147.93928579999999</v>
      </c>
      <c r="S206" s="361">
        <f t="shared" ref="S206:S223" si="119">+S205+Q206</f>
        <v>147.93928579999999</v>
      </c>
      <c r="T206" s="362">
        <f t="shared" si="98"/>
        <v>147.93928579999999</v>
      </c>
      <c r="V206" s="327">
        <f t="shared" si="99"/>
        <v>0</v>
      </c>
      <c r="W206" s="327"/>
      <c r="X206" s="327"/>
      <c r="Y206" s="327"/>
      <c r="Z206" s="327"/>
      <c r="AA206" s="327"/>
      <c r="AB206" s="363" t="str">
        <f t="shared" si="100"/>
        <v>use the ground stack hole</v>
      </c>
      <c r="AC206" s="397"/>
      <c r="AD206" s="397"/>
      <c r="AE206" s="397"/>
      <c r="AF206" s="327">
        <f>SUM(V206:V227)/($B$201-B205)</f>
        <v>0</v>
      </c>
      <c r="AG206" s="327"/>
      <c r="AH206" s="339">
        <f>SUM(D205:D206)+$C$204</f>
        <v>0</v>
      </c>
      <c r="AI206" s="399"/>
      <c r="AJ206" s="207">
        <f t="shared" si="108"/>
        <v>74.852239100000006</v>
      </c>
      <c r="AK206" s="330">
        <f t="shared" si="101"/>
        <v>0.96525514282827984</v>
      </c>
      <c r="AL206" s="209">
        <f t="shared" si="109"/>
        <v>186.5249063054722</v>
      </c>
      <c r="AM206" s="207">
        <f t="shared" si="110"/>
        <v>56.785051799999998</v>
      </c>
      <c r="AN206" s="331">
        <f t="shared" si="111"/>
        <v>0.83662142830740083</v>
      </c>
      <c r="AO206" s="211">
        <f t="shared" si="112"/>
        <v>147.93928585928998</v>
      </c>
      <c r="AP206" s="402"/>
      <c r="AQ206" s="211">
        <f t="shared" ref="AQ206:AQ227" si="120">15*($B$201-B205)</f>
        <v>-15</v>
      </c>
      <c r="AR206" s="332"/>
      <c r="AS206" s="333">
        <f t="shared" si="113"/>
        <v>334.46419216476215</v>
      </c>
      <c r="AT206" s="334">
        <f>+V206-AO206</f>
        <v>-147.93928585928998</v>
      </c>
      <c r="AU206" s="335"/>
      <c r="AV206" s="334">
        <f>+AF206-AT206</f>
        <v>147.93928585928998</v>
      </c>
      <c r="AW206" s="336">
        <f t="shared" si="114"/>
        <v>-8.3652410635450245</v>
      </c>
      <c r="AX206" s="336">
        <f t="shared" si="115"/>
        <v>-6.6347589364549746</v>
      </c>
      <c r="AY206" s="337">
        <f t="shared" si="102"/>
        <v>-956.33825005513438</v>
      </c>
      <c r="AZ206" s="337">
        <f t="shared" si="103"/>
        <v>-663.1740568333247</v>
      </c>
      <c r="BA206" s="340">
        <f t="shared" si="116"/>
        <v>956.33825005513438</v>
      </c>
      <c r="BB206" s="340">
        <f t="shared" si="116"/>
        <v>663.1740568333247</v>
      </c>
      <c r="BC206">
        <f t="shared" si="117"/>
        <v>0.3</v>
      </c>
      <c r="CM206" s="667"/>
      <c r="CN206" s="667"/>
      <c r="CO206" s="667"/>
      <c r="CP206" s="667"/>
      <c r="CQ206" s="667"/>
      <c r="CR206" s="667"/>
      <c r="CS206" s="667"/>
      <c r="CT206" s="667"/>
      <c r="CU206" s="667"/>
      <c r="CV206" s="667"/>
      <c r="CW206" s="667"/>
      <c r="CX206" s="667"/>
      <c r="CY206" s="667"/>
      <c r="CZ206" s="667"/>
      <c r="DA206" s="667"/>
    </row>
    <row r="207" spans="2:105" ht="25" customHeight="1" thickBot="1" x14ac:dyDescent="0.35">
      <c r="B207" s="197">
        <v>4</v>
      </c>
      <c r="C207" s="198"/>
      <c r="D207" s="10">
        <v>0</v>
      </c>
      <c r="E207" s="178" t="s">
        <v>121</v>
      </c>
      <c r="F207" s="178">
        <f t="shared" si="104"/>
        <v>0.3</v>
      </c>
      <c r="G207" s="178">
        <f t="shared" si="118"/>
        <v>0.3</v>
      </c>
      <c r="H207" s="389">
        <v>176.8294247</v>
      </c>
      <c r="I207" s="390">
        <v>66.429896499999998</v>
      </c>
      <c r="J207" s="361">
        <f t="shared" si="105"/>
        <v>66.429896499999998</v>
      </c>
      <c r="K207" s="361">
        <f t="shared" si="106"/>
        <v>33.214948249999999</v>
      </c>
      <c r="L207" s="361">
        <f t="shared" si="93"/>
        <v>0.54778151346749804</v>
      </c>
      <c r="M207" s="361">
        <f t="shared" si="94"/>
        <v>96.863889887752975</v>
      </c>
      <c r="N207" s="361">
        <f t="shared" si="95"/>
        <v>193.72777977550595</v>
      </c>
      <c r="O207" s="361">
        <f>+C204+D205+D206+(D207/2)</f>
        <v>0</v>
      </c>
      <c r="P207" s="361">
        <f t="shared" si="96"/>
        <v>0</v>
      </c>
      <c r="Q207" s="361">
        <f t="shared" si="97"/>
        <v>0</v>
      </c>
      <c r="R207" s="361">
        <f t="shared" si="107"/>
        <v>147.93928579999999</v>
      </c>
      <c r="S207" s="361">
        <f t="shared" si="119"/>
        <v>147.93928579999999</v>
      </c>
      <c r="T207" s="362">
        <f t="shared" si="98"/>
        <v>147.93928579999999</v>
      </c>
      <c r="V207" s="327">
        <f t="shared" si="99"/>
        <v>0</v>
      </c>
      <c r="W207" s="327"/>
      <c r="X207" s="327"/>
      <c r="Y207" s="327"/>
      <c r="Z207" s="327"/>
      <c r="AA207" s="327"/>
      <c r="AB207" s="363" t="str">
        <f t="shared" si="100"/>
        <v>use the ground stack hole</v>
      </c>
      <c r="AC207" s="397"/>
      <c r="AD207" s="397"/>
      <c r="AE207" s="397"/>
      <c r="AF207" s="327">
        <f>SUM(V207:V227)/($B$201-B206)</f>
        <v>0</v>
      </c>
      <c r="AG207" s="327"/>
      <c r="AH207" s="339">
        <f>SUM(D205:D207)+$C$204</f>
        <v>0</v>
      </c>
      <c r="AI207" s="399"/>
      <c r="AJ207" s="207">
        <f t="shared" si="108"/>
        <v>74.852239100000006</v>
      </c>
      <c r="AK207" s="330">
        <f t="shared" si="101"/>
        <v>0.96525514282827984</v>
      </c>
      <c r="AL207" s="209">
        <f t="shared" si="109"/>
        <v>186.5249063054722</v>
      </c>
      <c r="AM207" s="207">
        <f t="shared" si="110"/>
        <v>56.785051799999998</v>
      </c>
      <c r="AN207" s="331">
        <f t="shared" si="111"/>
        <v>0.83662142830740083</v>
      </c>
      <c r="AO207" s="211">
        <f t="shared" si="112"/>
        <v>147.93928585928998</v>
      </c>
      <c r="AP207" s="402"/>
      <c r="AQ207" s="211">
        <f t="shared" si="120"/>
        <v>-30</v>
      </c>
      <c r="AR207" s="332"/>
      <c r="AS207" s="333">
        <f t="shared" si="113"/>
        <v>334.46419216476215</v>
      </c>
      <c r="AT207" s="334">
        <f>+V207-AO207</f>
        <v>-147.93928585928998</v>
      </c>
      <c r="AU207" s="335"/>
      <c r="AV207" s="334">
        <f t="shared" ref="AV207:AV223" si="121">+AF207-AT207</f>
        <v>147.93928585928998</v>
      </c>
      <c r="AW207" s="336">
        <f t="shared" si="114"/>
        <v>-16.730482127090049</v>
      </c>
      <c r="AX207" s="336">
        <f t="shared" si="115"/>
        <v>-13.269517872909949</v>
      </c>
      <c r="AY207" s="337">
        <f t="shared" si="102"/>
        <v>-478.16912502756719</v>
      </c>
      <c r="AZ207" s="337">
        <f t="shared" si="103"/>
        <v>-331.58702841666235</v>
      </c>
      <c r="BA207" s="340">
        <f t="shared" si="116"/>
        <v>478.16912502756719</v>
      </c>
      <c r="BB207" s="340">
        <f t="shared" si="116"/>
        <v>331.58702841666235</v>
      </c>
      <c r="BC207">
        <f t="shared" si="117"/>
        <v>0.3</v>
      </c>
      <c r="CA207" s="667"/>
      <c r="CB207" s="667"/>
      <c r="CC207" s="667"/>
      <c r="CD207" s="667"/>
      <c r="CM207" s="667"/>
      <c r="CN207" s="667"/>
      <c r="CO207" s="667"/>
      <c r="CP207" s="667"/>
      <c r="CQ207" s="667"/>
      <c r="CR207" s="667"/>
      <c r="CS207" s="667"/>
      <c r="CT207" s="667"/>
      <c r="CU207" s="667"/>
      <c r="CV207" s="667"/>
      <c r="CW207" s="667"/>
      <c r="CX207" s="667"/>
      <c r="CY207" s="667"/>
      <c r="CZ207" s="667"/>
      <c r="DA207" s="667"/>
    </row>
    <row r="208" spans="2:105" ht="25" customHeight="1" thickBot="1" x14ac:dyDescent="0.35">
      <c r="B208" s="197">
        <v>5</v>
      </c>
      <c r="C208" s="198"/>
      <c r="D208" s="10">
        <v>0</v>
      </c>
      <c r="E208" s="178" t="s">
        <v>121</v>
      </c>
      <c r="F208" s="178">
        <f t="shared" si="104"/>
        <v>0.3</v>
      </c>
      <c r="G208" s="178">
        <f>+D208+BC208</f>
        <v>0.3</v>
      </c>
      <c r="H208" s="389">
        <v>176.8294247</v>
      </c>
      <c r="I208" s="390">
        <v>66.429896499999998</v>
      </c>
      <c r="J208" s="361">
        <f t="shared" si="105"/>
        <v>66.429896499999998</v>
      </c>
      <c r="K208" s="361">
        <f t="shared" si="106"/>
        <v>33.214948249999999</v>
      </c>
      <c r="L208" s="361">
        <f t="shared" si="93"/>
        <v>0.54778151346749804</v>
      </c>
      <c r="M208" s="361">
        <f t="shared" si="94"/>
        <v>96.863889887752975</v>
      </c>
      <c r="N208" s="361">
        <f t="shared" si="95"/>
        <v>193.72777977550595</v>
      </c>
      <c r="O208" s="361">
        <f>+C204+D205+D206+D207+(D208/2)</f>
        <v>0</v>
      </c>
      <c r="P208" s="361">
        <f t="shared" si="96"/>
        <v>0</v>
      </c>
      <c r="Q208" s="361">
        <f t="shared" si="97"/>
        <v>0</v>
      </c>
      <c r="R208" s="361">
        <f t="shared" si="107"/>
        <v>147.93928579999999</v>
      </c>
      <c r="S208" s="361">
        <f t="shared" si="119"/>
        <v>147.93928579999999</v>
      </c>
      <c r="T208" s="362">
        <f t="shared" si="98"/>
        <v>147.93928579999999</v>
      </c>
      <c r="V208" s="327">
        <f t="shared" si="99"/>
        <v>0</v>
      </c>
      <c r="W208" s="327"/>
      <c r="X208" s="327"/>
      <c r="Y208" s="327"/>
      <c r="Z208" s="327"/>
      <c r="AA208" s="327"/>
      <c r="AB208" s="363" t="str">
        <f t="shared" si="100"/>
        <v>use the ground stack hole</v>
      </c>
      <c r="AC208" s="397"/>
      <c r="AD208" s="397"/>
      <c r="AE208" s="397"/>
      <c r="AF208" s="327">
        <f>SUM(V208:V227)/($B$201-B207)</f>
        <v>0</v>
      </c>
      <c r="AG208" s="327"/>
      <c r="AH208" s="339">
        <f>SUM(D205:D208)+$C$204</f>
        <v>0</v>
      </c>
      <c r="AI208" s="399"/>
      <c r="AJ208" s="207">
        <f t="shared" si="108"/>
        <v>74.852239100000006</v>
      </c>
      <c r="AK208" s="330">
        <f t="shared" si="101"/>
        <v>0.96525514282827984</v>
      </c>
      <c r="AL208" s="209">
        <f t="shared" si="109"/>
        <v>186.5249063054722</v>
      </c>
      <c r="AM208" s="207">
        <f t="shared" si="110"/>
        <v>56.785051799999998</v>
      </c>
      <c r="AN208" s="331">
        <f t="shared" si="111"/>
        <v>0.83662142830740083</v>
      </c>
      <c r="AO208" s="211">
        <f t="shared" si="112"/>
        <v>147.93928585928998</v>
      </c>
      <c r="AP208" s="402"/>
      <c r="AQ208" s="211">
        <f t="shared" si="120"/>
        <v>-45</v>
      </c>
      <c r="AR208" s="332"/>
      <c r="AS208" s="333">
        <f t="shared" si="113"/>
        <v>334.46419216476215</v>
      </c>
      <c r="AT208" s="334">
        <f t="shared" ref="AT208:AT223" si="122">+V208-AO208</f>
        <v>-147.93928585928998</v>
      </c>
      <c r="AU208" s="335"/>
      <c r="AV208" s="334">
        <f t="shared" si="121"/>
        <v>147.93928585928998</v>
      </c>
      <c r="AW208" s="336">
        <f t="shared" si="114"/>
        <v>-25.095723190635077</v>
      </c>
      <c r="AX208" s="336">
        <f t="shared" si="115"/>
        <v>-19.904276809364923</v>
      </c>
      <c r="AY208" s="337">
        <f t="shared" si="102"/>
        <v>-318.77941668504474</v>
      </c>
      <c r="AZ208" s="337">
        <f t="shared" si="103"/>
        <v>-221.05801894444156</v>
      </c>
      <c r="BA208" s="340">
        <f t="shared" si="116"/>
        <v>318.77941668504474</v>
      </c>
      <c r="BB208" s="340">
        <f t="shared" si="116"/>
        <v>221.05801894444156</v>
      </c>
      <c r="BC208">
        <f t="shared" si="117"/>
        <v>0.3</v>
      </c>
      <c r="CA208" s="667"/>
      <c r="CB208" s="667"/>
      <c r="CC208" s="667"/>
      <c r="CD208" s="667"/>
      <c r="CM208" s="667"/>
      <c r="CN208" s="667"/>
      <c r="CO208" s="667"/>
      <c r="CP208" s="667"/>
      <c r="CQ208" s="667"/>
      <c r="CR208" s="667"/>
      <c r="CS208" s="667"/>
      <c r="CT208" s="667"/>
      <c r="CU208" s="667"/>
      <c r="CV208" s="667"/>
      <c r="CW208" s="667"/>
      <c r="CX208" s="667"/>
      <c r="CY208" s="667"/>
      <c r="CZ208" s="667"/>
      <c r="DA208" s="667"/>
    </row>
    <row r="209" spans="1:105" ht="25" customHeight="1" thickBot="1" x14ac:dyDescent="0.35">
      <c r="B209" s="197">
        <v>6</v>
      </c>
      <c r="C209" s="198"/>
      <c r="D209" s="10">
        <v>0</v>
      </c>
      <c r="E209" s="178" t="s">
        <v>121</v>
      </c>
      <c r="F209" s="178">
        <f t="shared" si="104"/>
        <v>0.3</v>
      </c>
      <c r="G209" s="178">
        <f t="shared" si="118"/>
        <v>0.3</v>
      </c>
      <c r="H209" s="389">
        <v>176.8294247</v>
      </c>
      <c r="I209" s="390">
        <v>66.429896499999998</v>
      </c>
      <c r="J209" s="361">
        <f t="shared" si="105"/>
        <v>66.429896499999998</v>
      </c>
      <c r="K209" s="361">
        <f t="shared" si="106"/>
        <v>33.214948249999999</v>
      </c>
      <c r="L209" s="361">
        <f t="shared" si="93"/>
        <v>0.54778151346749804</v>
      </c>
      <c r="M209" s="361">
        <f t="shared" si="94"/>
        <v>96.863889887752975</v>
      </c>
      <c r="N209" s="361">
        <f t="shared" si="95"/>
        <v>193.72777977550595</v>
      </c>
      <c r="O209" s="361">
        <f>+C204+D205+D206+D207+D208+(D209/2)</f>
        <v>0</v>
      </c>
      <c r="P209" s="361">
        <f t="shared" si="96"/>
        <v>0</v>
      </c>
      <c r="Q209" s="361">
        <f t="shared" si="97"/>
        <v>0</v>
      </c>
      <c r="R209" s="361">
        <f t="shared" si="107"/>
        <v>147.93928579999999</v>
      </c>
      <c r="S209" s="361">
        <f t="shared" si="119"/>
        <v>147.93928579999999</v>
      </c>
      <c r="T209" s="362">
        <f t="shared" si="98"/>
        <v>147.93928579999999</v>
      </c>
      <c r="V209" s="327">
        <f t="shared" si="99"/>
        <v>0</v>
      </c>
      <c r="W209" s="327"/>
      <c r="X209" s="327"/>
      <c r="Y209" s="327"/>
      <c r="Z209" s="327"/>
      <c r="AA209" s="327"/>
      <c r="AB209" s="363" t="str">
        <f t="shared" si="100"/>
        <v>use the ground stack hole</v>
      </c>
      <c r="AC209" s="397"/>
      <c r="AD209" s="397"/>
      <c r="AE209" s="397"/>
      <c r="AF209" s="327">
        <f>SUM(V209:V227)/($B$201-B208)</f>
        <v>0</v>
      </c>
      <c r="AG209" s="327"/>
      <c r="AH209" s="339">
        <f>SUM(D205:D209)+$C$204</f>
        <v>0</v>
      </c>
      <c r="AI209" s="399"/>
      <c r="AJ209" s="207">
        <f t="shared" si="108"/>
        <v>74.852239100000006</v>
      </c>
      <c r="AK209" s="330">
        <f t="shared" si="101"/>
        <v>0.96525514282827984</v>
      </c>
      <c r="AL209" s="209">
        <f t="shared" si="109"/>
        <v>186.5249063054722</v>
      </c>
      <c r="AM209" s="207">
        <f t="shared" si="110"/>
        <v>56.785051799999998</v>
      </c>
      <c r="AN209" s="331">
        <f t="shared" si="111"/>
        <v>0.83662142830740083</v>
      </c>
      <c r="AO209" s="211">
        <f t="shared" si="112"/>
        <v>147.93928585928998</v>
      </c>
      <c r="AP209" s="402"/>
      <c r="AQ209" s="211">
        <f t="shared" si="120"/>
        <v>-60</v>
      </c>
      <c r="AR209" s="332"/>
      <c r="AS209" s="333">
        <f t="shared" si="113"/>
        <v>334.46419216476215</v>
      </c>
      <c r="AT209" s="334">
        <f t="shared" si="122"/>
        <v>-147.93928585928998</v>
      </c>
      <c r="AU209" s="335"/>
      <c r="AV209" s="334">
        <f t="shared" si="121"/>
        <v>147.93928585928998</v>
      </c>
      <c r="AW209" s="336">
        <f t="shared" si="114"/>
        <v>-33.460964254180098</v>
      </c>
      <c r="AX209" s="336">
        <f t="shared" si="115"/>
        <v>-26.539035745819898</v>
      </c>
      <c r="AY209" s="337">
        <f t="shared" si="102"/>
        <v>-239.0845625137836</v>
      </c>
      <c r="AZ209" s="337">
        <f t="shared" si="103"/>
        <v>-165.79351420833117</v>
      </c>
      <c r="BA209" s="340">
        <f t="shared" si="116"/>
        <v>239.0845625137836</v>
      </c>
      <c r="BB209" s="340">
        <f t="shared" si="116"/>
        <v>165.79351420833117</v>
      </c>
      <c r="BC209">
        <f t="shared" si="117"/>
        <v>0.3</v>
      </c>
      <c r="CA209" s="667"/>
      <c r="CB209" s="667"/>
      <c r="CC209" s="667"/>
      <c r="CD209" s="667"/>
      <c r="CM209" s="667"/>
      <c r="CN209" s="667"/>
      <c r="CO209" s="667"/>
      <c r="CP209" s="667"/>
      <c r="CQ209" s="667"/>
      <c r="CR209" s="667"/>
      <c r="CS209" s="667"/>
      <c r="CT209" s="667"/>
      <c r="CU209" s="667"/>
      <c r="CV209" s="667"/>
      <c r="CW209" s="667"/>
      <c r="CX209" s="667"/>
      <c r="CY209" s="667"/>
      <c r="CZ209" s="667"/>
      <c r="DA209" s="667"/>
    </row>
    <row r="210" spans="1:105" ht="25" customHeight="1" thickBot="1" x14ac:dyDescent="0.35">
      <c r="B210" s="197">
        <v>7</v>
      </c>
      <c r="C210" s="198"/>
      <c r="D210" s="10">
        <v>0</v>
      </c>
      <c r="E210" s="178" t="s">
        <v>121</v>
      </c>
      <c r="F210" s="178">
        <f t="shared" si="104"/>
        <v>0.3</v>
      </c>
      <c r="G210" s="178">
        <f t="shared" si="118"/>
        <v>0.3</v>
      </c>
      <c r="H210" s="389">
        <v>176.8294247</v>
      </c>
      <c r="I210" s="390">
        <v>66.429896499999998</v>
      </c>
      <c r="J210" s="361">
        <f t="shared" si="105"/>
        <v>66.429896499999998</v>
      </c>
      <c r="K210" s="361">
        <f t="shared" si="106"/>
        <v>33.214948249999999</v>
      </c>
      <c r="L210" s="361">
        <f t="shared" si="93"/>
        <v>0.54778151346749804</v>
      </c>
      <c r="M210" s="361">
        <f t="shared" si="94"/>
        <v>96.863889887752975</v>
      </c>
      <c r="N210" s="361">
        <f t="shared" si="95"/>
        <v>193.72777977550595</v>
      </c>
      <c r="O210" s="361">
        <f>+C204+D205+D206+D207+D208+D209+(D210/2)</f>
        <v>0</v>
      </c>
      <c r="P210" s="361">
        <f t="shared" si="96"/>
        <v>0</v>
      </c>
      <c r="Q210" s="361">
        <f t="shared" si="97"/>
        <v>0</v>
      </c>
      <c r="R210" s="361">
        <f t="shared" si="107"/>
        <v>147.93928579999999</v>
      </c>
      <c r="S210" s="361">
        <f t="shared" si="119"/>
        <v>147.93928579999999</v>
      </c>
      <c r="T210" s="362">
        <f t="shared" si="98"/>
        <v>147.93928579999999</v>
      </c>
      <c r="V210" s="327">
        <f t="shared" si="99"/>
        <v>0</v>
      </c>
      <c r="W210" s="327"/>
      <c r="X210" s="327"/>
      <c r="Y210" s="327"/>
      <c r="Z210" s="327"/>
      <c r="AA210" s="327"/>
      <c r="AB210" s="363" t="str">
        <f t="shared" si="100"/>
        <v>use the ground stack hole</v>
      </c>
      <c r="AC210" s="397"/>
      <c r="AD210" s="397"/>
      <c r="AE210" s="397"/>
      <c r="AF210" s="327">
        <f>SUM(V210:V227)/($B$201-B209)</f>
        <v>0</v>
      </c>
      <c r="AG210" s="327"/>
      <c r="AH210" s="339">
        <f>SUM(D205:D210)+$C$204</f>
        <v>0</v>
      </c>
      <c r="AI210" s="399"/>
      <c r="AJ210" s="207">
        <f t="shared" si="108"/>
        <v>74.852239100000006</v>
      </c>
      <c r="AK210" s="330">
        <f t="shared" si="101"/>
        <v>0.96525514282827984</v>
      </c>
      <c r="AL210" s="209">
        <f t="shared" si="109"/>
        <v>186.5249063054722</v>
      </c>
      <c r="AM210" s="207">
        <f t="shared" si="110"/>
        <v>56.785051799999998</v>
      </c>
      <c r="AN210" s="331">
        <f t="shared" si="111"/>
        <v>0.83662142830740083</v>
      </c>
      <c r="AO210" s="211">
        <f t="shared" si="112"/>
        <v>147.93928585928998</v>
      </c>
      <c r="AP210" s="402"/>
      <c r="AQ210" s="211">
        <f t="shared" si="120"/>
        <v>-75</v>
      </c>
      <c r="AR210" s="332"/>
      <c r="AS210" s="333">
        <f t="shared" si="113"/>
        <v>334.46419216476215</v>
      </c>
      <c r="AT210" s="334">
        <f t="shared" si="122"/>
        <v>-147.93928585928998</v>
      </c>
      <c r="AU210" s="335"/>
      <c r="AV210" s="334">
        <f t="shared" si="121"/>
        <v>147.93928585928998</v>
      </c>
      <c r="AW210" s="336">
        <f t="shared" si="114"/>
        <v>-41.826205317725126</v>
      </c>
      <c r="AX210" s="336">
        <f t="shared" si="115"/>
        <v>-33.173794682274874</v>
      </c>
      <c r="AY210" s="337">
        <f t="shared" si="102"/>
        <v>-191.26765001102686</v>
      </c>
      <c r="AZ210" s="337">
        <f t="shared" si="103"/>
        <v>-132.63481136666493</v>
      </c>
      <c r="BA210" s="340">
        <f t="shared" si="116"/>
        <v>191.26765001102686</v>
      </c>
      <c r="BB210" s="340">
        <f t="shared" si="116"/>
        <v>132.63481136666493</v>
      </c>
      <c r="BC210">
        <f t="shared" si="117"/>
        <v>0.3</v>
      </c>
      <c r="CA210" s="667"/>
      <c r="CB210" s="667"/>
      <c r="CC210" s="667"/>
      <c r="CD210" s="667"/>
      <c r="CM210" s="667"/>
      <c r="CN210" s="667"/>
      <c r="CO210" s="667"/>
      <c r="CP210" s="667"/>
      <c r="CQ210" s="667"/>
      <c r="CR210" s="667"/>
      <c r="CS210" s="667"/>
      <c r="CT210" s="667"/>
      <c r="CU210" s="667"/>
      <c r="CV210" s="667"/>
      <c r="CW210" s="667"/>
      <c r="CX210" s="667"/>
      <c r="CY210" s="667"/>
      <c r="CZ210" s="667"/>
      <c r="DA210" s="667"/>
    </row>
    <row r="211" spans="1:105" ht="25" customHeight="1" thickBot="1" x14ac:dyDescent="0.35">
      <c r="B211" s="197">
        <v>8</v>
      </c>
      <c r="C211" s="198"/>
      <c r="D211" s="10">
        <v>0</v>
      </c>
      <c r="E211" s="178" t="s">
        <v>121</v>
      </c>
      <c r="F211" s="178">
        <f t="shared" si="104"/>
        <v>0.3</v>
      </c>
      <c r="G211" s="178">
        <f t="shared" si="118"/>
        <v>0.3</v>
      </c>
      <c r="H211" s="389">
        <v>176.8294247</v>
      </c>
      <c r="I211" s="390">
        <v>66.429896499999998</v>
      </c>
      <c r="J211" s="361">
        <f t="shared" si="105"/>
        <v>66.429896499999998</v>
      </c>
      <c r="K211" s="361">
        <f t="shared" si="106"/>
        <v>33.214948249999999</v>
      </c>
      <c r="L211" s="361">
        <f t="shared" si="93"/>
        <v>0.54778151346749804</v>
      </c>
      <c r="M211" s="361">
        <f t="shared" si="94"/>
        <v>96.863889887752975</v>
      </c>
      <c r="N211" s="361">
        <f t="shared" si="95"/>
        <v>193.72777977550595</v>
      </c>
      <c r="O211" s="361">
        <f>+C204+D205+D206+D207+D208+D209+D210+(D211/2)</f>
        <v>0</v>
      </c>
      <c r="P211" s="361">
        <f t="shared" si="96"/>
        <v>0</v>
      </c>
      <c r="Q211" s="361">
        <f t="shared" si="97"/>
        <v>0</v>
      </c>
      <c r="R211" s="361">
        <f t="shared" si="107"/>
        <v>147.93928579999999</v>
      </c>
      <c r="S211" s="361">
        <f t="shared" si="119"/>
        <v>147.93928579999999</v>
      </c>
      <c r="T211" s="362">
        <f t="shared" si="98"/>
        <v>147.93928579999999</v>
      </c>
      <c r="V211" s="327">
        <f t="shared" si="99"/>
        <v>0</v>
      </c>
      <c r="W211" s="327"/>
      <c r="X211" s="327"/>
      <c r="Y211" s="327"/>
      <c r="Z211" s="327"/>
      <c r="AA211" s="327"/>
      <c r="AB211" s="363" t="str">
        <f t="shared" si="100"/>
        <v>use the ground stack hole</v>
      </c>
      <c r="AC211" s="397"/>
      <c r="AD211" s="397"/>
      <c r="AE211" s="397"/>
      <c r="AF211" s="327">
        <f>SUM(V211:V227)/($B$201-B210)</f>
        <v>0</v>
      </c>
      <c r="AG211" s="327"/>
      <c r="AH211" s="339">
        <f>SUM(D205:D211)+$C$204</f>
        <v>0</v>
      </c>
      <c r="AI211" s="399"/>
      <c r="AJ211" s="207">
        <f t="shared" si="108"/>
        <v>74.852239100000006</v>
      </c>
      <c r="AK211" s="330">
        <f t="shared" si="101"/>
        <v>0.96525514282827984</v>
      </c>
      <c r="AL211" s="209">
        <f t="shared" si="109"/>
        <v>186.5249063054722</v>
      </c>
      <c r="AM211" s="207">
        <f t="shared" si="110"/>
        <v>56.785051799999998</v>
      </c>
      <c r="AN211" s="331">
        <f t="shared" si="111"/>
        <v>0.83662142830740083</v>
      </c>
      <c r="AO211" s="211">
        <f t="shared" si="112"/>
        <v>147.93928585928998</v>
      </c>
      <c r="AP211" s="402"/>
      <c r="AQ211" s="211">
        <f t="shared" si="120"/>
        <v>-90</v>
      </c>
      <c r="AR211" s="332"/>
      <c r="AS211" s="333">
        <f t="shared" si="113"/>
        <v>334.46419216476215</v>
      </c>
      <c r="AT211" s="334">
        <f t="shared" si="122"/>
        <v>-147.93928585928998</v>
      </c>
      <c r="AU211" s="335"/>
      <c r="AV211" s="334">
        <f t="shared" si="121"/>
        <v>147.93928585928998</v>
      </c>
      <c r="AW211" s="336">
        <f t="shared" si="114"/>
        <v>-50.191446381270154</v>
      </c>
      <c r="AX211" s="336">
        <f t="shared" si="115"/>
        <v>-39.808553618729846</v>
      </c>
      <c r="AY211" s="337">
        <f t="shared" si="102"/>
        <v>-159.38970834252237</v>
      </c>
      <c r="AZ211" s="337">
        <f t="shared" si="103"/>
        <v>-110.52900947222078</v>
      </c>
      <c r="BA211" s="340">
        <f t="shared" si="116"/>
        <v>159.38970834252237</v>
      </c>
      <c r="BB211" s="340">
        <f t="shared" si="116"/>
        <v>110.52900947222078</v>
      </c>
      <c r="BC211">
        <f t="shared" si="117"/>
        <v>0.3</v>
      </c>
      <c r="CA211" s="667"/>
      <c r="CB211" s="667"/>
      <c r="CC211" s="667"/>
      <c r="CD211" s="667"/>
      <c r="CM211" s="667"/>
      <c r="CN211" s="667"/>
      <c r="CO211" s="667"/>
      <c r="CP211" s="667"/>
      <c r="CQ211" s="667"/>
      <c r="CR211" s="667"/>
      <c r="CS211" s="667"/>
      <c r="CT211" s="667"/>
      <c r="CU211" s="667"/>
      <c r="CV211" s="667"/>
      <c r="CW211" s="667"/>
      <c r="CX211" s="667"/>
      <c r="CY211" s="667"/>
      <c r="CZ211" s="667"/>
      <c r="DA211" s="667"/>
    </row>
    <row r="212" spans="1:105" ht="25" customHeight="1" thickBot="1" x14ac:dyDescent="0.35">
      <c r="B212" s="197">
        <v>9</v>
      </c>
      <c r="C212" s="198"/>
      <c r="D212" s="10">
        <v>0</v>
      </c>
      <c r="E212" s="178" t="s">
        <v>121</v>
      </c>
      <c r="F212" s="178">
        <f t="shared" si="104"/>
        <v>0.3</v>
      </c>
      <c r="G212" s="178">
        <f t="shared" si="118"/>
        <v>0.3</v>
      </c>
      <c r="H212" s="389">
        <v>176.8294247</v>
      </c>
      <c r="I212" s="390">
        <v>66.429896499999998</v>
      </c>
      <c r="J212" s="361">
        <f t="shared" si="105"/>
        <v>66.429896499999998</v>
      </c>
      <c r="K212" s="361">
        <f t="shared" si="106"/>
        <v>33.214948249999999</v>
      </c>
      <c r="L212" s="361">
        <f t="shared" si="93"/>
        <v>0.54778151346749804</v>
      </c>
      <c r="M212" s="361">
        <f t="shared" si="94"/>
        <v>96.863889887752975</v>
      </c>
      <c r="N212" s="361">
        <f t="shared" si="95"/>
        <v>193.72777977550595</v>
      </c>
      <c r="O212" s="361">
        <f>+C204+D205+D206+D207+D208+D209+D210+D211+(D212/2)</f>
        <v>0</v>
      </c>
      <c r="P212" s="361">
        <f t="shared" si="96"/>
        <v>0</v>
      </c>
      <c r="Q212" s="361">
        <f t="shared" si="97"/>
        <v>0</v>
      </c>
      <c r="R212" s="361">
        <f t="shared" si="107"/>
        <v>147.93928579999999</v>
      </c>
      <c r="S212" s="361">
        <f t="shared" si="119"/>
        <v>147.93928579999999</v>
      </c>
      <c r="T212" s="362">
        <f t="shared" si="98"/>
        <v>147.93928579999999</v>
      </c>
      <c r="V212" s="327">
        <f t="shared" si="99"/>
        <v>0</v>
      </c>
      <c r="W212" s="327"/>
      <c r="X212" s="327"/>
      <c r="Y212" s="327"/>
      <c r="Z212" s="327"/>
      <c r="AA212" s="327"/>
      <c r="AB212" s="363" t="str">
        <f t="shared" si="100"/>
        <v>use the ground stack hole</v>
      </c>
      <c r="AC212" s="397"/>
      <c r="AD212" s="397"/>
      <c r="AE212" s="397"/>
      <c r="AF212" s="327">
        <f>SUM(V212:V227)/($B$201-B211)</f>
        <v>0</v>
      </c>
      <c r="AG212" s="327"/>
      <c r="AH212" s="339">
        <f>SUM(D205:D212)+$C$204</f>
        <v>0</v>
      </c>
      <c r="AI212" s="399"/>
      <c r="AJ212" s="207">
        <f t="shared" si="108"/>
        <v>74.852239100000006</v>
      </c>
      <c r="AK212" s="330">
        <f t="shared" si="101"/>
        <v>0.96525514282827984</v>
      </c>
      <c r="AL212" s="209">
        <f t="shared" si="109"/>
        <v>186.5249063054722</v>
      </c>
      <c r="AM212" s="207">
        <f t="shared" si="110"/>
        <v>56.785051799999998</v>
      </c>
      <c r="AN212" s="331">
        <f t="shared" si="111"/>
        <v>0.83662142830740083</v>
      </c>
      <c r="AO212" s="211">
        <f t="shared" si="112"/>
        <v>147.93928585928998</v>
      </c>
      <c r="AP212" s="402"/>
      <c r="AQ212" s="211">
        <f t="shared" si="120"/>
        <v>-105</v>
      </c>
      <c r="AR212" s="332"/>
      <c r="AS212" s="333">
        <f t="shared" si="113"/>
        <v>334.46419216476215</v>
      </c>
      <c r="AT212" s="334">
        <f t="shared" si="122"/>
        <v>-147.93928585928998</v>
      </c>
      <c r="AU212" s="335"/>
      <c r="AV212" s="334">
        <f t="shared" si="121"/>
        <v>147.93928585928998</v>
      </c>
      <c r="AW212" s="336">
        <f t="shared" si="114"/>
        <v>-58.556687444815175</v>
      </c>
      <c r="AX212" s="336">
        <f t="shared" si="115"/>
        <v>-46.443312555184825</v>
      </c>
      <c r="AY212" s="337">
        <f t="shared" si="102"/>
        <v>-136.61975000787632</v>
      </c>
      <c r="AZ212" s="337">
        <f t="shared" si="103"/>
        <v>-94.739150976189237</v>
      </c>
      <c r="BA212" s="340">
        <f t="shared" si="116"/>
        <v>136.61975000787632</v>
      </c>
      <c r="BB212" s="340">
        <f t="shared" si="116"/>
        <v>94.739150976189237</v>
      </c>
      <c r="BC212">
        <f t="shared" si="117"/>
        <v>0.3</v>
      </c>
      <c r="CA212" s="667"/>
      <c r="CB212" s="667"/>
      <c r="CC212" s="667"/>
      <c r="CD212" s="667"/>
      <c r="CM212" s="667"/>
      <c r="CN212" s="667"/>
      <c r="CO212" s="667"/>
      <c r="CP212" s="667"/>
      <c r="CQ212" s="667"/>
      <c r="CR212" s="667"/>
      <c r="CS212" s="667"/>
      <c r="CT212" s="667"/>
      <c r="CU212" s="667"/>
      <c r="CV212" s="667"/>
      <c r="CW212" s="667"/>
      <c r="CX212" s="667"/>
      <c r="CY212" s="667"/>
      <c r="CZ212" s="667"/>
      <c r="DA212" s="667"/>
    </row>
    <row r="213" spans="1:105" ht="25" customHeight="1" thickBot="1" x14ac:dyDescent="0.35">
      <c r="B213" s="197">
        <v>10</v>
      </c>
      <c r="C213" s="198"/>
      <c r="D213" s="10">
        <v>0</v>
      </c>
      <c r="E213" s="178" t="s">
        <v>121</v>
      </c>
      <c r="F213" s="178">
        <f t="shared" si="104"/>
        <v>0.3</v>
      </c>
      <c r="G213" s="178">
        <f t="shared" si="118"/>
        <v>0.3</v>
      </c>
      <c r="H213" s="389">
        <v>176.8294247</v>
      </c>
      <c r="I213" s="390">
        <v>66.429896499999998</v>
      </c>
      <c r="J213" s="361">
        <f t="shared" si="105"/>
        <v>66.429896499999998</v>
      </c>
      <c r="K213" s="361">
        <f t="shared" si="106"/>
        <v>33.214948249999999</v>
      </c>
      <c r="L213" s="361">
        <f t="shared" si="93"/>
        <v>0.54778151346749804</v>
      </c>
      <c r="M213" s="361">
        <f t="shared" si="94"/>
        <v>96.863889887752975</v>
      </c>
      <c r="N213" s="361">
        <f t="shared" si="95"/>
        <v>193.72777977550595</v>
      </c>
      <c r="O213" s="361">
        <f>+C204+D205+D206+D207+D208+D209+D210+D211+D212+(D213/2)</f>
        <v>0</v>
      </c>
      <c r="P213" s="361">
        <f t="shared" si="96"/>
        <v>0</v>
      </c>
      <c r="Q213" s="361">
        <f t="shared" si="97"/>
        <v>0</v>
      </c>
      <c r="R213" s="361">
        <f t="shared" si="107"/>
        <v>147.93928579999999</v>
      </c>
      <c r="S213" s="361">
        <f t="shared" si="119"/>
        <v>147.93928579999999</v>
      </c>
      <c r="T213" s="362">
        <f t="shared" si="98"/>
        <v>147.93928579999999</v>
      </c>
      <c r="V213" s="327">
        <f t="shared" si="99"/>
        <v>0</v>
      </c>
      <c r="W213" s="327"/>
      <c r="X213" s="327"/>
      <c r="Y213" s="327"/>
      <c r="Z213" s="327"/>
      <c r="AA213" s="327"/>
      <c r="AB213" s="363" t="str">
        <f t="shared" si="100"/>
        <v>use the ground stack hole</v>
      </c>
      <c r="AC213" s="397"/>
      <c r="AD213" s="397"/>
      <c r="AE213" s="397"/>
      <c r="AF213" s="327">
        <f>SUM(V213:V227)/($B$201-B212)</f>
        <v>0</v>
      </c>
      <c r="AG213" s="327"/>
      <c r="AH213" s="339">
        <f>SUM(D205:D213)+$C$204</f>
        <v>0</v>
      </c>
      <c r="AI213" s="399"/>
      <c r="AJ213" s="207">
        <f t="shared" si="108"/>
        <v>74.852239100000006</v>
      </c>
      <c r="AK213" s="330">
        <f t="shared" si="101"/>
        <v>0.96525514282827984</v>
      </c>
      <c r="AL213" s="209">
        <f t="shared" si="109"/>
        <v>186.5249063054722</v>
      </c>
      <c r="AM213" s="207">
        <f t="shared" si="110"/>
        <v>56.785051799999998</v>
      </c>
      <c r="AN213" s="331">
        <f t="shared" si="111"/>
        <v>0.83662142830740083</v>
      </c>
      <c r="AO213" s="211">
        <f t="shared" si="112"/>
        <v>147.93928585928998</v>
      </c>
      <c r="AP213" s="402"/>
      <c r="AQ213" s="211">
        <f t="shared" si="120"/>
        <v>-120</v>
      </c>
      <c r="AR213" s="332"/>
      <c r="AS213" s="333">
        <f t="shared" si="113"/>
        <v>334.46419216476215</v>
      </c>
      <c r="AT213" s="334">
        <f t="shared" si="122"/>
        <v>-147.93928585928998</v>
      </c>
      <c r="AU213" s="335"/>
      <c r="AV213" s="334">
        <f t="shared" si="121"/>
        <v>147.93928585928998</v>
      </c>
      <c r="AW213" s="336">
        <f t="shared" si="114"/>
        <v>-66.921928508360196</v>
      </c>
      <c r="AX213" s="336">
        <f t="shared" si="115"/>
        <v>-53.078071491639797</v>
      </c>
      <c r="AY213" s="337">
        <f t="shared" si="102"/>
        <v>-119.5422812568918</v>
      </c>
      <c r="AZ213" s="337">
        <f t="shared" si="103"/>
        <v>-82.896757104165587</v>
      </c>
      <c r="BA213" s="340">
        <f t="shared" si="116"/>
        <v>119.5422812568918</v>
      </c>
      <c r="BB213" s="340">
        <f t="shared" si="116"/>
        <v>82.896757104165587</v>
      </c>
      <c r="BC213">
        <f t="shared" si="117"/>
        <v>0.3</v>
      </c>
      <c r="CA213" s="667"/>
      <c r="CB213" s="667"/>
      <c r="CC213" s="667"/>
      <c r="CD213" s="667"/>
      <c r="CM213" s="667"/>
      <c r="CN213" s="667"/>
      <c r="CO213" s="667"/>
      <c r="CP213" s="667"/>
      <c r="CQ213" s="667"/>
      <c r="CR213" s="667"/>
      <c r="CS213" s="667"/>
      <c r="CT213" s="667"/>
      <c r="CU213" s="667"/>
      <c r="CV213" s="667"/>
      <c r="CW213" s="667"/>
      <c r="CX213" s="667"/>
      <c r="CY213" s="667"/>
      <c r="CZ213" s="667"/>
      <c r="DA213" s="667"/>
    </row>
    <row r="214" spans="1:105" ht="25" customHeight="1" thickBot="1" x14ac:dyDescent="0.35">
      <c r="A214" s="216"/>
      <c r="B214" s="197">
        <v>11</v>
      </c>
      <c r="C214" s="198"/>
      <c r="D214" s="10">
        <v>0</v>
      </c>
      <c r="E214" s="178" t="s">
        <v>121</v>
      </c>
      <c r="F214" s="178">
        <f t="shared" si="104"/>
        <v>0.3</v>
      </c>
      <c r="G214" s="178">
        <f t="shared" si="118"/>
        <v>0.3</v>
      </c>
      <c r="H214" s="389">
        <v>176.8294247</v>
      </c>
      <c r="I214" s="390">
        <v>66.429896499999998</v>
      </c>
      <c r="J214" s="361">
        <f t="shared" si="105"/>
        <v>66.429896499999998</v>
      </c>
      <c r="K214" s="361">
        <f t="shared" si="106"/>
        <v>33.214948249999999</v>
      </c>
      <c r="L214" s="361">
        <f t="shared" si="93"/>
        <v>0.54778151346749804</v>
      </c>
      <c r="M214" s="361">
        <f t="shared" si="94"/>
        <v>96.863889887752975</v>
      </c>
      <c r="N214" s="361">
        <f t="shared" si="95"/>
        <v>193.72777977550595</v>
      </c>
      <c r="O214" s="361">
        <f>+C204+D205+D206+D207+D208+D209+D210+D211+D212+D213+(D214/2)</f>
        <v>0</v>
      </c>
      <c r="P214" s="361">
        <f t="shared" si="96"/>
        <v>0</v>
      </c>
      <c r="Q214" s="361">
        <f t="shared" si="97"/>
        <v>0</v>
      </c>
      <c r="R214" s="361">
        <f t="shared" si="107"/>
        <v>147.93928579999999</v>
      </c>
      <c r="S214" s="361">
        <f t="shared" si="119"/>
        <v>147.93928579999999</v>
      </c>
      <c r="T214" s="362">
        <f t="shared" si="98"/>
        <v>147.93928579999999</v>
      </c>
      <c r="V214" s="327">
        <f t="shared" si="99"/>
        <v>0</v>
      </c>
      <c r="W214" s="327"/>
      <c r="X214" s="327"/>
      <c r="Y214" s="327"/>
      <c r="Z214" s="327"/>
      <c r="AA214" s="327"/>
      <c r="AB214" s="363" t="str">
        <f t="shared" si="100"/>
        <v>use the ground stack hole</v>
      </c>
      <c r="AC214" s="397"/>
      <c r="AD214" s="397"/>
      <c r="AE214" s="397"/>
      <c r="AF214" s="327">
        <f>SUM(V214:V227)/($B$201-B213)</f>
        <v>0</v>
      </c>
      <c r="AG214" s="327"/>
      <c r="AH214" s="339">
        <f>SUM(D205:D214)+$C$204</f>
        <v>0</v>
      </c>
      <c r="AI214" s="399"/>
      <c r="AJ214" s="207">
        <f t="shared" si="108"/>
        <v>74.852239100000006</v>
      </c>
      <c r="AK214" s="330">
        <f t="shared" si="101"/>
        <v>0.96525514282827984</v>
      </c>
      <c r="AL214" s="209">
        <f t="shared" si="109"/>
        <v>186.5249063054722</v>
      </c>
      <c r="AM214" s="207">
        <f t="shared" si="110"/>
        <v>56.785051799999998</v>
      </c>
      <c r="AN214" s="331">
        <f t="shared" si="111"/>
        <v>0.83662142830740083</v>
      </c>
      <c r="AO214" s="211">
        <f t="shared" si="112"/>
        <v>147.93928585928998</v>
      </c>
      <c r="AP214" s="402"/>
      <c r="AQ214" s="211">
        <f t="shared" si="120"/>
        <v>-135</v>
      </c>
      <c r="AR214" s="332"/>
      <c r="AS214" s="333">
        <f t="shared" si="113"/>
        <v>334.46419216476215</v>
      </c>
      <c r="AT214" s="334">
        <f t="shared" si="122"/>
        <v>-147.93928585928998</v>
      </c>
      <c r="AU214" s="335"/>
      <c r="AV214" s="334">
        <f t="shared" si="121"/>
        <v>147.93928585928998</v>
      </c>
      <c r="AW214" s="336">
        <f t="shared" si="114"/>
        <v>-75.287169571905224</v>
      </c>
      <c r="AX214" s="336">
        <f t="shared" si="115"/>
        <v>-59.712830428094776</v>
      </c>
      <c r="AY214" s="337">
        <f t="shared" si="102"/>
        <v>-106.25980556168159</v>
      </c>
      <c r="AZ214" s="337">
        <f t="shared" si="103"/>
        <v>-73.686006314813852</v>
      </c>
      <c r="BA214" s="340">
        <f t="shared" si="116"/>
        <v>106.25980556168159</v>
      </c>
      <c r="BB214" s="340">
        <f t="shared" si="116"/>
        <v>73.686006314813852</v>
      </c>
      <c r="BC214">
        <f t="shared" si="117"/>
        <v>0.3</v>
      </c>
      <c r="CA214" s="667"/>
      <c r="CB214" s="667"/>
      <c r="CC214" s="667"/>
      <c r="CD214" s="667"/>
      <c r="CM214" s="667"/>
      <c r="CN214" s="667"/>
      <c r="CO214" s="667"/>
      <c r="CP214" s="667"/>
      <c r="CQ214" s="667"/>
      <c r="CR214" s="667"/>
      <c r="CS214" s="667"/>
      <c r="CT214" s="667"/>
      <c r="CU214" s="667"/>
      <c r="CV214" s="667"/>
      <c r="CW214" s="667"/>
      <c r="CX214" s="667"/>
      <c r="CY214" s="667"/>
      <c r="CZ214" s="667"/>
      <c r="DA214" s="667"/>
    </row>
    <row r="215" spans="1:105" ht="25" customHeight="1" thickBot="1" x14ac:dyDescent="0.35">
      <c r="A215" s="216"/>
      <c r="B215" s="197">
        <v>12</v>
      </c>
      <c r="C215" s="198"/>
      <c r="D215" s="10">
        <v>0</v>
      </c>
      <c r="E215" s="178" t="s">
        <v>121</v>
      </c>
      <c r="F215" s="178">
        <f t="shared" si="104"/>
        <v>0.3</v>
      </c>
      <c r="G215" s="178">
        <f t="shared" si="118"/>
        <v>0.3</v>
      </c>
      <c r="H215" s="389">
        <v>176.8294247</v>
      </c>
      <c r="I215" s="390">
        <v>66.429896499999998</v>
      </c>
      <c r="J215" s="361">
        <f t="shared" si="105"/>
        <v>66.429896499999998</v>
      </c>
      <c r="K215" s="361">
        <f t="shared" si="106"/>
        <v>33.214948249999999</v>
      </c>
      <c r="L215" s="361">
        <f t="shared" si="93"/>
        <v>0.54778151346749804</v>
      </c>
      <c r="M215" s="361">
        <f t="shared" si="94"/>
        <v>96.863889887752975</v>
      </c>
      <c r="N215" s="361">
        <f t="shared" si="95"/>
        <v>193.72777977550595</v>
      </c>
      <c r="O215" s="361">
        <f>+C204+D205+D206+D207+D208+D209+D210+D211+D212+D213+D214+(D215/2)</f>
        <v>0</v>
      </c>
      <c r="P215" s="361">
        <f t="shared" si="96"/>
        <v>0</v>
      </c>
      <c r="Q215" s="361">
        <f t="shared" si="97"/>
        <v>0</v>
      </c>
      <c r="R215" s="361">
        <f t="shared" si="107"/>
        <v>147.93928579999999</v>
      </c>
      <c r="S215" s="361">
        <f t="shared" si="119"/>
        <v>147.93928579999999</v>
      </c>
      <c r="T215" s="362">
        <f t="shared" si="98"/>
        <v>147.93928579999999</v>
      </c>
      <c r="V215" s="327">
        <f t="shared" si="99"/>
        <v>0</v>
      </c>
      <c r="W215" s="327"/>
      <c r="X215" s="327"/>
      <c r="Y215" s="327"/>
      <c r="Z215" s="327"/>
      <c r="AA215" s="327"/>
      <c r="AB215" s="363" t="str">
        <f t="shared" si="100"/>
        <v>use the ground stack hole</v>
      </c>
      <c r="AC215" s="397"/>
      <c r="AD215" s="397"/>
      <c r="AE215" s="397"/>
      <c r="AF215" s="327">
        <f>SUM(V215:V227)/($B$201-B214)</f>
        <v>0</v>
      </c>
      <c r="AG215" s="327"/>
      <c r="AH215" s="339">
        <f>SUM(D205:D215)+$C$204</f>
        <v>0</v>
      </c>
      <c r="AI215" s="399"/>
      <c r="AJ215" s="207">
        <f t="shared" si="108"/>
        <v>74.852239100000006</v>
      </c>
      <c r="AK215" s="330">
        <f t="shared" si="101"/>
        <v>0.96525514282827984</v>
      </c>
      <c r="AL215" s="209">
        <f t="shared" si="109"/>
        <v>186.5249063054722</v>
      </c>
      <c r="AM215" s="207">
        <f t="shared" si="110"/>
        <v>56.785051799999998</v>
      </c>
      <c r="AN215" s="331">
        <f t="shared" si="111"/>
        <v>0.83662142830740083</v>
      </c>
      <c r="AO215" s="211">
        <f t="shared" si="112"/>
        <v>147.93928585928998</v>
      </c>
      <c r="AP215" s="402"/>
      <c r="AQ215" s="211">
        <f t="shared" si="120"/>
        <v>-150</v>
      </c>
      <c r="AR215" s="332"/>
      <c r="AS215" s="333">
        <f t="shared" si="113"/>
        <v>334.46419216476215</v>
      </c>
      <c r="AT215" s="334">
        <f t="shared" si="122"/>
        <v>-147.93928585928998</v>
      </c>
      <c r="AU215" s="335"/>
      <c r="AV215" s="334">
        <f t="shared" si="121"/>
        <v>147.93928585928998</v>
      </c>
      <c r="AW215" s="336">
        <f t="shared" si="114"/>
        <v>-83.652410635450252</v>
      </c>
      <c r="AX215" s="336">
        <f t="shared" si="115"/>
        <v>-66.347589364549748</v>
      </c>
      <c r="AY215" s="337">
        <f t="shared" si="102"/>
        <v>-95.63382500551343</v>
      </c>
      <c r="AZ215" s="337">
        <f t="shared" si="103"/>
        <v>-66.317405683332467</v>
      </c>
      <c r="BA215" s="340">
        <f t="shared" si="116"/>
        <v>95.63382500551343</v>
      </c>
      <c r="BB215" s="340">
        <f t="shared" si="116"/>
        <v>66.317405683332467</v>
      </c>
      <c r="BC215">
        <f t="shared" si="117"/>
        <v>0.3</v>
      </c>
      <c r="CA215" s="667"/>
      <c r="CB215" s="667"/>
      <c r="CC215" s="667"/>
      <c r="CD215" s="667"/>
      <c r="CM215" s="667"/>
      <c r="CN215" s="667"/>
      <c r="CO215" s="667"/>
      <c r="CP215" s="667"/>
      <c r="CQ215" s="667"/>
      <c r="CR215" s="667"/>
      <c r="CS215" s="667"/>
      <c r="CT215" s="667"/>
      <c r="CU215" s="667"/>
      <c r="CV215" s="667"/>
      <c r="CW215" s="667"/>
      <c r="CX215" s="667"/>
      <c r="CY215" s="667"/>
      <c r="CZ215" s="667"/>
      <c r="DA215" s="667"/>
    </row>
    <row r="216" spans="1:105" ht="25" customHeight="1" thickBot="1" x14ac:dyDescent="0.35">
      <c r="B216" s="197">
        <v>13</v>
      </c>
      <c r="C216" s="198"/>
      <c r="D216" s="10">
        <v>0</v>
      </c>
      <c r="E216" s="178" t="s">
        <v>121</v>
      </c>
      <c r="F216" s="178">
        <f t="shared" si="104"/>
        <v>0.3</v>
      </c>
      <c r="G216" s="178">
        <f t="shared" si="118"/>
        <v>0.3</v>
      </c>
      <c r="H216" s="389">
        <v>176.8294247</v>
      </c>
      <c r="I216" s="390">
        <v>66.429896499999998</v>
      </c>
      <c r="J216" s="361">
        <f t="shared" si="105"/>
        <v>66.429896499999998</v>
      </c>
      <c r="K216" s="361">
        <f t="shared" si="106"/>
        <v>33.214948249999999</v>
      </c>
      <c r="L216" s="361">
        <f t="shared" si="93"/>
        <v>0.54778151346749804</v>
      </c>
      <c r="M216" s="361">
        <f t="shared" si="94"/>
        <v>96.863889887752975</v>
      </c>
      <c r="N216" s="361">
        <f t="shared" si="95"/>
        <v>193.72777977550595</v>
      </c>
      <c r="O216" s="361">
        <f>+C204+D205+D206+D207+D208+D209+D210+D211+D212+D213+D214+D215+(D216/2)</f>
        <v>0</v>
      </c>
      <c r="P216" s="361">
        <f t="shared" si="96"/>
        <v>0</v>
      </c>
      <c r="Q216" s="361">
        <f t="shared" si="97"/>
        <v>0</v>
      </c>
      <c r="R216" s="361">
        <f t="shared" si="107"/>
        <v>147.93928579999999</v>
      </c>
      <c r="S216" s="361">
        <f t="shared" si="119"/>
        <v>147.93928579999999</v>
      </c>
      <c r="T216" s="362">
        <f t="shared" si="98"/>
        <v>147.93928579999999</v>
      </c>
      <c r="V216" s="327">
        <f t="shared" si="99"/>
        <v>0</v>
      </c>
      <c r="W216" s="327"/>
      <c r="X216" s="327"/>
      <c r="Y216" s="327"/>
      <c r="Z216" s="327"/>
      <c r="AA216" s="327"/>
      <c r="AB216" s="363" t="str">
        <f t="shared" si="100"/>
        <v>use the ground stack hole</v>
      </c>
      <c r="AC216" s="397"/>
      <c r="AD216" s="397"/>
      <c r="AE216" s="397"/>
      <c r="AF216" s="327">
        <f>SUM(V216:V227)/($B$201-B215)</f>
        <v>0</v>
      </c>
      <c r="AG216" s="327"/>
      <c r="AH216" s="339">
        <f>SUM(D205:D216)+$C$204</f>
        <v>0</v>
      </c>
      <c r="AI216" s="399"/>
      <c r="AJ216" s="207">
        <f t="shared" si="108"/>
        <v>74.852239100000006</v>
      </c>
      <c r="AK216" s="330">
        <f t="shared" si="101"/>
        <v>0.96525514282827984</v>
      </c>
      <c r="AL216" s="209">
        <f t="shared" si="109"/>
        <v>186.5249063054722</v>
      </c>
      <c r="AM216" s="207">
        <f t="shared" si="110"/>
        <v>56.785051799999998</v>
      </c>
      <c r="AN216" s="331">
        <f t="shared" si="111"/>
        <v>0.83662142830740083</v>
      </c>
      <c r="AO216" s="211">
        <f t="shared" si="112"/>
        <v>147.93928585928998</v>
      </c>
      <c r="AP216" s="402"/>
      <c r="AQ216" s="211">
        <f t="shared" si="120"/>
        <v>-165</v>
      </c>
      <c r="AR216" s="332"/>
      <c r="AS216" s="333">
        <f t="shared" si="113"/>
        <v>334.46419216476215</v>
      </c>
      <c r="AT216" s="334">
        <f t="shared" si="122"/>
        <v>-147.93928585928998</v>
      </c>
      <c r="AU216" s="335"/>
      <c r="AV216" s="334">
        <f t="shared" si="121"/>
        <v>147.93928585928998</v>
      </c>
      <c r="AW216" s="336">
        <f t="shared" si="114"/>
        <v>-92.01765169899528</v>
      </c>
      <c r="AX216" s="336">
        <f t="shared" si="115"/>
        <v>-72.98234830100472</v>
      </c>
      <c r="AY216" s="337">
        <f t="shared" si="102"/>
        <v>-86.939840914103115</v>
      </c>
      <c r="AZ216" s="337">
        <f t="shared" si="103"/>
        <v>-60.288550621211336</v>
      </c>
      <c r="BA216" s="340">
        <f t="shared" si="116"/>
        <v>86.939840914103115</v>
      </c>
      <c r="BB216" s="340">
        <f t="shared" si="116"/>
        <v>60.288550621211336</v>
      </c>
      <c r="BC216">
        <f t="shared" si="117"/>
        <v>0.3</v>
      </c>
      <c r="CA216" s="667"/>
      <c r="CB216" s="667"/>
      <c r="CC216" s="667"/>
      <c r="CD216" s="667"/>
      <c r="CM216" s="667"/>
      <c r="CN216" s="667"/>
      <c r="CO216" s="667"/>
      <c r="CP216" s="667"/>
      <c r="CQ216" s="667"/>
      <c r="CR216" s="667"/>
      <c r="CS216" s="667"/>
      <c r="CT216" s="667"/>
      <c r="CU216" s="667"/>
      <c r="CV216" s="667"/>
      <c r="CW216" s="667"/>
      <c r="CX216" s="667"/>
      <c r="CY216" s="667"/>
      <c r="CZ216" s="667"/>
      <c r="DA216" s="667"/>
    </row>
    <row r="217" spans="1:105" ht="25" customHeight="1" thickBot="1" x14ac:dyDescent="0.35">
      <c r="B217" s="197">
        <v>14</v>
      </c>
      <c r="C217" s="198"/>
      <c r="D217" s="10">
        <v>0</v>
      </c>
      <c r="E217" s="178" t="s">
        <v>121</v>
      </c>
      <c r="F217" s="178">
        <f t="shared" si="104"/>
        <v>0.3</v>
      </c>
      <c r="G217" s="178">
        <f t="shared" si="118"/>
        <v>0.3</v>
      </c>
      <c r="H217" s="389">
        <v>176.8294247</v>
      </c>
      <c r="I217" s="390">
        <v>66.429896499999998</v>
      </c>
      <c r="J217" s="361">
        <f t="shared" si="105"/>
        <v>66.429896499999998</v>
      </c>
      <c r="K217" s="361">
        <f t="shared" si="106"/>
        <v>33.214948249999999</v>
      </c>
      <c r="L217" s="361">
        <f t="shared" si="93"/>
        <v>0.54778151346749804</v>
      </c>
      <c r="M217" s="361">
        <f t="shared" si="94"/>
        <v>96.863889887752975</v>
      </c>
      <c r="N217" s="361">
        <f t="shared" si="95"/>
        <v>193.72777977550595</v>
      </c>
      <c r="O217" s="361">
        <f>+C204+D205+D206+D207+D208+D209+D210+D211+D212+D213+D214+D215+D216+(D217/2)</f>
        <v>0</v>
      </c>
      <c r="P217" s="361">
        <f t="shared" si="96"/>
        <v>0</v>
      </c>
      <c r="Q217" s="361">
        <f t="shared" si="97"/>
        <v>0</v>
      </c>
      <c r="R217" s="361">
        <f t="shared" si="107"/>
        <v>147.93928579999999</v>
      </c>
      <c r="S217" s="361">
        <f t="shared" si="119"/>
        <v>147.93928579999999</v>
      </c>
      <c r="T217" s="362">
        <f t="shared" si="98"/>
        <v>147.93928579999999</v>
      </c>
      <c r="V217" s="327">
        <f t="shared" si="99"/>
        <v>0</v>
      </c>
      <c r="W217" s="327"/>
      <c r="X217" s="327"/>
      <c r="Y217" s="327"/>
      <c r="Z217" s="327"/>
      <c r="AA217" s="327"/>
      <c r="AB217" s="363" t="str">
        <f t="shared" si="100"/>
        <v>use the ground stack hole</v>
      </c>
      <c r="AC217" s="397"/>
      <c r="AD217" s="397"/>
      <c r="AE217" s="397"/>
      <c r="AF217" s="327">
        <f>SUM(V217:V227)/($B$201-B216)</f>
        <v>0</v>
      </c>
      <c r="AG217" s="327"/>
      <c r="AH217" s="339">
        <f>SUM(D205:D217)+$C$204</f>
        <v>0</v>
      </c>
      <c r="AI217" s="399"/>
      <c r="AJ217" s="207">
        <f t="shared" si="108"/>
        <v>74.852239100000006</v>
      </c>
      <c r="AK217" s="330">
        <f t="shared" si="101"/>
        <v>0.96525514282827984</v>
      </c>
      <c r="AL217" s="209">
        <f t="shared" si="109"/>
        <v>186.5249063054722</v>
      </c>
      <c r="AM217" s="207">
        <f t="shared" si="110"/>
        <v>56.785051799999998</v>
      </c>
      <c r="AN217" s="331">
        <f t="shared" si="111"/>
        <v>0.83662142830740083</v>
      </c>
      <c r="AO217" s="211">
        <f t="shared" si="112"/>
        <v>147.93928585928998</v>
      </c>
      <c r="AP217" s="402"/>
      <c r="AQ217" s="211">
        <f t="shared" si="120"/>
        <v>-180</v>
      </c>
      <c r="AR217" s="332"/>
      <c r="AS217" s="333">
        <f t="shared" si="113"/>
        <v>334.46419216476215</v>
      </c>
      <c r="AT217" s="334">
        <f t="shared" si="122"/>
        <v>-147.93928585928998</v>
      </c>
      <c r="AU217" s="335"/>
      <c r="AV217" s="334">
        <f t="shared" si="121"/>
        <v>147.93928585928998</v>
      </c>
      <c r="AW217" s="336">
        <f t="shared" si="114"/>
        <v>-100.38289276254031</v>
      </c>
      <c r="AX217" s="336">
        <f t="shared" si="115"/>
        <v>-79.617107237459692</v>
      </c>
      <c r="AY217" s="337">
        <f t="shared" si="102"/>
        <v>-79.694854171261184</v>
      </c>
      <c r="AZ217" s="337">
        <f t="shared" si="103"/>
        <v>-55.264504736110389</v>
      </c>
      <c r="BA217" s="340">
        <f t="shared" si="116"/>
        <v>79.694854171261184</v>
      </c>
      <c r="BB217" s="340">
        <f t="shared" si="116"/>
        <v>55.264504736110389</v>
      </c>
      <c r="BC217">
        <f t="shared" si="117"/>
        <v>0.3</v>
      </c>
      <c r="CA217" s="667"/>
      <c r="CB217" s="667"/>
      <c r="CC217" s="667"/>
      <c r="CD217" s="667"/>
      <c r="CE217" s="667"/>
      <c r="CF217" s="667"/>
      <c r="CG217" s="667"/>
      <c r="CH217" s="667"/>
      <c r="CI217" s="667"/>
      <c r="CJ217" s="667"/>
      <c r="CK217" s="667"/>
      <c r="CL217" s="667"/>
      <c r="CM217" s="667"/>
      <c r="CN217" s="667"/>
      <c r="CO217" s="667"/>
      <c r="CP217" s="667"/>
      <c r="CQ217" s="667"/>
      <c r="CR217" s="667"/>
      <c r="CS217" s="667"/>
      <c r="CT217" s="667"/>
      <c r="CU217" s="667"/>
      <c r="CV217" s="667"/>
      <c r="CW217" s="667"/>
      <c r="CX217" s="667"/>
      <c r="CY217" s="667"/>
      <c r="CZ217" s="667"/>
      <c r="DA217" s="667"/>
    </row>
    <row r="218" spans="1:105" ht="25" customHeight="1" thickBot="1" x14ac:dyDescent="0.35">
      <c r="B218" s="197">
        <v>15</v>
      </c>
      <c r="C218" s="198"/>
      <c r="D218" s="10">
        <v>0</v>
      </c>
      <c r="E218" s="178" t="s">
        <v>121</v>
      </c>
      <c r="F218" s="178">
        <f t="shared" si="104"/>
        <v>0.3</v>
      </c>
      <c r="G218" s="178">
        <f t="shared" si="118"/>
        <v>0.3</v>
      </c>
      <c r="H218" s="389">
        <v>176.8294247</v>
      </c>
      <c r="I218" s="390">
        <v>66.429896499999998</v>
      </c>
      <c r="J218" s="361">
        <f t="shared" si="105"/>
        <v>66.429896499999998</v>
      </c>
      <c r="K218" s="361">
        <f t="shared" si="106"/>
        <v>33.214948249999999</v>
      </c>
      <c r="L218" s="361">
        <f t="shared" si="93"/>
        <v>0.54778151346749804</v>
      </c>
      <c r="M218" s="361">
        <f t="shared" si="94"/>
        <v>96.863889887752975</v>
      </c>
      <c r="N218" s="361">
        <f t="shared" si="95"/>
        <v>193.72777977550595</v>
      </c>
      <c r="O218" s="361">
        <f>+C204+D205+D206+D207+D208+D209+D210+D211+D212+D213+D214+D215+D216+D217+(D218/2)</f>
        <v>0</v>
      </c>
      <c r="P218" s="361">
        <f t="shared" si="96"/>
        <v>0</v>
      </c>
      <c r="Q218" s="361">
        <f t="shared" si="97"/>
        <v>0</v>
      </c>
      <c r="R218" s="361">
        <f t="shared" si="107"/>
        <v>147.93928579999999</v>
      </c>
      <c r="S218" s="361">
        <f t="shared" si="119"/>
        <v>147.93928579999999</v>
      </c>
      <c r="T218" s="362">
        <f t="shared" si="98"/>
        <v>147.93928579999999</v>
      </c>
      <c r="V218" s="327">
        <f t="shared" si="99"/>
        <v>0</v>
      </c>
      <c r="W218" s="327"/>
      <c r="X218" s="327"/>
      <c r="Y218" s="327"/>
      <c r="Z218" s="327"/>
      <c r="AA218" s="327"/>
      <c r="AB218" s="363" t="str">
        <f t="shared" si="100"/>
        <v>use the ground stack hole</v>
      </c>
      <c r="AC218" s="397"/>
      <c r="AD218" s="397"/>
      <c r="AE218" s="397"/>
      <c r="AF218" s="327">
        <f>SUM(V218:V227)/($B$201-B217)</f>
        <v>0</v>
      </c>
      <c r="AG218" s="327"/>
      <c r="AH218" s="339">
        <f>SUM(D205:D218)+$C$204</f>
        <v>0</v>
      </c>
      <c r="AI218" s="399"/>
      <c r="AJ218" s="207">
        <f t="shared" si="108"/>
        <v>74.852239100000006</v>
      </c>
      <c r="AK218" s="330">
        <f t="shared" si="101"/>
        <v>0.96525514282827984</v>
      </c>
      <c r="AL218" s="209">
        <f t="shared" si="109"/>
        <v>186.5249063054722</v>
      </c>
      <c r="AM218" s="207">
        <f t="shared" si="110"/>
        <v>56.785051799999998</v>
      </c>
      <c r="AN218" s="331">
        <f t="shared" si="111"/>
        <v>0.83662142830740083</v>
      </c>
      <c r="AO218" s="211">
        <f t="shared" si="112"/>
        <v>147.93928585928998</v>
      </c>
      <c r="AP218" s="402"/>
      <c r="AQ218" s="211">
        <f t="shared" si="120"/>
        <v>-195</v>
      </c>
      <c r="AR218" s="332"/>
      <c r="AS218" s="333">
        <f t="shared" si="113"/>
        <v>334.46419216476215</v>
      </c>
      <c r="AT218" s="334">
        <f t="shared" si="122"/>
        <v>-147.93928585928998</v>
      </c>
      <c r="AU218" s="335"/>
      <c r="AV218" s="334">
        <f t="shared" si="121"/>
        <v>147.93928585928998</v>
      </c>
      <c r="AW218" s="336">
        <f t="shared" si="114"/>
        <v>-108.74813382608532</v>
      </c>
      <c r="AX218" s="336">
        <f t="shared" si="115"/>
        <v>-86.251866173914678</v>
      </c>
      <c r="AY218" s="337">
        <f t="shared" si="102"/>
        <v>-73.564480773471871</v>
      </c>
      <c r="AZ218" s="337">
        <f t="shared" si="103"/>
        <v>-51.013388987178814</v>
      </c>
      <c r="BA218" s="340">
        <f t="shared" si="116"/>
        <v>73.564480773471871</v>
      </c>
      <c r="BB218" s="340">
        <f t="shared" si="116"/>
        <v>51.013388987178814</v>
      </c>
      <c r="BC218">
        <f t="shared" si="117"/>
        <v>0.3</v>
      </c>
    </row>
    <row r="219" spans="1:105" ht="25" customHeight="1" thickBot="1" x14ac:dyDescent="0.35">
      <c r="B219" s="197">
        <v>16</v>
      </c>
      <c r="C219" s="198"/>
      <c r="D219" s="10">
        <v>0</v>
      </c>
      <c r="E219" s="178" t="s">
        <v>121</v>
      </c>
      <c r="F219" s="178">
        <f t="shared" si="104"/>
        <v>0.3</v>
      </c>
      <c r="G219" s="178">
        <f t="shared" si="118"/>
        <v>0.3</v>
      </c>
      <c r="H219" s="389">
        <v>176.8294247</v>
      </c>
      <c r="I219" s="390">
        <v>66.429896499999998</v>
      </c>
      <c r="J219" s="361">
        <f t="shared" si="105"/>
        <v>66.429896499999998</v>
      </c>
      <c r="K219" s="361">
        <f t="shared" si="106"/>
        <v>33.214948249999999</v>
      </c>
      <c r="L219" s="361">
        <f t="shared" si="93"/>
        <v>0.54778151346749804</v>
      </c>
      <c r="M219" s="361">
        <f t="shared" si="94"/>
        <v>96.863889887752975</v>
      </c>
      <c r="N219" s="361">
        <f t="shared" si="95"/>
        <v>193.72777977550595</v>
      </c>
      <c r="O219" s="361">
        <f>+C204+D205+D206+D207+D208+D209+D210+D211+D212+D213+D214+D215+D216+D217+D218+(D219/2)</f>
        <v>0</v>
      </c>
      <c r="P219" s="361">
        <f t="shared" si="96"/>
        <v>0</v>
      </c>
      <c r="Q219" s="361">
        <f t="shared" si="97"/>
        <v>0</v>
      </c>
      <c r="R219" s="361">
        <f t="shared" si="107"/>
        <v>147.93928579999999</v>
      </c>
      <c r="S219" s="361">
        <f t="shared" si="119"/>
        <v>147.93928579999999</v>
      </c>
      <c r="T219" s="362">
        <f t="shared" si="98"/>
        <v>147.93928579999999</v>
      </c>
      <c r="V219" s="327">
        <f t="shared" si="99"/>
        <v>0</v>
      </c>
      <c r="W219" s="327"/>
      <c r="X219" s="327"/>
      <c r="Y219" s="327"/>
      <c r="Z219" s="327"/>
      <c r="AA219" s="327"/>
      <c r="AB219" s="363" t="str">
        <f t="shared" si="100"/>
        <v>use the ground stack hole</v>
      </c>
      <c r="AC219" s="397"/>
      <c r="AD219" s="397"/>
      <c r="AE219" s="397"/>
      <c r="AF219" s="327">
        <f>SUM(V219:V227)/($B$201-B218)</f>
        <v>0</v>
      </c>
      <c r="AG219" s="327"/>
      <c r="AH219" s="339">
        <f>SUM(D205:D219)+$C$204</f>
        <v>0</v>
      </c>
      <c r="AI219" s="399"/>
      <c r="AJ219" s="207">
        <f t="shared" si="108"/>
        <v>74.852239100000006</v>
      </c>
      <c r="AK219" s="330">
        <f t="shared" si="101"/>
        <v>0.96525514282827984</v>
      </c>
      <c r="AL219" s="209">
        <f t="shared" si="109"/>
        <v>186.5249063054722</v>
      </c>
      <c r="AM219" s="207">
        <f t="shared" si="110"/>
        <v>56.785051799999998</v>
      </c>
      <c r="AN219" s="331">
        <f t="shared" si="111"/>
        <v>0.83662142830740083</v>
      </c>
      <c r="AO219" s="211">
        <f t="shared" si="112"/>
        <v>147.93928585928998</v>
      </c>
      <c r="AP219" s="402"/>
      <c r="AQ219" s="211">
        <f t="shared" si="120"/>
        <v>-210</v>
      </c>
      <c r="AR219" s="332"/>
      <c r="AS219" s="333">
        <f t="shared" si="113"/>
        <v>334.46419216476215</v>
      </c>
      <c r="AT219" s="334">
        <f t="shared" si="122"/>
        <v>-147.93928585928998</v>
      </c>
      <c r="AU219" s="335"/>
      <c r="AV219" s="334">
        <f t="shared" si="121"/>
        <v>147.93928585928998</v>
      </c>
      <c r="AW219" s="336">
        <f t="shared" si="114"/>
        <v>-117.11337488963035</v>
      </c>
      <c r="AX219" s="336">
        <f t="shared" si="115"/>
        <v>-92.88662511036965</v>
      </c>
      <c r="AY219" s="337">
        <f t="shared" si="102"/>
        <v>-68.30987500393816</v>
      </c>
      <c r="AZ219" s="337">
        <f t="shared" si="103"/>
        <v>-47.369575488094618</v>
      </c>
      <c r="BA219" s="340">
        <f t="shared" si="116"/>
        <v>68.30987500393816</v>
      </c>
      <c r="BB219" s="340">
        <f t="shared" si="116"/>
        <v>47.369575488094618</v>
      </c>
      <c r="BC219">
        <f t="shared" si="117"/>
        <v>0.3</v>
      </c>
    </row>
    <row r="220" spans="1:105" ht="25" customHeight="1" thickBot="1" x14ac:dyDescent="0.35">
      <c r="B220" s="197">
        <v>17</v>
      </c>
      <c r="C220" s="198"/>
      <c r="D220" s="10">
        <v>0</v>
      </c>
      <c r="E220" s="178" t="s">
        <v>121</v>
      </c>
      <c r="F220" s="178">
        <f t="shared" si="104"/>
        <v>0.3</v>
      </c>
      <c r="G220" s="178">
        <f t="shared" si="118"/>
        <v>0.3</v>
      </c>
      <c r="H220" s="389">
        <v>176.8294247</v>
      </c>
      <c r="I220" s="390">
        <v>66.429896499999998</v>
      </c>
      <c r="J220" s="361">
        <f t="shared" si="105"/>
        <v>66.429896499999998</v>
      </c>
      <c r="K220" s="361">
        <f t="shared" si="106"/>
        <v>33.214948249999999</v>
      </c>
      <c r="L220" s="361">
        <f t="shared" si="93"/>
        <v>0.54778151346749804</v>
      </c>
      <c r="M220" s="361">
        <f t="shared" si="94"/>
        <v>96.863889887752975</v>
      </c>
      <c r="N220" s="361">
        <f t="shared" si="95"/>
        <v>193.72777977550595</v>
      </c>
      <c r="O220" s="361">
        <f>+C204+D205+D206+D207+D208+D209+D210+D211+D212+D213+D214+D215+D216+D217+D218+D219+(D220/2)</f>
        <v>0</v>
      </c>
      <c r="P220" s="361">
        <f t="shared" si="96"/>
        <v>0</v>
      </c>
      <c r="Q220" s="361">
        <f t="shared" si="97"/>
        <v>0</v>
      </c>
      <c r="R220" s="361">
        <f t="shared" si="107"/>
        <v>147.93928579999999</v>
      </c>
      <c r="S220" s="361">
        <f t="shared" si="119"/>
        <v>147.93928579999999</v>
      </c>
      <c r="T220" s="362">
        <f t="shared" si="98"/>
        <v>147.93928579999999</v>
      </c>
      <c r="V220" s="327">
        <f t="shared" si="99"/>
        <v>0</v>
      </c>
      <c r="W220" s="327"/>
      <c r="X220" s="327"/>
      <c r="Y220" s="327"/>
      <c r="Z220" s="327"/>
      <c r="AA220" s="327"/>
      <c r="AB220" s="363" t="str">
        <f t="shared" si="100"/>
        <v>use the ground stack hole</v>
      </c>
      <c r="AC220" s="397"/>
      <c r="AD220" s="397"/>
      <c r="AE220" s="397"/>
      <c r="AF220" s="327">
        <f>SUM(V220:V227)/($B$201-B219)</f>
        <v>0</v>
      </c>
      <c r="AG220" s="327"/>
      <c r="AH220" s="339">
        <f>SUM(D205:D220)+$C$204</f>
        <v>0</v>
      </c>
      <c r="AI220" s="399"/>
      <c r="AJ220" s="207">
        <f t="shared" si="108"/>
        <v>74.852239100000006</v>
      </c>
      <c r="AK220" s="330">
        <f t="shared" si="101"/>
        <v>0.96525514282827984</v>
      </c>
      <c r="AL220" s="209">
        <f t="shared" si="109"/>
        <v>186.5249063054722</v>
      </c>
      <c r="AM220" s="207">
        <f t="shared" si="110"/>
        <v>56.785051799999998</v>
      </c>
      <c r="AN220" s="331">
        <f t="shared" si="111"/>
        <v>0.83662142830740083</v>
      </c>
      <c r="AO220" s="211">
        <f t="shared" si="112"/>
        <v>147.93928585928998</v>
      </c>
      <c r="AP220" s="402"/>
      <c r="AQ220" s="211">
        <f t="shared" si="120"/>
        <v>-225</v>
      </c>
      <c r="AR220" s="332"/>
      <c r="AS220" s="333">
        <f t="shared" si="113"/>
        <v>334.46419216476215</v>
      </c>
      <c r="AT220" s="334">
        <f t="shared" si="122"/>
        <v>-147.93928585928998</v>
      </c>
      <c r="AU220" s="335"/>
      <c r="AV220" s="334">
        <f t="shared" si="121"/>
        <v>147.93928585928998</v>
      </c>
      <c r="AW220" s="336">
        <f t="shared" si="114"/>
        <v>-125.47861595317538</v>
      </c>
      <c r="AX220" s="336">
        <f t="shared" si="115"/>
        <v>-99.521384046824622</v>
      </c>
      <c r="AY220" s="337">
        <f t="shared" si="102"/>
        <v>-63.755883337008953</v>
      </c>
      <c r="AZ220" s="337">
        <f t="shared" si="103"/>
        <v>-44.211603788888311</v>
      </c>
      <c r="BA220" s="340">
        <f t="shared" si="116"/>
        <v>63.755883337008953</v>
      </c>
      <c r="BB220" s="340">
        <f t="shared" si="116"/>
        <v>44.211603788888311</v>
      </c>
      <c r="BC220">
        <f t="shared" si="117"/>
        <v>0.3</v>
      </c>
      <c r="BD220" s="81"/>
    </row>
    <row r="221" spans="1:105" ht="25" customHeight="1" thickBot="1" x14ac:dyDescent="0.35">
      <c r="B221" s="197">
        <v>18</v>
      </c>
      <c r="C221" s="198"/>
      <c r="D221" s="10">
        <v>0</v>
      </c>
      <c r="E221" s="178" t="s">
        <v>121</v>
      </c>
      <c r="F221" s="178">
        <f t="shared" si="104"/>
        <v>0.3</v>
      </c>
      <c r="G221" s="178">
        <f t="shared" si="118"/>
        <v>0.3</v>
      </c>
      <c r="H221" s="389">
        <v>176.8294247</v>
      </c>
      <c r="I221" s="390">
        <v>66.429896499999998</v>
      </c>
      <c r="J221" s="361">
        <f t="shared" si="105"/>
        <v>66.429896499999998</v>
      </c>
      <c r="K221" s="361">
        <f t="shared" si="106"/>
        <v>33.214948249999999</v>
      </c>
      <c r="L221" s="361">
        <f t="shared" si="93"/>
        <v>0.54778151346749804</v>
      </c>
      <c r="M221" s="361">
        <f t="shared" si="94"/>
        <v>96.863889887752975</v>
      </c>
      <c r="N221" s="361">
        <f t="shared" si="95"/>
        <v>193.72777977550595</v>
      </c>
      <c r="O221" s="361">
        <f>+C204+D205+D206+D207+D208+D209+D210+D211+D212+D213+D214+D215+D216+D217+D218+D219+D220+(D221/2)</f>
        <v>0</v>
      </c>
      <c r="P221" s="361">
        <f t="shared" si="96"/>
        <v>0</v>
      </c>
      <c r="Q221" s="361">
        <f t="shared" si="97"/>
        <v>0</v>
      </c>
      <c r="R221" s="361">
        <f t="shared" si="107"/>
        <v>147.93928579999999</v>
      </c>
      <c r="S221" s="361">
        <f t="shared" si="119"/>
        <v>147.93928579999999</v>
      </c>
      <c r="T221" s="362">
        <f t="shared" si="98"/>
        <v>147.93928579999999</v>
      </c>
      <c r="V221" s="327">
        <f t="shared" si="99"/>
        <v>0</v>
      </c>
      <c r="W221" s="327"/>
      <c r="X221" s="327"/>
      <c r="Y221" s="327"/>
      <c r="Z221" s="327"/>
      <c r="AA221" s="327"/>
      <c r="AB221" s="363" t="str">
        <f t="shared" si="100"/>
        <v>use the ground stack hole</v>
      </c>
      <c r="AC221" s="397"/>
      <c r="AD221" s="397"/>
      <c r="AE221" s="397"/>
      <c r="AF221" s="327">
        <f>SUM(V221:V227)/($B$201-B220)</f>
        <v>0</v>
      </c>
      <c r="AG221" s="327"/>
      <c r="AH221" s="339">
        <f>SUM(D205:D221)+$C$204</f>
        <v>0</v>
      </c>
      <c r="AI221" s="399"/>
      <c r="AJ221" s="207">
        <f t="shared" si="108"/>
        <v>74.852239100000006</v>
      </c>
      <c r="AK221" s="330">
        <f t="shared" si="101"/>
        <v>0.96525514282827984</v>
      </c>
      <c r="AL221" s="209">
        <f t="shared" si="109"/>
        <v>186.5249063054722</v>
      </c>
      <c r="AM221" s="207">
        <f t="shared" si="110"/>
        <v>56.785051799999998</v>
      </c>
      <c r="AN221" s="331">
        <f t="shared" si="111"/>
        <v>0.83662142830740083</v>
      </c>
      <c r="AO221" s="211">
        <f t="shared" si="112"/>
        <v>147.93928585928998</v>
      </c>
      <c r="AP221" s="402"/>
      <c r="AQ221" s="211">
        <f t="shared" si="120"/>
        <v>-240</v>
      </c>
      <c r="AR221" s="332"/>
      <c r="AS221" s="333">
        <f t="shared" si="113"/>
        <v>334.46419216476215</v>
      </c>
      <c r="AT221" s="334">
        <f t="shared" si="122"/>
        <v>-147.93928585928998</v>
      </c>
      <c r="AU221" s="335"/>
      <c r="AV221" s="334">
        <f t="shared" si="121"/>
        <v>147.93928585928998</v>
      </c>
      <c r="AW221" s="336">
        <f t="shared" si="114"/>
        <v>-133.84385701672039</v>
      </c>
      <c r="AX221" s="336">
        <f t="shared" si="115"/>
        <v>-106.15614298327959</v>
      </c>
      <c r="AY221" s="337">
        <f t="shared" si="102"/>
        <v>-59.771140628445899</v>
      </c>
      <c r="AZ221" s="337">
        <f t="shared" si="103"/>
        <v>-41.448378552082794</v>
      </c>
      <c r="BA221" s="340">
        <f t="shared" si="116"/>
        <v>59.771140628445899</v>
      </c>
      <c r="BB221" s="340">
        <f t="shared" si="116"/>
        <v>41.448378552082794</v>
      </c>
      <c r="BC221">
        <f t="shared" si="117"/>
        <v>0.3</v>
      </c>
      <c r="BD221" s="347"/>
    </row>
    <row r="222" spans="1:105" ht="25" customHeight="1" thickBot="1" x14ac:dyDescent="0.35">
      <c r="B222" s="197">
        <v>19</v>
      </c>
      <c r="C222" s="407"/>
      <c r="D222" s="12">
        <v>0</v>
      </c>
      <c r="E222" s="178" t="s">
        <v>121</v>
      </c>
      <c r="F222" s="408">
        <f t="shared" si="104"/>
        <v>0.3</v>
      </c>
      <c r="G222" s="408">
        <f t="shared" si="118"/>
        <v>0.3</v>
      </c>
      <c r="H222" s="389">
        <v>176.8294247</v>
      </c>
      <c r="I222" s="390">
        <v>66.429896499999998</v>
      </c>
      <c r="J222" s="409">
        <f t="shared" si="105"/>
        <v>66.429896499999998</v>
      </c>
      <c r="K222" s="409">
        <f t="shared" si="106"/>
        <v>33.214948249999999</v>
      </c>
      <c r="L222" s="409">
        <f t="shared" si="93"/>
        <v>0.54778151346749804</v>
      </c>
      <c r="M222" s="409">
        <f t="shared" si="94"/>
        <v>96.863889887752975</v>
      </c>
      <c r="N222" s="409">
        <f t="shared" si="95"/>
        <v>193.72777977550595</v>
      </c>
      <c r="O222" s="409">
        <f>+C204+D205+D206+D207+D208+D209+D210+D211+D212+D213+D214+D215+D216+D217+D218+D219+D220+D221+(D222/2)</f>
        <v>0</v>
      </c>
      <c r="P222" s="409">
        <f t="shared" si="96"/>
        <v>0</v>
      </c>
      <c r="Q222" s="409">
        <f t="shared" si="97"/>
        <v>0</v>
      </c>
      <c r="R222" s="409">
        <f t="shared" si="107"/>
        <v>147.93928579999999</v>
      </c>
      <c r="S222" s="409">
        <f t="shared" si="119"/>
        <v>147.93928579999999</v>
      </c>
      <c r="T222" s="410">
        <f t="shared" si="98"/>
        <v>147.93928579999999</v>
      </c>
      <c r="U222" s="411"/>
      <c r="V222" s="412">
        <f t="shared" si="99"/>
        <v>0</v>
      </c>
      <c r="W222" s="412"/>
      <c r="X222" s="412"/>
      <c r="Y222" s="412"/>
      <c r="Z222" s="412"/>
      <c r="AA222" s="412"/>
      <c r="AB222" s="413" t="str">
        <f t="shared" si="100"/>
        <v>use the ground stack hole</v>
      </c>
      <c r="AC222" s="414"/>
      <c r="AD222" s="414"/>
      <c r="AE222" s="414"/>
      <c r="AF222" s="412">
        <f>SUM(V222:V227)/($B$201-B221)</f>
        <v>0</v>
      </c>
      <c r="AG222" s="412"/>
      <c r="AH222" s="415">
        <f>SUM(D204:D222)+$C$204</f>
        <v>0</v>
      </c>
      <c r="AI222" s="416"/>
      <c r="AJ222" s="207">
        <f t="shared" si="108"/>
        <v>74.852239100000006</v>
      </c>
      <c r="AK222" s="417">
        <f t="shared" si="101"/>
        <v>0.96525514282827984</v>
      </c>
      <c r="AL222" s="209">
        <f t="shared" si="109"/>
        <v>186.5249063054722</v>
      </c>
      <c r="AM222" s="207">
        <f t="shared" si="110"/>
        <v>56.785051799999998</v>
      </c>
      <c r="AN222" s="418">
        <f t="shared" si="111"/>
        <v>0.83662142830740083</v>
      </c>
      <c r="AO222" s="211">
        <f t="shared" si="112"/>
        <v>147.93928585928998</v>
      </c>
      <c r="AP222" s="419"/>
      <c r="AQ222" s="211">
        <f t="shared" si="120"/>
        <v>-255</v>
      </c>
      <c r="AR222" s="420"/>
      <c r="AS222" s="421">
        <f t="shared" si="113"/>
        <v>334.46419216476215</v>
      </c>
      <c r="AT222" s="412">
        <f t="shared" si="122"/>
        <v>-147.93928585928998</v>
      </c>
      <c r="AU222" s="422"/>
      <c r="AV222" s="412">
        <f t="shared" si="121"/>
        <v>147.93928585928998</v>
      </c>
      <c r="AW222" s="423">
        <f t="shared" si="114"/>
        <v>-142.20909808026542</v>
      </c>
      <c r="AX222" s="423">
        <f t="shared" si="115"/>
        <v>-112.79090191973457</v>
      </c>
      <c r="AY222" s="424">
        <f t="shared" si="102"/>
        <v>-56.255191179713783</v>
      </c>
      <c r="AZ222" s="424">
        <f t="shared" si="103"/>
        <v>-39.010238637254396</v>
      </c>
      <c r="BA222" s="425">
        <f t="shared" si="116"/>
        <v>56.255191179713783</v>
      </c>
      <c r="BB222" s="425">
        <f t="shared" si="116"/>
        <v>39.010238637254396</v>
      </c>
      <c r="BC222">
        <f t="shared" si="117"/>
        <v>0.3</v>
      </c>
      <c r="BD222" s="86"/>
    </row>
    <row r="223" spans="1:105" ht="25" customHeight="1" thickBot="1" x14ac:dyDescent="0.35">
      <c r="B223" s="197">
        <v>20</v>
      </c>
      <c r="C223" s="407"/>
      <c r="D223" s="12">
        <v>0</v>
      </c>
      <c r="E223" s="178" t="s">
        <v>121</v>
      </c>
      <c r="F223" s="408">
        <f t="shared" si="104"/>
        <v>0.3</v>
      </c>
      <c r="G223" s="408">
        <f t="shared" si="118"/>
        <v>0.3</v>
      </c>
      <c r="H223" s="389">
        <v>176.8294247</v>
      </c>
      <c r="I223" s="390">
        <v>66.429896499999998</v>
      </c>
      <c r="J223" s="409">
        <f t="shared" si="105"/>
        <v>66.429896499999998</v>
      </c>
      <c r="K223" s="409">
        <f t="shared" si="106"/>
        <v>33.214948249999999</v>
      </c>
      <c r="L223" s="409">
        <f t="shared" si="93"/>
        <v>0.54778151346749804</v>
      </c>
      <c r="M223" s="409">
        <f t="shared" si="94"/>
        <v>96.863889887752975</v>
      </c>
      <c r="N223" s="409">
        <f t="shared" si="95"/>
        <v>193.72777977550595</v>
      </c>
      <c r="O223" s="409">
        <f>+C204+D205+D206+D207+D208+D209+D210+D211+D212+D213+D214+D215+D216+D217+D218+D219+D220+D221+D222+(D223/2)</f>
        <v>0</v>
      </c>
      <c r="P223" s="409">
        <f t="shared" si="96"/>
        <v>0</v>
      </c>
      <c r="Q223" s="409">
        <f t="shared" si="97"/>
        <v>0</v>
      </c>
      <c r="R223" s="409">
        <f t="shared" si="107"/>
        <v>147.93928579999999</v>
      </c>
      <c r="S223" s="409">
        <f t="shared" si="119"/>
        <v>147.93928579999999</v>
      </c>
      <c r="T223" s="410">
        <f t="shared" si="98"/>
        <v>147.93928579999999</v>
      </c>
      <c r="U223" s="411"/>
      <c r="V223" s="412">
        <f t="shared" si="99"/>
        <v>0</v>
      </c>
      <c r="W223" s="412"/>
      <c r="X223" s="412"/>
      <c r="Y223" s="412"/>
      <c r="Z223" s="412"/>
      <c r="AA223" s="412"/>
      <c r="AB223" s="413" t="str">
        <f t="shared" si="100"/>
        <v>use the ground stack hole</v>
      </c>
      <c r="AC223" s="414"/>
      <c r="AD223" s="414"/>
      <c r="AE223" s="414"/>
      <c r="AF223" s="412">
        <f>SUM(V223:V227)/($B$201-B222)</f>
        <v>0</v>
      </c>
      <c r="AG223" s="412"/>
      <c r="AH223" s="415">
        <f>SUM(D205:D223)+$C$204</f>
        <v>0</v>
      </c>
      <c r="AI223" s="416"/>
      <c r="AJ223" s="207">
        <f t="shared" si="108"/>
        <v>74.852239100000006</v>
      </c>
      <c r="AK223" s="417">
        <f t="shared" si="101"/>
        <v>0.96525514282827984</v>
      </c>
      <c r="AL223" s="209">
        <f t="shared" si="109"/>
        <v>186.5249063054722</v>
      </c>
      <c r="AM223" s="207">
        <f t="shared" si="110"/>
        <v>56.785051799999998</v>
      </c>
      <c r="AN223" s="418">
        <f t="shared" si="111"/>
        <v>0.83662142830740083</v>
      </c>
      <c r="AO223" s="211">
        <f t="shared" si="112"/>
        <v>147.93928585928998</v>
      </c>
      <c r="AP223" s="419"/>
      <c r="AQ223" s="211">
        <f t="shared" si="120"/>
        <v>-270</v>
      </c>
      <c r="AR223" s="420"/>
      <c r="AS223" s="421">
        <f t="shared" si="113"/>
        <v>334.46419216476215</v>
      </c>
      <c r="AT223" s="412">
        <f t="shared" si="122"/>
        <v>-147.93928585928998</v>
      </c>
      <c r="AU223" s="422"/>
      <c r="AV223" s="412">
        <f t="shared" si="121"/>
        <v>147.93928585928998</v>
      </c>
      <c r="AW223" s="423">
        <f t="shared" si="114"/>
        <v>-150.57433914381045</v>
      </c>
      <c r="AX223" s="423">
        <f t="shared" si="115"/>
        <v>-119.42566085618955</v>
      </c>
      <c r="AY223" s="424">
        <f t="shared" si="102"/>
        <v>-53.129902780840794</v>
      </c>
      <c r="AZ223" s="424">
        <f t="shared" si="103"/>
        <v>-36.843003157406926</v>
      </c>
      <c r="BA223" s="425">
        <f t="shared" si="116"/>
        <v>53.129902780840794</v>
      </c>
      <c r="BB223" s="425">
        <f t="shared" si="116"/>
        <v>36.843003157406926</v>
      </c>
      <c r="BC223">
        <f t="shared" si="117"/>
        <v>0.3</v>
      </c>
      <c r="BD223" s="86"/>
      <c r="BJ223" s="221"/>
      <c r="BK223" s="221"/>
      <c r="BL223" s="221"/>
      <c r="BM223" s="221"/>
      <c r="BN223" s="221"/>
      <c r="BO223" s="221"/>
      <c r="BP223" s="999"/>
      <c r="BQ223" s="999"/>
      <c r="BR223" s="999"/>
      <c r="BS223" s="77"/>
    </row>
    <row r="224" spans="1:105" ht="25" customHeight="1" thickBot="1" x14ac:dyDescent="0.5">
      <c r="B224" s="197">
        <v>21</v>
      </c>
      <c r="C224" s="407"/>
      <c r="D224" s="12">
        <v>0</v>
      </c>
      <c r="E224" s="178" t="s">
        <v>121</v>
      </c>
      <c r="F224" s="408">
        <f t="shared" ref="F224:F227" si="123">+G224</f>
        <v>0.3</v>
      </c>
      <c r="G224" s="408">
        <f t="shared" ref="G224:G227" si="124">+D224+BC224</f>
        <v>0.3</v>
      </c>
      <c r="H224" s="389">
        <v>176.8294247</v>
      </c>
      <c r="I224" s="390">
        <v>66.429896499999998</v>
      </c>
      <c r="J224" s="409">
        <f t="shared" ref="J224:J227" si="125">+I224-D224</f>
        <v>66.429896499999998</v>
      </c>
      <c r="K224" s="409">
        <f t="shared" ref="K224:K227" si="126">+J224/2</f>
        <v>33.214948249999999</v>
      </c>
      <c r="L224" s="409">
        <f t="shared" ref="L224:L227" si="127">SIN(K224*3.14159265358979/180)</f>
        <v>0.54778151346749804</v>
      </c>
      <c r="M224" s="409">
        <f t="shared" ref="M224:M227" si="128">+L224*H224</f>
        <v>96.863889887752975</v>
      </c>
      <c r="N224" s="409">
        <f t="shared" ref="N224:N227" si="129">+M224*2</f>
        <v>193.72777977550595</v>
      </c>
      <c r="O224" s="409">
        <f>+C205+D205+D206+D207+D208+D209+D210+D211+D212+D213+D214+D215+D216+D217+D218+D219+D220+D221+D222+D223+(D224/2)</f>
        <v>0</v>
      </c>
      <c r="P224" s="409">
        <f t="shared" ref="P224:P227" si="130">SIN(O224*3.14159265358979/180)</f>
        <v>0</v>
      </c>
      <c r="Q224" s="409">
        <f t="shared" ref="Q224:Q227" si="131">+P224*N224</f>
        <v>0</v>
      </c>
      <c r="R224" s="409">
        <f t="shared" ref="R224:R227" si="132">+T223</f>
        <v>147.93928579999999</v>
      </c>
      <c r="S224" s="409">
        <f t="shared" ref="S224:S227" si="133">+S223+Q224</f>
        <v>147.93928579999999</v>
      </c>
      <c r="T224" s="410">
        <f t="shared" ref="T224:T227" si="134">+S224</f>
        <v>147.93928579999999</v>
      </c>
      <c r="U224" s="411"/>
      <c r="V224" s="412">
        <f t="shared" ref="V224:V227" si="135">IF(B224&lt;($B$201+1),T224,0)</f>
        <v>0</v>
      </c>
      <c r="W224" s="412"/>
      <c r="X224" s="412"/>
      <c r="Y224" s="412"/>
      <c r="Z224" s="412"/>
      <c r="AA224" s="412"/>
      <c r="AB224" s="413" t="str">
        <f t="shared" si="100"/>
        <v>use the ground stack hole</v>
      </c>
      <c r="AC224" s="414"/>
      <c r="AD224" s="414"/>
      <c r="AE224" s="414"/>
      <c r="AF224" s="412">
        <f>SUM(V224:V227)/($B$201-B223)</f>
        <v>0</v>
      </c>
      <c r="AG224" s="412"/>
      <c r="AH224" s="415">
        <f t="shared" ref="AH224:AH227" si="136">SUM(D206:D224)+$C$204</f>
        <v>0</v>
      </c>
      <c r="AI224" s="416"/>
      <c r="AJ224" s="207">
        <f t="shared" si="108"/>
        <v>74.852239100000006</v>
      </c>
      <c r="AK224" s="417">
        <f t="shared" ref="AK224:AK227" si="137">SIN(AJ224*3.14159265358979/180)</f>
        <v>0.96525514282827984</v>
      </c>
      <c r="AL224" s="209">
        <f t="shared" si="109"/>
        <v>186.5249063054722</v>
      </c>
      <c r="AM224" s="207">
        <f t="shared" si="110"/>
        <v>56.785051799999998</v>
      </c>
      <c r="AN224" s="418">
        <f t="shared" ref="AN224:AN227" si="138">SIN(AM224*3.14159265358979/180)</f>
        <v>0.83662142830740083</v>
      </c>
      <c r="AO224" s="211">
        <f t="shared" si="112"/>
        <v>147.93928585928998</v>
      </c>
      <c r="AP224" s="419"/>
      <c r="AQ224" s="211">
        <f t="shared" si="120"/>
        <v>-285</v>
      </c>
      <c r="AR224" s="420"/>
      <c r="AS224" s="421">
        <f t="shared" ref="AS224:AS227" si="139">+AO224+AL224</f>
        <v>334.46419216476215</v>
      </c>
      <c r="AT224" s="412">
        <f t="shared" ref="AT224:AT227" si="140">+V224-AO224</f>
        <v>-147.93928585928998</v>
      </c>
      <c r="AU224" s="422"/>
      <c r="AV224" s="412">
        <f t="shared" ref="AV224:AV227" si="141">+AF224-AT224</f>
        <v>147.93928585928998</v>
      </c>
      <c r="AW224" s="423">
        <f t="shared" ref="AW224:AW227" si="142">+((AS224-AV224)/AS224)*AQ224</f>
        <v>-158.93958020735548</v>
      </c>
      <c r="AX224" s="423">
        <f t="shared" ref="AX224:AX227" si="143">+(AV224/AS224)*AQ224</f>
        <v>-126.06041979264452</v>
      </c>
      <c r="AY224" s="424">
        <f t="shared" ref="AY224:AY227" si="144">2*$C$18/AW224</f>
        <v>-50.333592108164964</v>
      </c>
      <c r="AZ224" s="424">
        <f t="shared" ref="AZ224:AZ227" si="145">$D$18/AX224</f>
        <v>-34.903897728069715</v>
      </c>
      <c r="BA224" s="425">
        <f t="shared" ref="BA224:BA227" si="146">ABS(AY224)</f>
        <v>50.333592108164964</v>
      </c>
      <c r="BB224" s="425">
        <f t="shared" ref="BB224:BB227" si="147">ABS(AZ224)</f>
        <v>34.903897728069715</v>
      </c>
      <c r="BC224">
        <f t="shared" ref="BC224:BC227" si="148">IF(AZ224&lt;0,0.3,0)</f>
        <v>0.3</v>
      </c>
      <c r="BD224" s="86"/>
      <c r="BG224" s="669" t="s">
        <v>160</v>
      </c>
      <c r="BP224" s="222"/>
      <c r="CC224" s="222"/>
    </row>
    <row r="225" spans="2:86" ht="25" customHeight="1" thickBot="1" x14ac:dyDescent="0.5">
      <c r="B225" s="197">
        <v>22</v>
      </c>
      <c r="C225" s="407"/>
      <c r="D225" s="12">
        <v>0</v>
      </c>
      <c r="E225" s="178" t="s">
        <v>121</v>
      </c>
      <c r="F225" s="408">
        <f t="shared" si="123"/>
        <v>0.3</v>
      </c>
      <c r="G225" s="408">
        <f t="shared" si="124"/>
        <v>0.3</v>
      </c>
      <c r="H225" s="389">
        <v>176.8294247</v>
      </c>
      <c r="I225" s="390">
        <v>66.429896499999998</v>
      </c>
      <c r="J225" s="409">
        <f t="shared" si="125"/>
        <v>66.429896499999998</v>
      </c>
      <c r="K225" s="409">
        <f t="shared" si="126"/>
        <v>33.214948249999999</v>
      </c>
      <c r="L225" s="409">
        <f t="shared" si="127"/>
        <v>0.54778151346749804</v>
      </c>
      <c r="M225" s="409">
        <f t="shared" si="128"/>
        <v>96.863889887752975</v>
      </c>
      <c r="N225" s="409">
        <f t="shared" si="129"/>
        <v>193.72777977550595</v>
      </c>
      <c r="O225" s="409">
        <f>+C204+D206+D205+D207+D208+D209+D210+D211+D212+D213+D214+D215+D216+D217+D218+D219+D220+D221+D222+D223+D224+(D225/2)</f>
        <v>0</v>
      </c>
      <c r="P225" s="409">
        <f t="shared" si="130"/>
        <v>0</v>
      </c>
      <c r="Q225" s="409">
        <f t="shared" si="131"/>
        <v>0</v>
      </c>
      <c r="R225" s="409">
        <f t="shared" si="132"/>
        <v>147.93928579999999</v>
      </c>
      <c r="S225" s="409">
        <f t="shared" si="133"/>
        <v>147.93928579999999</v>
      </c>
      <c r="T225" s="410">
        <f t="shared" si="134"/>
        <v>147.93928579999999</v>
      </c>
      <c r="U225" s="411"/>
      <c r="V225" s="412">
        <f t="shared" si="135"/>
        <v>0</v>
      </c>
      <c r="W225" s="412"/>
      <c r="X225" s="412"/>
      <c r="Y225" s="412"/>
      <c r="Z225" s="412"/>
      <c r="AA225" s="412"/>
      <c r="AB225" s="413" t="str">
        <f t="shared" si="100"/>
        <v>use the ground stack hole</v>
      </c>
      <c r="AC225" s="414"/>
      <c r="AD225" s="414"/>
      <c r="AE225" s="414"/>
      <c r="AF225" s="412">
        <f>SUM(V225:V227)/($B$201-B224)</f>
        <v>0</v>
      </c>
      <c r="AG225" s="412"/>
      <c r="AH225" s="415">
        <f t="shared" si="136"/>
        <v>0</v>
      </c>
      <c r="AI225" s="416"/>
      <c r="AJ225" s="207">
        <f t="shared" si="108"/>
        <v>74.852239100000006</v>
      </c>
      <c r="AK225" s="417">
        <f t="shared" si="137"/>
        <v>0.96525514282827984</v>
      </c>
      <c r="AL225" s="209">
        <f t="shared" si="109"/>
        <v>186.5249063054722</v>
      </c>
      <c r="AM225" s="207">
        <f t="shared" si="110"/>
        <v>56.785051799999998</v>
      </c>
      <c r="AN225" s="418">
        <f t="shared" si="138"/>
        <v>0.83662142830740083</v>
      </c>
      <c r="AO225" s="211">
        <f t="shared" si="112"/>
        <v>147.93928585928998</v>
      </c>
      <c r="AP225" s="419"/>
      <c r="AQ225" s="211">
        <f t="shared" si="120"/>
        <v>-300</v>
      </c>
      <c r="AR225" s="420"/>
      <c r="AS225" s="421">
        <f t="shared" si="139"/>
        <v>334.46419216476215</v>
      </c>
      <c r="AT225" s="412">
        <f t="shared" si="140"/>
        <v>-147.93928585928998</v>
      </c>
      <c r="AU225" s="422"/>
      <c r="AV225" s="412">
        <f t="shared" si="141"/>
        <v>147.93928585928998</v>
      </c>
      <c r="AW225" s="423">
        <f t="shared" si="142"/>
        <v>-167.3048212709005</v>
      </c>
      <c r="AX225" s="423">
        <f t="shared" si="143"/>
        <v>-132.6951787290995</v>
      </c>
      <c r="AY225" s="424">
        <f t="shared" si="144"/>
        <v>-47.816912502756715</v>
      </c>
      <c r="AZ225" s="424">
        <f t="shared" si="145"/>
        <v>-33.158702841666233</v>
      </c>
      <c r="BA225" s="425">
        <f t="shared" si="146"/>
        <v>47.816912502756715</v>
      </c>
      <c r="BB225" s="425">
        <f t="shared" si="147"/>
        <v>33.158702841666233</v>
      </c>
      <c r="BC225">
        <f t="shared" si="148"/>
        <v>0.3</v>
      </c>
      <c r="BD225" s="86"/>
      <c r="BG225" s="669" t="s">
        <v>132</v>
      </c>
      <c r="BJ225" s="223"/>
      <c r="BK225" s="223"/>
      <c r="BL225" s="223"/>
      <c r="BM225" s="223"/>
      <c r="BN225" s="223"/>
      <c r="BO225" s="223"/>
      <c r="BP225" s="1000"/>
      <c r="BQ225" s="1000"/>
      <c r="CB225" s="994"/>
      <c r="CC225" s="994"/>
    </row>
    <row r="226" spans="2:86" ht="25" customHeight="1" thickBot="1" x14ac:dyDescent="0.5">
      <c r="B226" s="197">
        <v>23</v>
      </c>
      <c r="C226" s="407"/>
      <c r="D226" s="12">
        <v>0</v>
      </c>
      <c r="E226" s="178" t="s">
        <v>121</v>
      </c>
      <c r="F226" s="408">
        <f t="shared" si="123"/>
        <v>0.3</v>
      </c>
      <c r="G226" s="408">
        <f t="shared" si="124"/>
        <v>0.3</v>
      </c>
      <c r="H226" s="389">
        <v>176.8294247</v>
      </c>
      <c r="I226" s="390">
        <v>66.429896499999998</v>
      </c>
      <c r="J226" s="409">
        <f t="shared" si="125"/>
        <v>66.429896499999998</v>
      </c>
      <c r="K226" s="409">
        <f t="shared" si="126"/>
        <v>33.214948249999999</v>
      </c>
      <c r="L226" s="409">
        <f t="shared" si="127"/>
        <v>0.54778151346749804</v>
      </c>
      <c r="M226" s="409">
        <f t="shared" si="128"/>
        <v>96.863889887752975</v>
      </c>
      <c r="N226" s="409">
        <f t="shared" si="129"/>
        <v>193.72777977550595</v>
      </c>
      <c r="O226" s="409">
        <f>+C204+D207+D206+D205+D208+D209+D210+D211+D212+D213+D214+D215+D216+D217+D218+D219+D220+D221+D222+D223+D224+D225+(D226/2)</f>
        <v>0</v>
      </c>
      <c r="P226" s="409">
        <f t="shared" si="130"/>
        <v>0</v>
      </c>
      <c r="Q226" s="409">
        <f t="shared" si="131"/>
        <v>0</v>
      </c>
      <c r="R226" s="409">
        <f t="shared" si="132"/>
        <v>147.93928579999999</v>
      </c>
      <c r="S226" s="409">
        <f t="shared" si="133"/>
        <v>147.93928579999999</v>
      </c>
      <c r="T226" s="410">
        <f t="shared" si="134"/>
        <v>147.93928579999999</v>
      </c>
      <c r="U226" s="411"/>
      <c r="V226" s="412">
        <f t="shared" si="135"/>
        <v>0</v>
      </c>
      <c r="W226" s="412"/>
      <c r="X226" s="412"/>
      <c r="Y226" s="412"/>
      <c r="Z226" s="412"/>
      <c r="AA226" s="412"/>
      <c r="AB226" s="413" t="str">
        <f t="shared" si="100"/>
        <v>use the ground stack hole</v>
      </c>
      <c r="AC226" s="414"/>
      <c r="AD226" s="414"/>
      <c r="AE226" s="414"/>
      <c r="AF226" s="412">
        <f>SUM(V226:V227)/($B$201-B225)</f>
        <v>0</v>
      </c>
      <c r="AG226" s="412"/>
      <c r="AH226" s="415">
        <f t="shared" si="136"/>
        <v>0</v>
      </c>
      <c r="AI226" s="416"/>
      <c r="AJ226" s="207">
        <f t="shared" si="108"/>
        <v>74.852239100000006</v>
      </c>
      <c r="AK226" s="417">
        <f t="shared" si="137"/>
        <v>0.96525514282827984</v>
      </c>
      <c r="AL226" s="209">
        <f t="shared" si="109"/>
        <v>186.5249063054722</v>
      </c>
      <c r="AM226" s="207">
        <f t="shared" si="110"/>
        <v>56.785051799999998</v>
      </c>
      <c r="AN226" s="418">
        <f t="shared" si="138"/>
        <v>0.83662142830740083</v>
      </c>
      <c r="AO226" s="211">
        <f t="shared" si="112"/>
        <v>147.93928585928998</v>
      </c>
      <c r="AP226" s="419"/>
      <c r="AQ226" s="211">
        <f t="shared" si="120"/>
        <v>-315</v>
      </c>
      <c r="AR226" s="420"/>
      <c r="AS226" s="421">
        <f t="shared" si="139"/>
        <v>334.46419216476215</v>
      </c>
      <c r="AT226" s="412">
        <f t="shared" si="140"/>
        <v>-147.93928585928998</v>
      </c>
      <c r="AU226" s="422"/>
      <c r="AV226" s="412">
        <f t="shared" si="141"/>
        <v>147.93928585928998</v>
      </c>
      <c r="AW226" s="423">
        <f t="shared" si="142"/>
        <v>-175.67006233444553</v>
      </c>
      <c r="AX226" s="423">
        <f t="shared" si="143"/>
        <v>-139.32993766555447</v>
      </c>
      <c r="AY226" s="424">
        <f t="shared" si="144"/>
        <v>-45.539916669292111</v>
      </c>
      <c r="AZ226" s="424">
        <f t="shared" si="145"/>
        <v>-31.57971699206308</v>
      </c>
      <c r="BA226" s="425">
        <f t="shared" si="146"/>
        <v>45.539916669292111</v>
      </c>
      <c r="BB226" s="425">
        <f t="shared" si="147"/>
        <v>31.57971699206308</v>
      </c>
      <c r="BC226">
        <f t="shared" si="148"/>
        <v>0.3</v>
      </c>
      <c r="BD226" s="86"/>
      <c r="BG226" s="669" t="s">
        <v>132</v>
      </c>
    </row>
    <row r="227" spans="2:86" ht="25" customHeight="1" thickBot="1" x14ac:dyDescent="0.5">
      <c r="B227" s="197">
        <v>24</v>
      </c>
      <c r="C227" s="407"/>
      <c r="D227" s="12">
        <v>0</v>
      </c>
      <c r="E227" s="178" t="s">
        <v>121</v>
      </c>
      <c r="F227" s="408">
        <f t="shared" si="123"/>
        <v>0.3</v>
      </c>
      <c r="G227" s="408">
        <f t="shared" si="124"/>
        <v>0.3</v>
      </c>
      <c r="H227" s="389">
        <v>176.8294247</v>
      </c>
      <c r="I227" s="390">
        <v>66.429896499999998</v>
      </c>
      <c r="J227" s="409">
        <f t="shared" si="125"/>
        <v>66.429896499999998</v>
      </c>
      <c r="K227" s="409">
        <f t="shared" si="126"/>
        <v>33.214948249999999</v>
      </c>
      <c r="L227" s="409">
        <f t="shared" si="127"/>
        <v>0.54778151346749804</v>
      </c>
      <c r="M227" s="409">
        <f t="shared" si="128"/>
        <v>96.863889887752975</v>
      </c>
      <c r="N227" s="409">
        <f t="shared" si="129"/>
        <v>193.72777977550595</v>
      </c>
      <c r="O227" s="409">
        <f>+C204+D208+D207+D206+D205+D209+D210+D211+D212+D213+D214+D215+D216+D217+D218+D219+D220+D221+D222+D223+D224+D225+D226+(D227/2)</f>
        <v>0</v>
      </c>
      <c r="P227" s="409">
        <f t="shared" si="130"/>
        <v>0</v>
      </c>
      <c r="Q227" s="409">
        <f t="shared" si="131"/>
        <v>0</v>
      </c>
      <c r="R227" s="409">
        <f t="shared" si="132"/>
        <v>147.93928579999999</v>
      </c>
      <c r="S227" s="409">
        <f t="shared" si="133"/>
        <v>147.93928579999999</v>
      </c>
      <c r="T227" s="410">
        <f t="shared" si="134"/>
        <v>147.93928579999999</v>
      </c>
      <c r="U227" s="411"/>
      <c r="V227" s="412">
        <f t="shared" si="135"/>
        <v>0</v>
      </c>
      <c r="W227" s="412"/>
      <c r="X227" s="412"/>
      <c r="Y227" s="412"/>
      <c r="Z227" s="412"/>
      <c r="AA227" s="412"/>
      <c r="AB227" s="413" t="str">
        <f t="shared" si="100"/>
        <v>use the ground stack hole</v>
      </c>
      <c r="AC227" s="414"/>
      <c r="AD227" s="414"/>
      <c r="AE227" s="414"/>
      <c r="AF227" s="412">
        <f t="shared" ref="AF227" si="149">SUM(V227:V227)/($B$201-B226)</f>
        <v>0</v>
      </c>
      <c r="AG227" s="412"/>
      <c r="AH227" s="415">
        <f t="shared" si="136"/>
        <v>0</v>
      </c>
      <c r="AI227" s="416"/>
      <c r="AJ227" s="207">
        <f t="shared" si="108"/>
        <v>74.852239100000006</v>
      </c>
      <c r="AK227" s="417">
        <f t="shared" si="137"/>
        <v>0.96525514282827984</v>
      </c>
      <c r="AL227" s="209">
        <f t="shared" si="109"/>
        <v>186.5249063054722</v>
      </c>
      <c r="AM227" s="207">
        <f t="shared" si="110"/>
        <v>56.785051799999998</v>
      </c>
      <c r="AN227" s="418">
        <f t="shared" si="138"/>
        <v>0.83662142830740083</v>
      </c>
      <c r="AO227" s="211">
        <f t="shared" si="112"/>
        <v>147.93928585928998</v>
      </c>
      <c r="AP227" s="419"/>
      <c r="AQ227" s="211">
        <f t="shared" si="120"/>
        <v>-330</v>
      </c>
      <c r="AR227" s="420"/>
      <c r="AS227" s="421">
        <f t="shared" si="139"/>
        <v>334.46419216476215</v>
      </c>
      <c r="AT227" s="412">
        <f t="shared" si="140"/>
        <v>-147.93928585928998</v>
      </c>
      <c r="AU227" s="422"/>
      <c r="AV227" s="412">
        <f t="shared" si="141"/>
        <v>147.93928585928998</v>
      </c>
      <c r="AW227" s="423">
        <f t="shared" si="142"/>
        <v>-184.03530339799056</v>
      </c>
      <c r="AX227" s="423">
        <f t="shared" si="143"/>
        <v>-145.96469660200944</v>
      </c>
      <c r="AY227" s="424">
        <f t="shared" si="144"/>
        <v>-43.469920457051558</v>
      </c>
      <c r="AZ227" s="424">
        <f t="shared" si="145"/>
        <v>-30.144275310605668</v>
      </c>
      <c r="BA227" s="425">
        <f t="shared" si="146"/>
        <v>43.469920457051558</v>
      </c>
      <c r="BB227" s="425">
        <f t="shared" si="147"/>
        <v>30.144275310605668</v>
      </c>
      <c r="BC227">
        <f t="shared" si="148"/>
        <v>0.3</v>
      </c>
      <c r="BD227" s="86"/>
      <c r="BG227" s="669" t="s">
        <v>132</v>
      </c>
    </row>
    <row r="228" spans="2:86" x14ac:dyDescent="0.3">
      <c r="BD228" s="428"/>
    </row>
    <row r="229" spans="2:86" hidden="1" x14ac:dyDescent="0.3">
      <c r="BD229" s="428"/>
    </row>
    <row r="230" spans="2:86" ht="29" hidden="1" thickBot="1" x14ac:dyDescent="0.35">
      <c r="BD230" s="428"/>
    </row>
    <row r="231" spans="2:86" ht="29" hidden="1" thickBot="1" x14ac:dyDescent="0.35">
      <c r="BD231" s="428"/>
      <c r="CA231" s="687"/>
      <c r="CB231" s="688"/>
      <c r="CC231" s="689" t="s">
        <v>79</v>
      </c>
      <c r="CD231" s="688"/>
      <c r="CE231" s="688"/>
      <c r="CF231" s="688"/>
      <c r="CG231" s="688"/>
      <c r="CH231" s="690"/>
    </row>
    <row r="232" spans="2:86" ht="31" hidden="1" thickBot="1" x14ac:dyDescent="0.45">
      <c r="BD232" s="428"/>
      <c r="CA232" s="691">
        <v>1</v>
      </c>
      <c r="CB232" s="657">
        <v>-308</v>
      </c>
      <c r="CC232" s="692">
        <f>+COS(($B$137*-1)*3.14159265358979/180)*CB232</f>
        <v>-308</v>
      </c>
      <c r="CD232" s="693">
        <f t="shared" ref="CD232:CD272" si="150">+CC232-D$3</f>
        <v>-484.98788582937908</v>
      </c>
      <c r="CE232" s="694">
        <f>ABS(CD232)</f>
        <v>484.98788582937908</v>
      </c>
      <c r="CF232" s="695">
        <f>MIN(CE232:CE272)</f>
        <v>8.9878858293790813</v>
      </c>
      <c r="CG232" s="466" t="b">
        <f t="shared" ref="CG232:CG272" si="151">IF(CF232=CE232,CA232)</f>
        <v>0</v>
      </c>
      <c r="CH232" s="696">
        <v>1</v>
      </c>
    </row>
    <row r="233" spans="2:86" ht="31" hidden="1" thickBot="1" x14ac:dyDescent="0.45">
      <c r="BD233" s="428"/>
      <c r="CA233" s="691">
        <v>2</v>
      </c>
      <c r="CB233" s="657">
        <f t="shared" ref="CB233:CB272" si="152">+CB232+28</f>
        <v>-280</v>
      </c>
      <c r="CC233" s="697">
        <f t="shared" ref="CC233:CC272" si="153">+CC232+$E$2</f>
        <v>-280</v>
      </c>
      <c r="CD233" s="693">
        <f t="shared" si="150"/>
        <v>-456.98788582937908</v>
      </c>
      <c r="CE233" s="466">
        <f t="shared" ref="CE233:CE272" si="154">ABS(CD233)</f>
        <v>456.98788582937908</v>
      </c>
      <c r="CF233" s="466">
        <f t="shared" ref="CF233:CF272" si="155">+CF232</f>
        <v>8.9878858293790813</v>
      </c>
      <c r="CG233" s="466" t="b">
        <f t="shared" si="151"/>
        <v>0</v>
      </c>
      <c r="CH233" s="696">
        <v>2</v>
      </c>
    </row>
    <row r="234" spans="2:86" ht="31" hidden="1" thickBot="1" x14ac:dyDescent="0.45">
      <c r="BD234" s="428"/>
      <c r="CA234" s="691">
        <v>3</v>
      </c>
      <c r="CB234" s="657">
        <f t="shared" si="152"/>
        <v>-252</v>
      </c>
      <c r="CC234" s="697">
        <f t="shared" si="153"/>
        <v>-252</v>
      </c>
      <c r="CD234" s="693">
        <f t="shared" si="150"/>
        <v>-428.98788582937908</v>
      </c>
      <c r="CE234" s="466">
        <f t="shared" si="154"/>
        <v>428.98788582937908</v>
      </c>
      <c r="CF234" s="466">
        <f t="shared" si="155"/>
        <v>8.9878858293790813</v>
      </c>
      <c r="CG234" s="466" t="b">
        <f t="shared" si="151"/>
        <v>0</v>
      </c>
      <c r="CH234" s="696">
        <v>3</v>
      </c>
    </row>
    <row r="235" spans="2:86" ht="31" hidden="1" thickBot="1" x14ac:dyDescent="0.45">
      <c r="BD235" s="428"/>
      <c r="CA235" s="691">
        <v>4</v>
      </c>
      <c r="CB235" s="657">
        <f t="shared" si="152"/>
        <v>-224</v>
      </c>
      <c r="CC235" s="697">
        <f t="shared" si="153"/>
        <v>-224</v>
      </c>
      <c r="CD235" s="693">
        <f t="shared" si="150"/>
        <v>-400.98788582937908</v>
      </c>
      <c r="CE235" s="466">
        <f t="shared" si="154"/>
        <v>400.98788582937908</v>
      </c>
      <c r="CF235" s="466">
        <f t="shared" si="155"/>
        <v>8.9878858293790813</v>
      </c>
      <c r="CG235" s="466" t="b">
        <f t="shared" si="151"/>
        <v>0</v>
      </c>
      <c r="CH235" s="696">
        <v>4</v>
      </c>
    </row>
    <row r="236" spans="2:86" ht="31" hidden="1" thickBot="1" x14ac:dyDescent="0.45">
      <c r="BD236" s="428"/>
      <c r="CA236" s="691">
        <v>5</v>
      </c>
      <c r="CB236" s="657">
        <f t="shared" si="152"/>
        <v>-196</v>
      </c>
      <c r="CC236" s="697">
        <f t="shared" si="153"/>
        <v>-196</v>
      </c>
      <c r="CD236" s="693">
        <f t="shared" si="150"/>
        <v>-372.98788582937908</v>
      </c>
      <c r="CE236" s="466">
        <f t="shared" si="154"/>
        <v>372.98788582937908</v>
      </c>
      <c r="CF236" s="466">
        <f t="shared" si="155"/>
        <v>8.9878858293790813</v>
      </c>
      <c r="CG236" s="466" t="b">
        <f t="shared" si="151"/>
        <v>0</v>
      </c>
      <c r="CH236" s="696">
        <v>5</v>
      </c>
    </row>
    <row r="237" spans="2:86" ht="31" hidden="1" thickBot="1" x14ac:dyDescent="0.45">
      <c r="CA237" s="691">
        <v>6</v>
      </c>
      <c r="CB237" s="657">
        <f t="shared" si="152"/>
        <v>-168</v>
      </c>
      <c r="CC237" s="697">
        <f t="shared" si="153"/>
        <v>-168</v>
      </c>
      <c r="CD237" s="693">
        <f t="shared" si="150"/>
        <v>-344.98788582937908</v>
      </c>
      <c r="CE237" s="466">
        <f t="shared" si="154"/>
        <v>344.98788582937908</v>
      </c>
      <c r="CF237" s="466">
        <f t="shared" si="155"/>
        <v>8.9878858293790813</v>
      </c>
      <c r="CG237" s="466" t="b">
        <f t="shared" si="151"/>
        <v>0</v>
      </c>
      <c r="CH237" s="696">
        <v>6</v>
      </c>
    </row>
    <row r="238" spans="2:86" ht="31" hidden="1" thickBot="1" x14ac:dyDescent="0.45">
      <c r="CA238" s="691">
        <v>7</v>
      </c>
      <c r="CB238" s="657">
        <f t="shared" si="152"/>
        <v>-140</v>
      </c>
      <c r="CC238" s="697">
        <f t="shared" si="153"/>
        <v>-140</v>
      </c>
      <c r="CD238" s="693">
        <f t="shared" si="150"/>
        <v>-316.98788582937908</v>
      </c>
      <c r="CE238" s="466">
        <f t="shared" si="154"/>
        <v>316.98788582937908</v>
      </c>
      <c r="CF238" s="466">
        <f t="shared" si="155"/>
        <v>8.9878858293790813</v>
      </c>
      <c r="CG238" s="466" t="b">
        <f t="shared" si="151"/>
        <v>0</v>
      </c>
      <c r="CH238" s="696">
        <v>7</v>
      </c>
    </row>
    <row r="239" spans="2:86" ht="31" hidden="1" thickBot="1" x14ac:dyDescent="0.45">
      <c r="CA239" s="691">
        <v>8</v>
      </c>
      <c r="CB239" s="657">
        <f t="shared" si="152"/>
        <v>-112</v>
      </c>
      <c r="CC239" s="697">
        <f t="shared" si="153"/>
        <v>-112</v>
      </c>
      <c r="CD239" s="693">
        <f t="shared" si="150"/>
        <v>-288.98788582937908</v>
      </c>
      <c r="CE239" s="466">
        <f t="shared" si="154"/>
        <v>288.98788582937908</v>
      </c>
      <c r="CF239" s="466">
        <f t="shared" si="155"/>
        <v>8.9878858293790813</v>
      </c>
      <c r="CG239" s="466" t="b">
        <f t="shared" si="151"/>
        <v>0</v>
      </c>
      <c r="CH239" s="696">
        <v>8</v>
      </c>
    </row>
    <row r="240" spans="2:86" ht="31" hidden="1" thickBot="1" x14ac:dyDescent="0.45">
      <c r="CA240" s="691">
        <v>9</v>
      </c>
      <c r="CB240" s="657">
        <f t="shared" si="152"/>
        <v>-84</v>
      </c>
      <c r="CC240" s="697">
        <f t="shared" si="153"/>
        <v>-84</v>
      </c>
      <c r="CD240" s="693">
        <f t="shared" si="150"/>
        <v>-260.98788582937908</v>
      </c>
      <c r="CE240" s="466">
        <f t="shared" si="154"/>
        <v>260.98788582937908</v>
      </c>
      <c r="CF240" s="466">
        <f t="shared" si="155"/>
        <v>8.9878858293790813</v>
      </c>
      <c r="CG240" s="466" t="b">
        <f t="shared" si="151"/>
        <v>0</v>
      </c>
      <c r="CH240" s="696">
        <v>9</v>
      </c>
    </row>
    <row r="241" spans="62:86" ht="31" hidden="1" thickBot="1" x14ac:dyDescent="0.45">
      <c r="CA241" s="691">
        <v>10</v>
      </c>
      <c r="CB241" s="657">
        <f t="shared" si="152"/>
        <v>-56</v>
      </c>
      <c r="CC241" s="697">
        <f t="shared" si="153"/>
        <v>-56</v>
      </c>
      <c r="CD241" s="693">
        <f t="shared" si="150"/>
        <v>-232.98788582937908</v>
      </c>
      <c r="CE241" s="466">
        <f t="shared" si="154"/>
        <v>232.98788582937908</v>
      </c>
      <c r="CF241" s="466">
        <f t="shared" si="155"/>
        <v>8.9878858293790813</v>
      </c>
      <c r="CG241" s="466" t="b">
        <f t="shared" si="151"/>
        <v>0</v>
      </c>
      <c r="CH241" s="696">
        <v>10</v>
      </c>
    </row>
    <row r="242" spans="62:86" ht="31" hidden="1" thickBot="1" x14ac:dyDescent="0.45">
      <c r="BJ242" s="77"/>
      <c r="BL242" s="77"/>
      <c r="BN242" s="77"/>
      <c r="CA242" s="691">
        <v>11</v>
      </c>
      <c r="CB242" s="657">
        <f t="shared" si="152"/>
        <v>-28</v>
      </c>
      <c r="CC242" s="697">
        <f t="shared" si="153"/>
        <v>-28</v>
      </c>
      <c r="CD242" s="693">
        <f t="shared" si="150"/>
        <v>-204.98788582937908</v>
      </c>
      <c r="CE242" s="466">
        <f t="shared" si="154"/>
        <v>204.98788582937908</v>
      </c>
      <c r="CF242" s="466">
        <f t="shared" si="155"/>
        <v>8.9878858293790813</v>
      </c>
      <c r="CG242" s="466" t="b">
        <f t="shared" si="151"/>
        <v>0</v>
      </c>
      <c r="CH242" s="696">
        <v>11</v>
      </c>
    </row>
    <row r="243" spans="62:86" ht="31" hidden="1" thickBot="1" x14ac:dyDescent="0.45">
      <c r="BJ243" s="77"/>
      <c r="BN243" s="77"/>
      <c r="CA243" s="691">
        <v>12</v>
      </c>
      <c r="CB243" s="657">
        <f t="shared" si="152"/>
        <v>0</v>
      </c>
      <c r="CC243" s="697">
        <f t="shared" si="153"/>
        <v>0</v>
      </c>
      <c r="CD243" s="693">
        <f t="shared" si="150"/>
        <v>-176.98788582937908</v>
      </c>
      <c r="CE243" s="466">
        <f t="shared" si="154"/>
        <v>176.98788582937908</v>
      </c>
      <c r="CF243" s="466">
        <f t="shared" si="155"/>
        <v>8.9878858293790813</v>
      </c>
      <c r="CG243" s="466" t="b">
        <f t="shared" si="151"/>
        <v>0</v>
      </c>
      <c r="CH243" s="696">
        <v>12</v>
      </c>
    </row>
    <row r="244" spans="62:86" ht="31" hidden="1" thickBot="1" x14ac:dyDescent="0.45">
      <c r="BJ244" s="77"/>
      <c r="BK244" s="224"/>
      <c r="BL244" s="224"/>
      <c r="BM244" s="224"/>
      <c r="BN244" s="224"/>
      <c r="BO244" s="224"/>
      <c r="BP244" s="224"/>
      <c r="BQ244" s="224"/>
      <c r="BR244" s="224"/>
      <c r="BS244" s="224"/>
      <c r="BT244" s="224"/>
      <c r="BU244" s="224"/>
      <c r="BV244" s="224"/>
      <c r="BW244" s="224"/>
      <c r="BX244" s="224"/>
      <c r="BY244" s="224"/>
      <c r="BZ244" s="224"/>
      <c r="CA244" s="691">
        <v>13</v>
      </c>
      <c r="CB244" s="657">
        <f t="shared" si="152"/>
        <v>28</v>
      </c>
      <c r="CC244" s="697">
        <f t="shared" si="153"/>
        <v>28</v>
      </c>
      <c r="CD244" s="693">
        <f t="shared" si="150"/>
        <v>-148.98788582937908</v>
      </c>
      <c r="CE244" s="466">
        <f t="shared" si="154"/>
        <v>148.98788582937908</v>
      </c>
      <c r="CF244" s="466">
        <f t="shared" si="155"/>
        <v>8.9878858293790813</v>
      </c>
      <c r="CG244" s="466" t="b">
        <f t="shared" si="151"/>
        <v>0</v>
      </c>
      <c r="CH244" s="696">
        <v>13</v>
      </c>
    </row>
    <row r="245" spans="62:86" ht="31" hidden="1" thickBot="1" x14ac:dyDescent="0.45">
      <c r="BJ245" s="77"/>
      <c r="CA245" s="691">
        <v>14</v>
      </c>
      <c r="CB245" s="657">
        <f t="shared" si="152"/>
        <v>56</v>
      </c>
      <c r="CC245" s="697">
        <f t="shared" si="153"/>
        <v>56</v>
      </c>
      <c r="CD245" s="693">
        <f t="shared" si="150"/>
        <v>-120.98788582937908</v>
      </c>
      <c r="CE245" s="466">
        <f t="shared" si="154"/>
        <v>120.98788582937908</v>
      </c>
      <c r="CF245" s="466">
        <f t="shared" si="155"/>
        <v>8.9878858293790813</v>
      </c>
      <c r="CG245" s="466" t="b">
        <f t="shared" si="151"/>
        <v>0</v>
      </c>
      <c r="CH245" s="696">
        <v>14</v>
      </c>
    </row>
    <row r="246" spans="62:86" ht="31" hidden="1" thickBot="1" x14ac:dyDescent="0.45">
      <c r="BJ246" s="155"/>
      <c r="BK246" s="225"/>
      <c r="BL246" s="225"/>
      <c r="BM246" s="225"/>
      <c r="BN246" s="225"/>
      <c r="BO246" s="225"/>
      <c r="BP246" s="225"/>
      <c r="BQ246" s="225"/>
      <c r="BR246" s="225"/>
      <c r="BS246" s="225"/>
      <c r="BT246" s="225"/>
      <c r="BU246" s="225"/>
      <c r="BV246" s="225"/>
      <c r="BW246" s="225"/>
      <c r="BX246" s="225"/>
      <c r="BY246" s="225"/>
      <c r="BZ246" s="225"/>
      <c r="CA246" s="691">
        <v>15</v>
      </c>
      <c r="CB246" s="657">
        <f t="shared" si="152"/>
        <v>84</v>
      </c>
      <c r="CC246" s="697">
        <f t="shared" si="153"/>
        <v>84</v>
      </c>
      <c r="CD246" s="693">
        <f t="shared" si="150"/>
        <v>-92.987885829379081</v>
      </c>
      <c r="CE246" s="466">
        <f t="shared" si="154"/>
        <v>92.987885829379081</v>
      </c>
      <c r="CF246" s="466">
        <f t="shared" si="155"/>
        <v>8.9878858293790813</v>
      </c>
      <c r="CG246" s="466" t="b">
        <f t="shared" si="151"/>
        <v>0</v>
      </c>
      <c r="CH246" s="696">
        <v>15</v>
      </c>
    </row>
    <row r="247" spans="62:86" ht="31" hidden="1" thickBot="1" x14ac:dyDescent="0.45">
      <c r="BJ247" s="77"/>
      <c r="BK247" s="124"/>
      <c r="BL247" s="124"/>
      <c r="BM247" s="124"/>
      <c r="BN247" s="124"/>
      <c r="BO247" s="124"/>
      <c r="BP247" s="124"/>
      <c r="BQ247" s="124"/>
      <c r="BR247" s="124"/>
      <c r="BS247" s="124"/>
      <c r="BT247" s="124"/>
      <c r="BU247" s="124"/>
      <c r="BV247" s="124"/>
      <c r="BW247" s="124"/>
      <c r="BX247" s="124"/>
      <c r="BY247" s="124"/>
      <c r="BZ247" s="124"/>
      <c r="CA247" s="691">
        <v>16</v>
      </c>
      <c r="CB247" s="657">
        <f t="shared" si="152"/>
        <v>112</v>
      </c>
      <c r="CC247" s="697">
        <f t="shared" si="153"/>
        <v>112</v>
      </c>
      <c r="CD247" s="693">
        <f t="shared" si="150"/>
        <v>-64.987885829379081</v>
      </c>
      <c r="CE247" s="466">
        <f t="shared" si="154"/>
        <v>64.987885829379081</v>
      </c>
      <c r="CF247" s="466">
        <f t="shared" si="155"/>
        <v>8.9878858293790813</v>
      </c>
      <c r="CG247" s="466" t="b">
        <f t="shared" si="151"/>
        <v>0</v>
      </c>
      <c r="CH247" s="696">
        <v>16</v>
      </c>
    </row>
    <row r="248" spans="62:86" ht="31" hidden="1" thickBot="1" x14ac:dyDescent="0.45">
      <c r="CA248" s="691">
        <v>17</v>
      </c>
      <c r="CB248" s="657">
        <f t="shared" si="152"/>
        <v>140</v>
      </c>
      <c r="CC248" s="697">
        <f t="shared" si="153"/>
        <v>140</v>
      </c>
      <c r="CD248" s="693">
        <f t="shared" si="150"/>
        <v>-36.987885829379081</v>
      </c>
      <c r="CE248" s="466">
        <f t="shared" si="154"/>
        <v>36.987885829379081</v>
      </c>
      <c r="CF248" s="466">
        <f t="shared" si="155"/>
        <v>8.9878858293790813</v>
      </c>
      <c r="CG248" s="466" t="b">
        <f t="shared" si="151"/>
        <v>0</v>
      </c>
      <c r="CH248" s="696">
        <v>17</v>
      </c>
    </row>
    <row r="249" spans="62:86" ht="31" hidden="1" thickBot="1" x14ac:dyDescent="0.45">
      <c r="BK249" s="156"/>
      <c r="BL249" s="156"/>
      <c r="BM249" s="156"/>
      <c r="BN249" s="156"/>
      <c r="BO249" s="156"/>
      <c r="BP249" s="156"/>
      <c r="BQ249" s="77"/>
      <c r="BR249" s="77"/>
      <c r="BS249" s="77"/>
      <c r="BT249" s="77"/>
      <c r="BU249" s="77"/>
      <c r="BV249" s="156"/>
      <c r="BW249" s="156"/>
      <c r="BX249" s="156"/>
      <c r="BY249" s="77"/>
      <c r="BZ249" s="77"/>
      <c r="CA249" s="691">
        <v>18</v>
      </c>
      <c r="CB249" s="657">
        <f t="shared" si="152"/>
        <v>168</v>
      </c>
      <c r="CC249" s="697">
        <f t="shared" si="153"/>
        <v>168</v>
      </c>
      <c r="CD249" s="693">
        <f t="shared" si="150"/>
        <v>-8.9878858293790813</v>
      </c>
      <c r="CE249" s="466">
        <f t="shared" si="154"/>
        <v>8.9878858293790813</v>
      </c>
      <c r="CF249" s="466">
        <f t="shared" si="155"/>
        <v>8.9878858293790813</v>
      </c>
      <c r="CG249" s="466">
        <f t="shared" si="151"/>
        <v>18</v>
      </c>
      <c r="CH249" s="696">
        <v>18</v>
      </c>
    </row>
    <row r="250" spans="62:86" ht="31" hidden="1" thickBot="1" x14ac:dyDescent="0.45">
      <c r="BK250" s="156"/>
      <c r="BL250" s="156"/>
      <c r="BM250" s="156"/>
      <c r="BN250" s="156"/>
      <c r="BO250" s="156"/>
      <c r="BP250" s="156"/>
      <c r="BU250" s="156"/>
      <c r="BV250" s="156"/>
      <c r="BW250" s="156"/>
      <c r="BX250" s="156"/>
      <c r="CA250" s="691">
        <v>19</v>
      </c>
      <c r="CB250" s="657">
        <f t="shared" si="152"/>
        <v>196</v>
      </c>
      <c r="CC250" s="697">
        <f t="shared" si="153"/>
        <v>196</v>
      </c>
      <c r="CD250" s="693">
        <f t="shared" si="150"/>
        <v>19.012114170620919</v>
      </c>
      <c r="CE250" s="466">
        <f t="shared" si="154"/>
        <v>19.012114170620919</v>
      </c>
      <c r="CF250" s="466">
        <f t="shared" si="155"/>
        <v>8.9878858293790813</v>
      </c>
      <c r="CG250" s="466" t="b">
        <f t="shared" si="151"/>
        <v>0</v>
      </c>
      <c r="CH250" s="696">
        <v>19</v>
      </c>
    </row>
    <row r="251" spans="62:86" ht="31" hidden="1" thickBot="1" x14ac:dyDescent="0.45">
      <c r="CA251" s="691">
        <v>20</v>
      </c>
      <c r="CB251" s="657">
        <f t="shared" si="152"/>
        <v>224</v>
      </c>
      <c r="CC251" s="697">
        <f t="shared" si="153"/>
        <v>224</v>
      </c>
      <c r="CD251" s="693">
        <f t="shared" si="150"/>
        <v>47.012114170620919</v>
      </c>
      <c r="CE251" s="466">
        <f t="shared" si="154"/>
        <v>47.012114170620919</v>
      </c>
      <c r="CF251" s="466">
        <f t="shared" si="155"/>
        <v>8.9878858293790813</v>
      </c>
      <c r="CG251" s="466" t="b">
        <f t="shared" si="151"/>
        <v>0</v>
      </c>
      <c r="CH251" s="696">
        <v>20</v>
      </c>
    </row>
    <row r="252" spans="62:86" ht="31" hidden="1" thickBot="1" x14ac:dyDescent="0.45">
      <c r="CA252" s="691">
        <v>21</v>
      </c>
      <c r="CB252" s="657">
        <f t="shared" si="152"/>
        <v>252</v>
      </c>
      <c r="CC252" s="697">
        <f t="shared" si="153"/>
        <v>252</v>
      </c>
      <c r="CD252" s="693">
        <f t="shared" si="150"/>
        <v>75.012114170620919</v>
      </c>
      <c r="CE252" s="466">
        <f t="shared" si="154"/>
        <v>75.012114170620919</v>
      </c>
      <c r="CF252" s="466">
        <f t="shared" si="155"/>
        <v>8.9878858293790813</v>
      </c>
      <c r="CG252" s="466" t="b">
        <f t="shared" si="151"/>
        <v>0</v>
      </c>
      <c r="CH252" s="696">
        <v>21</v>
      </c>
    </row>
    <row r="253" spans="62:86" ht="31" hidden="1" thickBot="1" x14ac:dyDescent="0.45">
      <c r="CA253" s="691">
        <v>22</v>
      </c>
      <c r="CB253" s="657">
        <f t="shared" si="152"/>
        <v>280</v>
      </c>
      <c r="CC253" s="697">
        <f t="shared" si="153"/>
        <v>280</v>
      </c>
      <c r="CD253" s="693">
        <f t="shared" si="150"/>
        <v>103.01211417062092</v>
      </c>
      <c r="CE253" s="466">
        <f t="shared" si="154"/>
        <v>103.01211417062092</v>
      </c>
      <c r="CF253" s="466">
        <f t="shared" si="155"/>
        <v>8.9878858293790813</v>
      </c>
      <c r="CG253" s="466" t="b">
        <f t="shared" si="151"/>
        <v>0</v>
      </c>
      <c r="CH253" s="696">
        <v>22</v>
      </c>
    </row>
    <row r="254" spans="62:86" ht="31" hidden="1" thickBot="1" x14ac:dyDescent="0.45">
      <c r="CA254" s="691">
        <v>23</v>
      </c>
      <c r="CB254" s="657">
        <f t="shared" si="152"/>
        <v>308</v>
      </c>
      <c r="CC254" s="697">
        <f t="shared" si="153"/>
        <v>308</v>
      </c>
      <c r="CD254" s="693">
        <f t="shared" si="150"/>
        <v>131.01211417062092</v>
      </c>
      <c r="CE254" s="466">
        <f t="shared" si="154"/>
        <v>131.01211417062092</v>
      </c>
      <c r="CF254" s="466">
        <f t="shared" si="155"/>
        <v>8.9878858293790813</v>
      </c>
      <c r="CG254" s="466" t="b">
        <f t="shared" si="151"/>
        <v>0</v>
      </c>
      <c r="CH254" s="696">
        <v>23</v>
      </c>
    </row>
    <row r="255" spans="62:86" ht="31" hidden="1" thickBot="1" x14ac:dyDescent="0.45">
      <c r="CA255" s="691">
        <v>24</v>
      </c>
      <c r="CB255" s="657">
        <f t="shared" si="152"/>
        <v>336</v>
      </c>
      <c r="CC255" s="697">
        <f t="shared" si="153"/>
        <v>336</v>
      </c>
      <c r="CD255" s="693">
        <f t="shared" si="150"/>
        <v>159.01211417062092</v>
      </c>
      <c r="CE255" s="466">
        <f t="shared" si="154"/>
        <v>159.01211417062092</v>
      </c>
      <c r="CF255" s="466">
        <f t="shared" si="155"/>
        <v>8.9878858293790813</v>
      </c>
      <c r="CG255" s="466" t="b">
        <f t="shared" si="151"/>
        <v>0</v>
      </c>
      <c r="CH255" s="696">
        <v>24</v>
      </c>
    </row>
    <row r="256" spans="62:86" ht="31" hidden="1" thickBot="1" x14ac:dyDescent="0.45">
      <c r="CA256" s="691">
        <v>25</v>
      </c>
      <c r="CB256" s="657">
        <f t="shared" si="152"/>
        <v>364</v>
      </c>
      <c r="CC256" s="697">
        <f t="shared" si="153"/>
        <v>364</v>
      </c>
      <c r="CD256" s="693">
        <f t="shared" si="150"/>
        <v>187.01211417062092</v>
      </c>
      <c r="CE256" s="466">
        <f t="shared" si="154"/>
        <v>187.01211417062092</v>
      </c>
      <c r="CF256" s="466">
        <f t="shared" si="155"/>
        <v>8.9878858293790813</v>
      </c>
      <c r="CG256" s="466" t="b">
        <f t="shared" si="151"/>
        <v>0</v>
      </c>
      <c r="CH256" s="696">
        <v>25</v>
      </c>
    </row>
    <row r="257" spans="79:86" ht="31" hidden="1" thickBot="1" x14ac:dyDescent="0.45">
      <c r="CA257" s="691">
        <v>26</v>
      </c>
      <c r="CB257" s="657">
        <f t="shared" si="152"/>
        <v>392</v>
      </c>
      <c r="CC257" s="697">
        <f t="shared" si="153"/>
        <v>392</v>
      </c>
      <c r="CD257" s="693">
        <f t="shared" si="150"/>
        <v>215.01211417062092</v>
      </c>
      <c r="CE257" s="466">
        <f t="shared" si="154"/>
        <v>215.01211417062092</v>
      </c>
      <c r="CF257" s="466">
        <f t="shared" si="155"/>
        <v>8.9878858293790813</v>
      </c>
      <c r="CG257" s="466" t="b">
        <f t="shared" si="151"/>
        <v>0</v>
      </c>
      <c r="CH257" s="696">
        <v>26</v>
      </c>
    </row>
    <row r="258" spans="79:86" ht="31" hidden="1" thickBot="1" x14ac:dyDescent="0.45">
      <c r="CA258" s="691">
        <v>27</v>
      </c>
      <c r="CB258" s="657">
        <f t="shared" si="152"/>
        <v>420</v>
      </c>
      <c r="CC258" s="697">
        <f t="shared" si="153"/>
        <v>420</v>
      </c>
      <c r="CD258" s="693">
        <f t="shared" si="150"/>
        <v>243.01211417062092</v>
      </c>
      <c r="CE258" s="466">
        <f t="shared" si="154"/>
        <v>243.01211417062092</v>
      </c>
      <c r="CF258" s="466">
        <f t="shared" si="155"/>
        <v>8.9878858293790813</v>
      </c>
      <c r="CG258" s="466" t="b">
        <f t="shared" si="151"/>
        <v>0</v>
      </c>
      <c r="CH258" s="696">
        <v>27</v>
      </c>
    </row>
    <row r="259" spans="79:86" ht="31" hidden="1" thickBot="1" x14ac:dyDescent="0.45">
      <c r="CA259" s="691">
        <v>28</v>
      </c>
      <c r="CB259" s="657">
        <f t="shared" si="152"/>
        <v>448</v>
      </c>
      <c r="CC259" s="697">
        <f t="shared" si="153"/>
        <v>448</v>
      </c>
      <c r="CD259" s="693">
        <f t="shared" si="150"/>
        <v>271.01211417062092</v>
      </c>
      <c r="CE259" s="466">
        <f t="shared" si="154"/>
        <v>271.01211417062092</v>
      </c>
      <c r="CF259" s="466">
        <f t="shared" si="155"/>
        <v>8.9878858293790813</v>
      </c>
      <c r="CG259" s="466" t="b">
        <f t="shared" si="151"/>
        <v>0</v>
      </c>
      <c r="CH259" s="696">
        <v>28</v>
      </c>
    </row>
    <row r="260" spans="79:86" ht="31" hidden="1" thickBot="1" x14ac:dyDescent="0.45">
      <c r="CA260" s="691">
        <v>29</v>
      </c>
      <c r="CB260" s="657">
        <f t="shared" si="152"/>
        <v>476</v>
      </c>
      <c r="CC260" s="697">
        <f t="shared" si="153"/>
        <v>476</v>
      </c>
      <c r="CD260" s="693">
        <f t="shared" si="150"/>
        <v>299.01211417062092</v>
      </c>
      <c r="CE260" s="466">
        <f t="shared" si="154"/>
        <v>299.01211417062092</v>
      </c>
      <c r="CF260" s="466">
        <f t="shared" si="155"/>
        <v>8.9878858293790813</v>
      </c>
      <c r="CG260" s="466" t="b">
        <f t="shared" si="151"/>
        <v>0</v>
      </c>
      <c r="CH260" s="696">
        <v>29</v>
      </c>
    </row>
    <row r="261" spans="79:86" ht="31" hidden="1" thickBot="1" x14ac:dyDescent="0.45">
      <c r="CA261" s="691">
        <v>30</v>
      </c>
      <c r="CB261" s="657">
        <f t="shared" si="152"/>
        <v>504</v>
      </c>
      <c r="CC261" s="697">
        <f t="shared" si="153"/>
        <v>504</v>
      </c>
      <c r="CD261" s="693">
        <f t="shared" si="150"/>
        <v>327.01211417062092</v>
      </c>
      <c r="CE261" s="466">
        <f t="shared" si="154"/>
        <v>327.01211417062092</v>
      </c>
      <c r="CF261" s="466">
        <f t="shared" si="155"/>
        <v>8.9878858293790813</v>
      </c>
      <c r="CG261" s="466" t="b">
        <f t="shared" si="151"/>
        <v>0</v>
      </c>
      <c r="CH261" s="696">
        <v>30</v>
      </c>
    </row>
    <row r="262" spans="79:86" ht="31" hidden="1" thickBot="1" x14ac:dyDescent="0.45">
      <c r="CA262" s="691">
        <v>31</v>
      </c>
      <c r="CB262" s="657">
        <f t="shared" si="152"/>
        <v>532</v>
      </c>
      <c r="CC262" s="697">
        <f t="shared" si="153"/>
        <v>532</v>
      </c>
      <c r="CD262" s="693">
        <f t="shared" si="150"/>
        <v>355.01211417062092</v>
      </c>
      <c r="CE262" s="466">
        <f t="shared" si="154"/>
        <v>355.01211417062092</v>
      </c>
      <c r="CF262" s="466">
        <f t="shared" si="155"/>
        <v>8.9878858293790813</v>
      </c>
      <c r="CG262" s="466" t="b">
        <f t="shared" si="151"/>
        <v>0</v>
      </c>
      <c r="CH262" s="696">
        <v>31</v>
      </c>
    </row>
    <row r="263" spans="79:86" ht="31" hidden="1" thickBot="1" x14ac:dyDescent="0.45">
      <c r="CA263" s="691">
        <v>32</v>
      </c>
      <c r="CB263" s="657">
        <f t="shared" si="152"/>
        <v>560</v>
      </c>
      <c r="CC263" s="697">
        <f t="shared" si="153"/>
        <v>560</v>
      </c>
      <c r="CD263" s="693">
        <f t="shared" si="150"/>
        <v>383.01211417062092</v>
      </c>
      <c r="CE263" s="466">
        <f t="shared" si="154"/>
        <v>383.01211417062092</v>
      </c>
      <c r="CF263" s="466">
        <f t="shared" si="155"/>
        <v>8.9878858293790813</v>
      </c>
      <c r="CG263" s="466" t="b">
        <f t="shared" si="151"/>
        <v>0</v>
      </c>
      <c r="CH263" s="696">
        <v>32</v>
      </c>
    </row>
    <row r="264" spans="79:86" ht="31" hidden="1" thickBot="1" x14ac:dyDescent="0.45">
      <c r="CA264" s="691">
        <v>33</v>
      </c>
      <c r="CB264" s="657">
        <f t="shared" si="152"/>
        <v>588</v>
      </c>
      <c r="CC264" s="697">
        <f t="shared" si="153"/>
        <v>588</v>
      </c>
      <c r="CD264" s="693">
        <f t="shared" si="150"/>
        <v>411.01211417062092</v>
      </c>
      <c r="CE264" s="466">
        <f t="shared" si="154"/>
        <v>411.01211417062092</v>
      </c>
      <c r="CF264" s="466">
        <f t="shared" si="155"/>
        <v>8.9878858293790813</v>
      </c>
      <c r="CG264" s="466" t="b">
        <f t="shared" si="151"/>
        <v>0</v>
      </c>
      <c r="CH264" s="696">
        <v>33</v>
      </c>
    </row>
    <row r="265" spans="79:86" ht="31" hidden="1" thickBot="1" x14ac:dyDescent="0.45">
      <c r="CA265" s="691">
        <v>34</v>
      </c>
      <c r="CB265" s="657">
        <f t="shared" si="152"/>
        <v>616</v>
      </c>
      <c r="CC265" s="697">
        <f t="shared" si="153"/>
        <v>616</v>
      </c>
      <c r="CD265" s="693">
        <f t="shared" si="150"/>
        <v>439.01211417062092</v>
      </c>
      <c r="CE265" s="466">
        <f t="shared" si="154"/>
        <v>439.01211417062092</v>
      </c>
      <c r="CF265" s="466">
        <f t="shared" si="155"/>
        <v>8.9878858293790813</v>
      </c>
      <c r="CG265" s="466" t="b">
        <f t="shared" si="151"/>
        <v>0</v>
      </c>
      <c r="CH265" s="696">
        <v>34</v>
      </c>
    </row>
    <row r="266" spans="79:86" ht="31" hidden="1" thickBot="1" x14ac:dyDescent="0.45">
      <c r="CA266" s="691">
        <v>35</v>
      </c>
      <c r="CB266" s="657">
        <f t="shared" si="152"/>
        <v>644</v>
      </c>
      <c r="CC266" s="697">
        <f t="shared" si="153"/>
        <v>644</v>
      </c>
      <c r="CD266" s="693">
        <f t="shared" si="150"/>
        <v>467.01211417062092</v>
      </c>
      <c r="CE266" s="466">
        <f t="shared" si="154"/>
        <v>467.01211417062092</v>
      </c>
      <c r="CF266" s="466">
        <f t="shared" si="155"/>
        <v>8.9878858293790813</v>
      </c>
      <c r="CG266" s="466" t="b">
        <f t="shared" si="151"/>
        <v>0</v>
      </c>
      <c r="CH266" s="696">
        <v>35</v>
      </c>
    </row>
    <row r="267" spans="79:86" ht="31" hidden="1" thickBot="1" x14ac:dyDescent="0.45">
      <c r="CA267" s="691">
        <v>36</v>
      </c>
      <c r="CB267" s="657">
        <f t="shared" si="152"/>
        <v>672</v>
      </c>
      <c r="CC267" s="697">
        <f t="shared" si="153"/>
        <v>672</v>
      </c>
      <c r="CD267" s="693">
        <f t="shared" si="150"/>
        <v>495.01211417062092</v>
      </c>
      <c r="CE267" s="466">
        <f t="shared" si="154"/>
        <v>495.01211417062092</v>
      </c>
      <c r="CF267" s="466">
        <f t="shared" si="155"/>
        <v>8.9878858293790813</v>
      </c>
      <c r="CG267" s="466" t="b">
        <f t="shared" si="151"/>
        <v>0</v>
      </c>
      <c r="CH267" s="696">
        <v>36</v>
      </c>
    </row>
    <row r="268" spans="79:86" ht="31" hidden="1" thickBot="1" x14ac:dyDescent="0.45">
      <c r="CA268" s="698">
        <v>37</v>
      </c>
      <c r="CB268" s="657">
        <f t="shared" si="152"/>
        <v>700</v>
      </c>
      <c r="CC268" s="697">
        <f t="shared" si="153"/>
        <v>700</v>
      </c>
      <c r="CD268" s="693">
        <f t="shared" si="150"/>
        <v>523.01211417062086</v>
      </c>
      <c r="CE268" s="466">
        <f t="shared" si="154"/>
        <v>523.01211417062086</v>
      </c>
      <c r="CF268" s="466">
        <f t="shared" si="155"/>
        <v>8.9878858293790813</v>
      </c>
      <c r="CG268" s="466" t="b">
        <f t="shared" si="151"/>
        <v>0</v>
      </c>
      <c r="CH268" s="699">
        <v>37</v>
      </c>
    </row>
    <row r="269" spans="79:86" ht="31" hidden="1" thickBot="1" x14ac:dyDescent="0.45">
      <c r="CA269" s="698">
        <v>38</v>
      </c>
      <c r="CB269" s="657">
        <f t="shared" si="152"/>
        <v>728</v>
      </c>
      <c r="CC269" s="697">
        <f t="shared" si="153"/>
        <v>728</v>
      </c>
      <c r="CD269" s="693">
        <f t="shared" si="150"/>
        <v>551.01211417062086</v>
      </c>
      <c r="CE269" s="466">
        <f t="shared" si="154"/>
        <v>551.01211417062086</v>
      </c>
      <c r="CF269" s="466">
        <f t="shared" si="155"/>
        <v>8.9878858293790813</v>
      </c>
      <c r="CG269" s="466" t="b">
        <f t="shared" si="151"/>
        <v>0</v>
      </c>
      <c r="CH269" s="699">
        <v>38</v>
      </c>
    </row>
    <row r="270" spans="79:86" ht="31" hidden="1" thickBot="1" x14ac:dyDescent="0.45">
      <c r="CA270" s="698">
        <v>39</v>
      </c>
      <c r="CB270" s="657">
        <f t="shared" si="152"/>
        <v>756</v>
      </c>
      <c r="CC270" s="697">
        <f t="shared" si="153"/>
        <v>756</v>
      </c>
      <c r="CD270" s="693">
        <f t="shared" si="150"/>
        <v>579.01211417062086</v>
      </c>
      <c r="CE270" s="466">
        <f t="shared" si="154"/>
        <v>579.01211417062086</v>
      </c>
      <c r="CF270" s="466">
        <f t="shared" si="155"/>
        <v>8.9878858293790813</v>
      </c>
      <c r="CG270" s="466" t="b">
        <f t="shared" si="151"/>
        <v>0</v>
      </c>
      <c r="CH270" s="699">
        <v>39</v>
      </c>
    </row>
    <row r="271" spans="79:86" ht="31" hidden="1" thickBot="1" x14ac:dyDescent="0.45">
      <c r="CA271" s="698">
        <v>40</v>
      </c>
      <c r="CB271" s="657">
        <f t="shared" si="152"/>
        <v>784</v>
      </c>
      <c r="CC271" s="697">
        <f t="shared" si="153"/>
        <v>784</v>
      </c>
      <c r="CD271" s="693">
        <f t="shared" si="150"/>
        <v>607.01211417062086</v>
      </c>
      <c r="CE271" s="466">
        <f t="shared" si="154"/>
        <v>607.01211417062086</v>
      </c>
      <c r="CF271" s="466">
        <f t="shared" si="155"/>
        <v>8.9878858293790813</v>
      </c>
      <c r="CG271" s="466" t="b">
        <f t="shared" si="151"/>
        <v>0</v>
      </c>
      <c r="CH271" s="699">
        <v>40</v>
      </c>
    </row>
    <row r="272" spans="79:86" ht="31" hidden="1" thickBot="1" x14ac:dyDescent="0.45">
      <c r="CA272" s="700">
        <v>41</v>
      </c>
      <c r="CB272" s="701">
        <f t="shared" si="152"/>
        <v>812</v>
      </c>
      <c r="CC272" s="702">
        <f t="shared" si="153"/>
        <v>812</v>
      </c>
      <c r="CD272" s="693">
        <f t="shared" si="150"/>
        <v>635.01211417062086</v>
      </c>
      <c r="CE272" s="703">
        <f t="shared" si="154"/>
        <v>635.01211417062086</v>
      </c>
      <c r="CF272" s="704">
        <f t="shared" si="155"/>
        <v>8.9878858293790813</v>
      </c>
      <c r="CG272" s="704" t="b">
        <f t="shared" si="151"/>
        <v>0</v>
      </c>
      <c r="CH272" s="705">
        <v>41</v>
      </c>
    </row>
    <row r="273" hidden="1" x14ac:dyDescent="0.3"/>
    <row r="274" hidden="1" x14ac:dyDescent="0.3"/>
    <row r="275" hidden="1" x14ac:dyDescent="0.3"/>
    <row r="276" hidden="1" x14ac:dyDescent="0.3"/>
    <row r="277" hidden="1" x14ac:dyDescent="0.3"/>
    <row r="278" hidden="1" x14ac:dyDescent="0.3"/>
    <row r="279" hidden="1" x14ac:dyDescent="0.3"/>
  </sheetData>
  <sheetProtection algorithmName="SHA-512" hashValue="Afm6Os7G2Gq6RMCdIIybySNXJcP4iYfkNRiBGJpGiig+N8vORbEfdKd4H9BTTRtQqzxN4lc3WECs6uDADqhiUw==" saltValue="q1SKZ1ynUi+uDmHYTYFn2w==" spinCount="100000" sheet="1" objects="1" scenarios="1" selectLockedCells="1"/>
  <protectedRanges>
    <protectedRange sqref="B137:B138 B140 B174 B177 D180:D191 B201 D143:D166 D204:D227" name="Range1"/>
  </protectedRanges>
  <mergeCells count="12">
    <mergeCell ref="BP225:BQ225"/>
    <mergeCell ref="CB225:CC225"/>
    <mergeCell ref="B135:B136"/>
    <mergeCell ref="W140:AA140"/>
    <mergeCell ref="BK27:BL27"/>
    <mergeCell ref="BA140:BB140"/>
    <mergeCell ref="BA201:BB201"/>
    <mergeCell ref="B168:B173"/>
    <mergeCell ref="BA177:BB177"/>
    <mergeCell ref="W177:AA177"/>
    <mergeCell ref="BP223:BR223"/>
    <mergeCell ref="D174:E174"/>
  </mergeCells>
  <conditionalFormatting sqref="B205:AL205">
    <cfRule type="expression" dxfId="237" priority="54" stopIfTrue="1">
      <formula>$B$201&lt;2</formula>
    </cfRule>
  </conditionalFormatting>
  <conditionalFormatting sqref="B206:AL206">
    <cfRule type="expression" dxfId="236" priority="75" stopIfTrue="1">
      <formula>$B$201&lt;3</formula>
    </cfRule>
  </conditionalFormatting>
  <conditionalFormatting sqref="B207:AL207">
    <cfRule type="expression" dxfId="235" priority="52">
      <formula>$B$201&lt;4</formula>
    </cfRule>
  </conditionalFormatting>
  <conditionalFormatting sqref="B208:AL208">
    <cfRule type="expression" dxfId="234" priority="50">
      <formula>$B$201&lt;5</formula>
    </cfRule>
  </conditionalFormatting>
  <conditionalFormatting sqref="B209:AL209">
    <cfRule type="expression" dxfId="233" priority="48">
      <formula>$B$201&lt;6</formula>
    </cfRule>
  </conditionalFormatting>
  <conditionalFormatting sqref="B210:AL210">
    <cfRule type="expression" dxfId="232" priority="46">
      <formula>$B$201&lt;7</formula>
    </cfRule>
  </conditionalFormatting>
  <conditionalFormatting sqref="B211:AL211">
    <cfRule type="expression" dxfId="231" priority="45">
      <formula>$B$201&lt;8</formula>
    </cfRule>
  </conditionalFormatting>
  <conditionalFormatting sqref="B212:AL212">
    <cfRule type="expression" dxfId="230" priority="44">
      <formula>$B$201&lt;9</formula>
    </cfRule>
  </conditionalFormatting>
  <conditionalFormatting sqref="B213:AL213">
    <cfRule type="expression" dxfId="229" priority="43">
      <formula>$B$201&lt;10</formula>
    </cfRule>
  </conditionalFormatting>
  <conditionalFormatting sqref="B214:AL214">
    <cfRule type="expression" dxfId="228" priority="42">
      <formula>$B$201&lt;11</formula>
    </cfRule>
  </conditionalFormatting>
  <conditionalFormatting sqref="B215:AL215">
    <cfRule type="expression" dxfId="227" priority="41">
      <formula>$B$201&lt;12</formula>
    </cfRule>
  </conditionalFormatting>
  <conditionalFormatting sqref="B216:AL216">
    <cfRule type="expression" dxfId="226" priority="40">
      <formula>$B$201&lt;13</formula>
    </cfRule>
  </conditionalFormatting>
  <conditionalFormatting sqref="B217:AL217">
    <cfRule type="expression" dxfId="225" priority="39">
      <formula>$B$201&lt;14</formula>
    </cfRule>
  </conditionalFormatting>
  <conditionalFormatting sqref="B218:AL218">
    <cfRule type="expression" dxfId="224" priority="38">
      <formula>$B$201&lt;15</formula>
    </cfRule>
  </conditionalFormatting>
  <conditionalFormatting sqref="B219:AL219">
    <cfRule type="expression" dxfId="223" priority="37">
      <formula>$B$201&lt;16</formula>
    </cfRule>
  </conditionalFormatting>
  <conditionalFormatting sqref="B220:AL220">
    <cfRule type="expression" dxfId="222" priority="36">
      <formula>$B$201&lt;17</formula>
    </cfRule>
  </conditionalFormatting>
  <conditionalFormatting sqref="B221:AL221">
    <cfRule type="expression" dxfId="221" priority="35">
      <formula>$B$201&lt;18</formula>
    </cfRule>
  </conditionalFormatting>
  <conditionalFormatting sqref="B222:AL222">
    <cfRule type="expression" dxfId="220" priority="34">
      <formula>$B$201&lt;19</formula>
    </cfRule>
  </conditionalFormatting>
  <conditionalFormatting sqref="B144:BB144">
    <cfRule type="expression" dxfId="219" priority="243" stopIfTrue="1">
      <formula>$B$140&lt;2</formula>
    </cfRule>
  </conditionalFormatting>
  <conditionalFormatting sqref="B145:BB145">
    <cfRule type="expression" dxfId="218" priority="242" stopIfTrue="1">
      <formula>$B$140&lt;3</formula>
    </cfRule>
  </conditionalFormatting>
  <conditionalFormatting sqref="B146:BB146">
    <cfRule type="expression" dxfId="217" priority="137" stopIfTrue="1">
      <formula>$B$140&lt;4</formula>
    </cfRule>
  </conditionalFormatting>
  <conditionalFormatting sqref="B147:BB147">
    <cfRule type="expression" dxfId="216" priority="134" stopIfTrue="1">
      <formula>$B$140&lt;5</formula>
    </cfRule>
  </conditionalFormatting>
  <conditionalFormatting sqref="B148:BB148">
    <cfRule type="expression" dxfId="215" priority="131" stopIfTrue="1">
      <formula>$B$140&lt;6</formula>
    </cfRule>
  </conditionalFormatting>
  <conditionalFormatting sqref="B149:BB149">
    <cfRule type="expression" dxfId="214" priority="128" stopIfTrue="1">
      <formula>$B$140&lt;7</formula>
    </cfRule>
  </conditionalFormatting>
  <conditionalFormatting sqref="B150:BB150">
    <cfRule type="expression" dxfId="213" priority="125" stopIfTrue="1">
      <formula>$B$140&lt;8</formula>
    </cfRule>
  </conditionalFormatting>
  <conditionalFormatting sqref="B151:BB151">
    <cfRule type="expression" dxfId="212" priority="122" stopIfTrue="1">
      <formula>$B$140&lt;9</formula>
    </cfRule>
  </conditionalFormatting>
  <conditionalFormatting sqref="B152:BB152">
    <cfRule type="expression" dxfId="211" priority="119" stopIfTrue="1">
      <formula>$B$140&lt;10</formula>
    </cfRule>
  </conditionalFormatting>
  <conditionalFormatting sqref="B153:BB153">
    <cfRule type="expression" dxfId="210" priority="116" stopIfTrue="1">
      <formula>$B$140&lt;11</formula>
    </cfRule>
  </conditionalFormatting>
  <conditionalFormatting sqref="B154:BB154">
    <cfRule type="expression" dxfId="209" priority="113" stopIfTrue="1">
      <formula>$B$140&lt;12</formula>
    </cfRule>
  </conditionalFormatting>
  <conditionalFormatting sqref="B155:BB155">
    <cfRule type="expression" dxfId="208" priority="110" stopIfTrue="1">
      <formula>$B$140&lt;13</formula>
    </cfRule>
  </conditionalFormatting>
  <conditionalFormatting sqref="B156:BB156">
    <cfRule type="expression" dxfId="207" priority="107" stopIfTrue="1">
      <formula>$B$140&lt;14</formula>
    </cfRule>
  </conditionalFormatting>
  <conditionalFormatting sqref="B157:BB157">
    <cfRule type="expression" dxfId="206" priority="104" stopIfTrue="1">
      <formula>$B$140&lt;15</formula>
    </cfRule>
  </conditionalFormatting>
  <conditionalFormatting sqref="B158:BB158">
    <cfRule type="expression" dxfId="205" priority="101" stopIfTrue="1">
      <formula>$B$140&lt;16</formula>
    </cfRule>
  </conditionalFormatting>
  <conditionalFormatting sqref="B159:BB159">
    <cfRule type="expression" dxfId="204" priority="98" stopIfTrue="1">
      <formula>$B$140&lt;17</formula>
    </cfRule>
  </conditionalFormatting>
  <conditionalFormatting sqref="B160:BB160">
    <cfRule type="expression" dxfId="203" priority="95" stopIfTrue="1">
      <formula>$B$140&lt;18</formula>
    </cfRule>
  </conditionalFormatting>
  <conditionalFormatting sqref="B161:BB161">
    <cfRule type="expression" dxfId="202" priority="92" stopIfTrue="1">
      <formula>$B$140&lt;19</formula>
    </cfRule>
  </conditionalFormatting>
  <conditionalFormatting sqref="B162:BB162">
    <cfRule type="expression" dxfId="201" priority="89" stopIfTrue="1">
      <formula>$B$140&lt;20</formula>
    </cfRule>
  </conditionalFormatting>
  <conditionalFormatting sqref="B163:BB163">
    <cfRule type="expression" dxfId="200" priority="86" stopIfTrue="1">
      <formula>$B$140&lt;21</formula>
    </cfRule>
  </conditionalFormatting>
  <conditionalFormatting sqref="B164:BB164">
    <cfRule type="expression" dxfId="199" priority="83" stopIfTrue="1">
      <formula>$B$140&lt;22</formula>
    </cfRule>
  </conditionalFormatting>
  <conditionalFormatting sqref="B165:BB165">
    <cfRule type="expression" dxfId="198" priority="80" stopIfTrue="1">
      <formula>$B$140&lt;23</formula>
    </cfRule>
  </conditionalFormatting>
  <conditionalFormatting sqref="B166:BB166">
    <cfRule type="expression" dxfId="197" priority="77" stopIfTrue="1">
      <formula>$B$140&lt;24</formula>
    </cfRule>
  </conditionalFormatting>
  <conditionalFormatting sqref="B181:BB181">
    <cfRule type="expression" dxfId="196" priority="222" stopIfTrue="1">
      <formula>$B$177&lt;2</formula>
    </cfRule>
  </conditionalFormatting>
  <conditionalFormatting sqref="B182:BB182">
    <cfRule type="expression" dxfId="195" priority="221" stopIfTrue="1">
      <formula>$B$177&lt;3</formula>
    </cfRule>
  </conditionalFormatting>
  <conditionalFormatting sqref="B183:BB183">
    <cfRule type="expression" dxfId="194" priority="220">
      <formula>$B$177&lt;4</formula>
    </cfRule>
  </conditionalFormatting>
  <conditionalFormatting sqref="B184:BB184">
    <cfRule type="expression" dxfId="193" priority="219">
      <formula>$B$177&lt;5</formula>
    </cfRule>
  </conditionalFormatting>
  <conditionalFormatting sqref="B185:BB185">
    <cfRule type="expression" dxfId="192" priority="218">
      <formula>$B$177&lt;6</formula>
    </cfRule>
  </conditionalFormatting>
  <conditionalFormatting sqref="B186:BB186">
    <cfRule type="expression" dxfId="191" priority="217">
      <formula>$B$177&lt;7</formula>
    </cfRule>
  </conditionalFormatting>
  <conditionalFormatting sqref="B187:BB187">
    <cfRule type="expression" dxfId="190" priority="216">
      <formula>$B$177&lt;8</formula>
    </cfRule>
  </conditionalFormatting>
  <conditionalFormatting sqref="B188:BB188">
    <cfRule type="expression" dxfId="189" priority="215">
      <formula>$B$177&lt;9</formula>
    </cfRule>
  </conditionalFormatting>
  <conditionalFormatting sqref="B189:BB189">
    <cfRule type="expression" dxfId="188" priority="214">
      <formula>$B$177&lt;10</formula>
    </cfRule>
  </conditionalFormatting>
  <conditionalFormatting sqref="B190:BB190">
    <cfRule type="expression" dxfId="187" priority="213">
      <formula>$B$177&lt;11</formula>
    </cfRule>
  </conditionalFormatting>
  <conditionalFormatting sqref="B191:BB191">
    <cfRule type="expression" dxfId="186" priority="210">
      <formula>$B$177&lt;12</formula>
    </cfRule>
  </conditionalFormatting>
  <conditionalFormatting sqref="B223:BB223">
    <cfRule type="expression" dxfId="185" priority="27">
      <formula>$B$201&lt;20</formula>
    </cfRule>
  </conditionalFormatting>
  <conditionalFormatting sqref="B224:BB224">
    <cfRule type="expression" dxfId="184" priority="22">
      <formula>$B$201&lt;21</formula>
    </cfRule>
  </conditionalFormatting>
  <conditionalFormatting sqref="B225:BB225">
    <cfRule type="expression" dxfId="183" priority="14">
      <formula>$B$201&lt;22</formula>
    </cfRule>
  </conditionalFormatting>
  <conditionalFormatting sqref="B226:BB226">
    <cfRule type="expression" dxfId="182" priority="11">
      <formula>$B$201&lt;23</formula>
    </cfRule>
  </conditionalFormatting>
  <conditionalFormatting sqref="B227:BB227">
    <cfRule type="expression" dxfId="181" priority="10">
      <formula>$B$201&lt;24</formula>
    </cfRule>
  </conditionalFormatting>
  <conditionalFormatting sqref="D134:D135">
    <cfRule type="cellIs" dxfId="180" priority="246" stopIfTrue="1" operator="equal">
      <formula>"change the angle of frame or of cabinets"</formula>
    </cfRule>
  </conditionalFormatting>
  <conditionalFormatting sqref="D136">
    <cfRule type="cellIs" dxfId="179" priority="245" stopIfTrue="1" operator="equal">
      <formula>"USE EXBAR-N AT THE FRONT"</formula>
    </cfRule>
  </conditionalFormatting>
  <conditionalFormatting sqref="D137">
    <cfRule type="cellIs" dxfId="178" priority="244" stopIfTrue="1" operator="equal">
      <formula>"USE EXBAR-N AT THE BACK"</formula>
    </cfRule>
  </conditionalFormatting>
  <conditionalFormatting sqref="D143:D145">
    <cfRule type="cellIs" dxfId="177" priority="265" operator="notEqual">
      <formula>0</formula>
    </cfRule>
  </conditionalFormatting>
  <conditionalFormatting sqref="D146">
    <cfRule type="cellIs" dxfId="176" priority="139" operator="notEqual">
      <formula>0</formula>
    </cfRule>
  </conditionalFormatting>
  <conditionalFormatting sqref="D147">
    <cfRule type="cellIs" dxfId="175" priority="136" operator="notEqual">
      <formula>0</formula>
    </cfRule>
  </conditionalFormatting>
  <conditionalFormatting sqref="D148">
    <cfRule type="cellIs" dxfId="174" priority="133" operator="notEqual">
      <formula>0</formula>
    </cfRule>
  </conditionalFormatting>
  <conditionalFormatting sqref="D149">
    <cfRule type="cellIs" dxfId="173" priority="130" operator="notEqual">
      <formula>0</formula>
    </cfRule>
  </conditionalFormatting>
  <conditionalFormatting sqref="D150">
    <cfRule type="cellIs" dxfId="172" priority="127" operator="notEqual">
      <formula>0</formula>
    </cfRule>
  </conditionalFormatting>
  <conditionalFormatting sqref="D151">
    <cfRule type="cellIs" dxfId="171" priority="124" operator="notEqual">
      <formula>0</formula>
    </cfRule>
  </conditionalFormatting>
  <conditionalFormatting sqref="D152">
    <cfRule type="cellIs" dxfId="170" priority="121" operator="notEqual">
      <formula>0</formula>
    </cfRule>
  </conditionalFormatting>
  <conditionalFormatting sqref="D153">
    <cfRule type="cellIs" dxfId="169" priority="118" operator="notEqual">
      <formula>0</formula>
    </cfRule>
  </conditionalFormatting>
  <conditionalFormatting sqref="D154">
    <cfRule type="cellIs" dxfId="168" priority="115" operator="notEqual">
      <formula>0</formula>
    </cfRule>
  </conditionalFormatting>
  <conditionalFormatting sqref="D155">
    <cfRule type="cellIs" dxfId="167" priority="112" operator="notEqual">
      <formula>0</formula>
    </cfRule>
  </conditionalFormatting>
  <conditionalFormatting sqref="D156">
    <cfRule type="cellIs" dxfId="166" priority="109" operator="notEqual">
      <formula>0</formula>
    </cfRule>
  </conditionalFormatting>
  <conditionalFormatting sqref="D157">
    <cfRule type="cellIs" dxfId="165" priority="106" operator="notEqual">
      <formula>0</formula>
    </cfRule>
  </conditionalFormatting>
  <conditionalFormatting sqref="D158">
    <cfRule type="cellIs" dxfId="164" priority="103" operator="notEqual">
      <formula>0</formula>
    </cfRule>
  </conditionalFormatting>
  <conditionalFormatting sqref="D159">
    <cfRule type="cellIs" dxfId="163" priority="100" operator="notEqual">
      <formula>0</formula>
    </cfRule>
  </conditionalFormatting>
  <conditionalFormatting sqref="D160">
    <cfRule type="cellIs" dxfId="162" priority="97" operator="notEqual">
      <formula>0</formula>
    </cfRule>
  </conditionalFormatting>
  <conditionalFormatting sqref="D161">
    <cfRule type="cellIs" dxfId="161" priority="94" operator="notEqual">
      <formula>0</formula>
    </cfRule>
  </conditionalFormatting>
  <conditionalFormatting sqref="D162">
    <cfRule type="cellIs" dxfId="160" priority="91" operator="notEqual">
      <formula>0</formula>
    </cfRule>
  </conditionalFormatting>
  <conditionalFormatting sqref="D163">
    <cfRule type="cellIs" dxfId="159" priority="88" operator="notEqual">
      <formula>0</formula>
    </cfRule>
  </conditionalFormatting>
  <conditionalFormatting sqref="D164">
    <cfRule type="cellIs" dxfId="158" priority="85" operator="notEqual">
      <formula>0</formula>
    </cfRule>
  </conditionalFormatting>
  <conditionalFormatting sqref="D165">
    <cfRule type="cellIs" dxfId="157" priority="82" operator="notEqual">
      <formula>0</formula>
    </cfRule>
  </conditionalFormatting>
  <conditionalFormatting sqref="D166">
    <cfRule type="cellIs" dxfId="156" priority="79" operator="notEqual">
      <formula>0</formula>
    </cfRule>
  </conditionalFormatting>
  <conditionalFormatting sqref="D180:D191">
    <cfRule type="cellIs" dxfId="155" priority="225" operator="notEqual">
      <formula>0</formula>
    </cfRule>
  </conditionalFormatting>
  <conditionalFormatting sqref="D204:D222">
    <cfRule type="cellIs" dxfId="154" priority="212" operator="notEqual">
      <formula>0</formula>
    </cfRule>
  </conditionalFormatting>
  <conditionalFormatting sqref="D223">
    <cfRule type="cellIs" dxfId="153" priority="29" operator="notEqual">
      <formula>0</formula>
    </cfRule>
  </conditionalFormatting>
  <conditionalFormatting sqref="D224">
    <cfRule type="cellIs" dxfId="152" priority="24" operator="notEqual">
      <formula>0</formula>
    </cfRule>
  </conditionalFormatting>
  <conditionalFormatting sqref="D225:D226">
    <cfRule type="cellIs" dxfId="151" priority="16" operator="notEqual">
      <formula>0</formula>
    </cfRule>
  </conditionalFormatting>
  <conditionalFormatting sqref="D227">
    <cfRule type="cellIs" dxfId="150" priority="12" operator="notEqual">
      <formula>0</formula>
    </cfRule>
  </conditionalFormatting>
  <conditionalFormatting sqref="E143">
    <cfRule type="expression" dxfId="149" priority="264" stopIfTrue="1">
      <formula>$B$147&lt;1</formula>
    </cfRule>
  </conditionalFormatting>
  <conditionalFormatting sqref="E180">
    <cfRule type="expression" dxfId="148" priority="224" stopIfTrue="1">
      <formula>$B$177&lt;1</formula>
    </cfRule>
  </conditionalFormatting>
  <conditionalFormatting sqref="AN205:BB205">
    <cfRule type="expression" dxfId="147" priority="209" stopIfTrue="1">
      <formula>$B$201&lt;2</formula>
    </cfRule>
  </conditionalFormatting>
  <conditionalFormatting sqref="AN206:BB206">
    <cfRule type="expression" dxfId="146" priority="208" stopIfTrue="1">
      <formula>$B$201&lt;3</formula>
    </cfRule>
  </conditionalFormatting>
  <conditionalFormatting sqref="AN207:BB207">
    <cfRule type="expression" dxfId="145" priority="207">
      <formula>$B$201&lt;4</formula>
    </cfRule>
  </conditionalFormatting>
  <conditionalFormatting sqref="AN208:BB208">
    <cfRule type="expression" dxfId="144" priority="206">
      <formula>$B$201&lt;5</formula>
    </cfRule>
  </conditionalFormatting>
  <conditionalFormatting sqref="AN209:BB209">
    <cfRule type="expression" dxfId="143" priority="205">
      <formula>$B$201&lt;6</formula>
    </cfRule>
  </conditionalFormatting>
  <conditionalFormatting sqref="AN210:BB210">
    <cfRule type="expression" dxfId="142" priority="204">
      <formula>$B$201&lt;7</formula>
    </cfRule>
  </conditionalFormatting>
  <conditionalFormatting sqref="AN211:BB211">
    <cfRule type="expression" dxfId="141" priority="203">
      <formula>$B$201&lt;8</formula>
    </cfRule>
  </conditionalFormatting>
  <conditionalFormatting sqref="AN212:BB212">
    <cfRule type="expression" dxfId="140" priority="202">
      <formula>$B$201&lt;9</formula>
    </cfRule>
  </conditionalFormatting>
  <conditionalFormatting sqref="AN213:BB213">
    <cfRule type="expression" dxfId="139" priority="201">
      <formula>$B$201&lt;10</formula>
    </cfRule>
  </conditionalFormatting>
  <conditionalFormatting sqref="AN214:BB214">
    <cfRule type="expression" dxfId="138" priority="200">
      <formula>$B$201&lt;11</formula>
    </cfRule>
  </conditionalFormatting>
  <conditionalFormatting sqref="AN215:BB215">
    <cfRule type="expression" dxfId="137" priority="199">
      <formula>$B$201&lt;12</formula>
    </cfRule>
  </conditionalFormatting>
  <conditionalFormatting sqref="AN216:BB216">
    <cfRule type="expression" dxfId="136" priority="198">
      <formula>$B$201&lt;13</formula>
    </cfRule>
  </conditionalFormatting>
  <conditionalFormatting sqref="AN217:BB217">
    <cfRule type="expression" dxfId="135" priority="197">
      <formula>$B$201&lt;14</formula>
    </cfRule>
  </conditionalFormatting>
  <conditionalFormatting sqref="AN218:BB218">
    <cfRule type="expression" dxfId="134" priority="196">
      <formula>$B$201&lt;15</formula>
    </cfRule>
  </conditionalFormatting>
  <conditionalFormatting sqref="AN219:BB219">
    <cfRule type="expression" dxfId="133" priority="195">
      <formula>$B$201&lt;16</formula>
    </cfRule>
  </conditionalFormatting>
  <conditionalFormatting sqref="AN220:BB220">
    <cfRule type="expression" dxfId="132" priority="194">
      <formula>$B$201&lt;17</formula>
    </cfRule>
  </conditionalFormatting>
  <conditionalFormatting sqref="AN221:BB221">
    <cfRule type="expression" dxfId="131" priority="193">
      <formula>$B$201&lt;18</formula>
    </cfRule>
  </conditionalFormatting>
  <conditionalFormatting sqref="AN222:BB222">
    <cfRule type="expression" dxfId="130" priority="192">
      <formula>$B$201&lt;19</formula>
    </cfRule>
  </conditionalFormatting>
  <conditionalFormatting sqref="BA143:BB145 BA180:BB191 BA204:BB222">
    <cfRule type="cellIs" dxfId="129" priority="263" operator="lessThan">
      <formula>10</formula>
    </cfRule>
  </conditionalFormatting>
  <conditionalFormatting sqref="BA146:BB146">
    <cfRule type="cellIs" dxfId="128" priority="138" operator="lessThan">
      <formula>10</formula>
    </cfRule>
  </conditionalFormatting>
  <conditionalFormatting sqref="BA147:BB147">
    <cfRule type="cellIs" dxfId="127" priority="135" operator="lessThan">
      <formula>10</formula>
    </cfRule>
  </conditionalFormatting>
  <conditionalFormatting sqref="BA148:BB148">
    <cfRule type="cellIs" dxfId="126" priority="132" operator="lessThan">
      <formula>10</formula>
    </cfRule>
  </conditionalFormatting>
  <conditionalFormatting sqref="BA149:BB149">
    <cfRule type="cellIs" dxfId="125" priority="129" operator="lessThan">
      <formula>10</formula>
    </cfRule>
  </conditionalFormatting>
  <conditionalFormatting sqref="BA150:BB150">
    <cfRule type="cellIs" dxfId="124" priority="126" operator="lessThan">
      <formula>10</formula>
    </cfRule>
  </conditionalFormatting>
  <conditionalFormatting sqref="BA151:BB151">
    <cfRule type="cellIs" dxfId="123" priority="123" operator="lessThan">
      <formula>10</formula>
    </cfRule>
  </conditionalFormatting>
  <conditionalFormatting sqref="BA152:BB152">
    <cfRule type="cellIs" dxfId="122" priority="120" operator="lessThan">
      <formula>10</formula>
    </cfRule>
  </conditionalFormatting>
  <conditionalFormatting sqref="BA153:BB153">
    <cfRule type="cellIs" dxfId="121" priority="117" operator="lessThan">
      <formula>10</formula>
    </cfRule>
  </conditionalFormatting>
  <conditionalFormatting sqref="BA154:BB154">
    <cfRule type="cellIs" dxfId="120" priority="114" operator="lessThan">
      <formula>10</formula>
    </cfRule>
  </conditionalFormatting>
  <conditionalFormatting sqref="BA155:BB155">
    <cfRule type="cellIs" dxfId="119" priority="111" operator="lessThan">
      <formula>10</formula>
    </cfRule>
  </conditionalFormatting>
  <conditionalFormatting sqref="BA156:BB156">
    <cfRule type="cellIs" dxfId="118" priority="108" operator="lessThan">
      <formula>10</formula>
    </cfRule>
  </conditionalFormatting>
  <conditionalFormatting sqref="BA157:BB157">
    <cfRule type="cellIs" dxfId="117" priority="105" operator="lessThan">
      <formula>10</formula>
    </cfRule>
  </conditionalFormatting>
  <conditionalFormatting sqref="BA158:BB158">
    <cfRule type="cellIs" dxfId="116" priority="102" operator="lessThan">
      <formula>10</formula>
    </cfRule>
  </conditionalFormatting>
  <conditionalFormatting sqref="BA159:BB159">
    <cfRule type="cellIs" dxfId="115" priority="99" operator="lessThan">
      <formula>10</formula>
    </cfRule>
  </conditionalFormatting>
  <conditionalFormatting sqref="BA160:BB160">
    <cfRule type="cellIs" dxfId="114" priority="96" operator="lessThan">
      <formula>10</formula>
    </cfRule>
  </conditionalFormatting>
  <conditionalFormatting sqref="BA161:BB161">
    <cfRule type="cellIs" dxfId="113" priority="93" operator="lessThan">
      <formula>10</formula>
    </cfRule>
  </conditionalFormatting>
  <conditionalFormatting sqref="BA162:BB162">
    <cfRule type="cellIs" dxfId="112" priority="90" operator="lessThan">
      <formula>10</formula>
    </cfRule>
  </conditionalFormatting>
  <conditionalFormatting sqref="BA163:BB163">
    <cfRule type="cellIs" dxfId="111" priority="87" operator="lessThan">
      <formula>10</formula>
    </cfRule>
  </conditionalFormatting>
  <conditionalFormatting sqref="BA164:BB164">
    <cfRule type="cellIs" dxfId="110" priority="84" operator="lessThan">
      <formula>10</formula>
    </cfRule>
  </conditionalFormatting>
  <conditionalFormatting sqref="BA165:BB165">
    <cfRule type="cellIs" dxfId="109" priority="81" operator="lessThan">
      <formula>10</formula>
    </cfRule>
  </conditionalFormatting>
  <conditionalFormatting sqref="BA166:BB166">
    <cfRule type="cellIs" dxfId="108" priority="78" operator="lessThan">
      <formula>10</formula>
    </cfRule>
  </conditionalFormatting>
  <conditionalFormatting sqref="BA223:BB223">
    <cfRule type="cellIs" dxfId="107" priority="30" operator="lessThan">
      <formula>10</formula>
    </cfRule>
  </conditionalFormatting>
  <conditionalFormatting sqref="BA224:BB224">
    <cfRule type="cellIs" dxfId="106" priority="25" operator="lessThan">
      <formula>10</formula>
    </cfRule>
  </conditionalFormatting>
  <conditionalFormatting sqref="BA225:BB226">
    <cfRule type="cellIs" dxfId="105" priority="17" operator="lessThan">
      <formula>10</formula>
    </cfRule>
  </conditionalFormatting>
  <conditionalFormatting sqref="BA227:BB227">
    <cfRule type="cellIs" dxfId="104" priority="13" operator="lessThan">
      <formula>10</formula>
    </cfRule>
  </conditionalFormatting>
  <conditionalFormatting sqref="BH28">
    <cfRule type="cellIs" dxfId="103" priority="190" stopIfTrue="1" operator="equal">
      <formula>"negative force at the motor"</formula>
    </cfRule>
  </conditionalFormatting>
  <conditionalFormatting sqref="BH28:BH29">
    <cfRule type="cellIs" dxfId="102" priority="189" operator="equal">
      <formula>"""OK"""</formula>
    </cfRule>
  </conditionalFormatting>
  <conditionalFormatting sqref="BH29">
    <cfRule type="cellIs" dxfId="101" priority="250" stopIfTrue="1" operator="equal">
      <formula>"overload"</formula>
    </cfRule>
  </conditionalFormatting>
  <conditionalFormatting sqref="BH31">
    <cfRule type="cellIs" dxfId="100" priority="188" stopIfTrue="1" operator="equal">
      <formula>"negative force at the motor"</formula>
    </cfRule>
  </conditionalFormatting>
  <conditionalFormatting sqref="BH31:BH32">
    <cfRule type="cellIs" dxfId="99" priority="187" operator="equal">
      <formula>"""OK"""</formula>
    </cfRule>
  </conditionalFormatting>
  <conditionalFormatting sqref="BH34">
    <cfRule type="cellIs" dxfId="98" priority="186" stopIfTrue="1" operator="equal">
      <formula>"negative force at the motor"</formula>
    </cfRule>
  </conditionalFormatting>
  <conditionalFormatting sqref="BH34:BH35">
    <cfRule type="cellIs" dxfId="97" priority="185" operator="equal">
      <formula>"""OK"""</formula>
    </cfRule>
  </conditionalFormatting>
  <conditionalFormatting sqref="BH58">
    <cfRule type="expression" dxfId="96" priority="7">
      <formula>SUM($BV$57:$CO$57)=0</formula>
    </cfRule>
    <cfRule type="cellIs" dxfId="95" priority="5" operator="equal">
      <formula>"""OK"""</formula>
    </cfRule>
    <cfRule type="cellIs" dxfId="94" priority="6" stopIfTrue="1" operator="equal">
      <formula>"overload"</formula>
    </cfRule>
  </conditionalFormatting>
  <conditionalFormatting sqref="BH116 BH32 BH35 BH63">
    <cfRule type="cellIs" dxfId="93" priority="555" operator="equal">
      <formula>"overload"</formula>
    </cfRule>
  </conditionalFormatting>
  <conditionalFormatting sqref="BH116 BH63">
    <cfRule type="cellIs" dxfId="92" priority="248" operator="equal">
      <formula>"""OK"""</formula>
    </cfRule>
  </conditionalFormatting>
  <conditionalFormatting sqref="BH58:BI58">
    <cfRule type="expression" dxfId="91" priority="4">
      <formula>$B$137&lt;&gt;0</formula>
    </cfRule>
  </conditionalFormatting>
  <conditionalFormatting sqref="BH116:BI116">
    <cfRule type="expression" dxfId="90" priority="247">
      <formula>$B$137&lt;&gt;0</formula>
    </cfRule>
  </conditionalFormatting>
  <conditionalFormatting sqref="BI57">
    <cfRule type="expression" dxfId="89" priority="1">
      <formula>SUM($BV$57:$CO$57)=0</formula>
    </cfRule>
    <cfRule type="expression" dxfId="88" priority="2">
      <formula>$B$137&lt;&gt;0</formula>
    </cfRule>
  </conditionalFormatting>
  <conditionalFormatting sqref="BI58">
    <cfRule type="expression" dxfId="87" priority="3">
      <formula>SUM($BV$57:$CO$57)=0</formula>
    </cfRule>
  </conditionalFormatting>
  <conditionalFormatting sqref="BI115">
    <cfRule type="expression" dxfId="86" priority="9">
      <formula>$B$137&lt;&gt;0</formula>
    </cfRule>
  </conditionalFormatting>
  <conditionalFormatting sqref="BK115:CC115">
    <cfRule type="expression" dxfId="85" priority="145">
      <formula>$B$137=0</formula>
    </cfRule>
  </conditionalFormatting>
  <conditionalFormatting sqref="BV57:CO57">
    <cfRule type="cellIs" dxfId="84" priority="151" operator="equal">
      <formula>0</formula>
    </cfRule>
    <cfRule type="expression" dxfId="83" priority="152">
      <formula>$B$137=0</formula>
    </cfRule>
  </conditionalFormatting>
  <conditionalFormatting sqref="CD115:CL115">
    <cfRule type="expression" dxfId="82" priority="146">
      <formula>$B$137=0</formula>
    </cfRule>
  </conditionalFormatting>
  <conditionalFormatting sqref="CM115">
    <cfRule type="expression" dxfId="81" priority="144">
      <formula>$B$137=0</formula>
    </cfRule>
  </conditionalFormatting>
  <conditionalFormatting sqref="CN115:CY115">
    <cfRule type="expression" dxfId="80" priority="150">
      <formula>$B$137=0</formula>
    </cfRule>
  </conditionalFormatting>
  <dataValidations count="9">
    <dataValidation type="whole" allowBlank="1" showInputMessage="1" showErrorMessage="1" errorTitle="Coda Audio" error="YOU HAVE ENTERED A WRONG NUMBER OF CABINETS" promptTitle="Coda Audio" prompt="ENTER THE NUMBER OF CABINETS FROM 1 UP TO 24" sqref="B201 B140" xr:uid="{00000000-0002-0000-0300-000000000000}">
      <formula1>1</formula1>
      <formula2>24</formula2>
    </dataValidation>
    <dataValidation type="whole" allowBlank="1" showInputMessage="1" showErrorMessage="1" errorTitle="Coda Audio" error="YOU HAVE ENTERED A WRONG NUMBER OF CABINETS" promptTitle="Coda Audio" prompt="ENTER THE NUMBER OF CABINETS FROM 1 UP TO 12" sqref="B177" xr:uid="{00000000-0002-0000-0300-000001000000}">
      <formula1>1</formula1>
      <formula2>12</formula2>
    </dataValidation>
    <dataValidation type="decimal" allowBlank="1" showInputMessage="1" showErrorMessage="1" sqref="G181:G191 D167:D172 F206:F227 F145:F175 F182:F191 D175 G144:G175 G205:G227" xr:uid="{00000000-0002-0000-0300-000002000000}">
      <formula1>0</formula1>
      <formula2>8</formula2>
    </dataValidation>
    <dataValidation type="decimal" allowBlank="1" showInputMessage="1" showErrorMessage="1" sqref="F180:G180 F143:G143 F204:G204" xr:uid="{00000000-0002-0000-0300-000003000000}">
      <formula1>0</formula1>
      <formula2>4</formula2>
    </dataValidation>
    <dataValidation type="list" allowBlank="1" showDropDown="1" showInputMessage="1" showErrorMessage="1" sqref="D204 D143" xr:uid="{00000000-0002-0000-0300-000004000000}">
      <formula1>"-6,-5,-4,-3,-2,-1,0,1,2,3,4,5,6"</formula1>
    </dataValidation>
    <dataValidation type="list" allowBlank="1" showDropDown="1" showInputMessage="1" showErrorMessage="1" sqref="D180:D191" xr:uid="{00000000-0002-0000-0300-000005000000}">
      <formula1>"0,2,5"</formula1>
    </dataValidation>
    <dataValidation type="decimal" allowBlank="1" showInputMessage="1" showErrorMessage="1" sqref="B137:B138" xr:uid="{00000000-0002-0000-0300-000006000000}">
      <formula1>-89.9</formula1>
      <formula2>89.9</formula2>
    </dataValidation>
    <dataValidation type="whole" allowBlank="1" showDropDown="1" showInputMessage="1" showErrorMessage="1" sqref="B174" xr:uid="{00000000-0002-0000-0300-000007000000}">
      <formula1>-8</formula1>
      <formula2>6</formula2>
    </dataValidation>
    <dataValidation type="list" allowBlank="1" showDropDown="1" showInputMessage="1" showErrorMessage="1" sqref="D205:D227 D144:D166" xr:uid="{00000000-0002-0000-0300-000008000000}">
      <formula1>"0,1,2,3,4,5,6,7,8,10,12"</formula1>
    </dataValidation>
  </dataValidations>
  <pageMargins left="0.75" right="0.75" top="1" bottom="1" header="0.5" footer="0.5"/>
  <pageSetup paperSize="9" orientation="portrait" horizontalDpi="4294967293" verticalDpi="0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00"/>
  </sheetPr>
  <dimension ref="B1:EQ247"/>
  <sheetViews>
    <sheetView tabSelected="1" topLeftCell="A40" zoomScale="50" zoomScaleNormal="50" workbookViewId="0">
      <selection activeCell="B136" sqref="B136"/>
    </sheetView>
  </sheetViews>
  <sheetFormatPr baseColWidth="10" defaultColWidth="9.1640625" defaultRowHeight="28" x14ac:dyDescent="0.3"/>
  <cols>
    <col min="1" max="1" width="4.1640625" customWidth="1"/>
    <col min="2" max="2" width="46.5" style="15" customWidth="1"/>
    <col min="3" max="3" width="26.5" style="15" hidden="1" customWidth="1"/>
    <col min="4" max="4" width="30.5" bestFit="1" customWidth="1"/>
    <col min="5" max="5" width="40" customWidth="1"/>
    <col min="6" max="6" width="23.5" hidden="1" customWidth="1"/>
    <col min="7" max="7" width="41.1640625" hidden="1" customWidth="1"/>
    <col min="8" max="8" width="30.1640625" style="27" hidden="1" customWidth="1"/>
    <col min="9" max="9" width="19.1640625" style="27" hidden="1" customWidth="1"/>
    <col min="10" max="10" width="18" style="27" hidden="1" customWidth="1"/>
    <col min="11" max="11" width="19.5" style="27" hidden="1" customWidth="1"/>
    <col min="12" max="14" width="19.83203125" style="27" hidden="1" customWidth="1"/>
    <col min="15" max="15" width="8.6640625" style="27" hidden="1" customWidth="1"/>
    <col min="16" max="16" width="22" style="27" hidden="1" customWidth="1"/>
    <col min="17" max="17" width="20.83203125" style="27" hidden="1" customWidth="1"/>
    <col min="18" max="18" width="31.5" style="27" hidden="1" customWidth="1"/>
    <col min="19" max="19" width="20.83203125" style="27" hidden="1" customWidth="1"/>
    <col min="20" max="20" width="19.83203125" style="27" hidden="1" customWidth="1"/>
    <col min="21" max="21" width="11.83203125" style="27" hidden="1" customWidth="1"/>
    <col min="22" max="22" width="22.6640625" style="27" hidden="1" customWidth="1"/>
    <col min="23" max="24" width="18" style="27" hidden="1" customWidth="1"/>
    <col min="25" max="27" width="19.83203125" style="27" hidden="1" customWidth="1"/>
    <col min="28" max="28" width="42" style="27" customWidth="1"/>
    <col min="29" max="29" width="26.33203125" style="27" hidden="1" customWidth="1"/>
    <col min="30" max="31" width="7.5" style="27" hidden="1" customWidth="1"/>
    <col min="32" max="32" width="25" style="27" hidden="1" customWidth="1"/>
    <col min="33" max="33" width="16.83203125" style="27" hidden="1" customWidth="1"/>
    <col min="34" max="34" width="11.33203125" style="27" hidden="1" customWidth="1"/>
    <col min="35" max="35" width="20.83203125" style="27" hidden="1" customWidth="1"/>
    <col min="36" max="39" width="18.83203125" style="27" hidden="1" customWidth="1"/>
    <col min="40" max="40" width="25.6640625" style="27" hidden="1" customWidth="1"/>
    <col min="41" max="41" width="31.33203125" style="27" hidden="1" customWidth="1"/>
    <col min="42" max="45" width="18.83203125" style="27" hidden="1" customWidth="1"/>
    <col min="46" max="46" width="34.83203125" style="27" hidden="1" customWidth="1"/>
    <col min="47" max="47" width="18.83203125" style="27" hidden="1" customWidth="1"/>
    <col min="48" max="48" width="32.5" style="27" hidden="1" customWidth="1"/>
    <col min="49" max="49" width="25" style="27" hidden="1" customWidth="1"/>
    <col min="50" max="50" width="31.5" style="27" hidden="1" customWidth="1"/>
    <col min="51" max="51" width="22" style="27" hidden="1" customWidth="1"/>
    <col min="52" max="53" width="14.5" style="27" customWidth="1"/>
    <col min="54" max="54" width="17" hidden="1" customWidth="1"/>
    <col min="55" max="55" width="14.5" hidden="1" customWidth="1"/>
    <col min="56" max="56" width="9.33203125" hidden="1" customWidth="1"/>
    <col min="57" max="57" width="4.83203125" hidden="1" customWidth="1"/>
    <col min="58" max="58" width="6.83203125" hidden="1" customWidth="1"/>
    <col min="59" max="59" width="136" hidden="1" customWidth="1"/>
    <col min="60" max="60" width="17" hidden="1" customWidth="1"/>
    <col min="61" max="61" width="9.83203125" hidden="1" customWidth="1"/>
    <col min="62" max="62" width="27.5" style="746" hidden="1" customWidth="1"/>
    <col min="63" max="63" width="25.33203125" customWidth="1"/>
    <col min="64" max="64" width="40.1640625" style="22" bestFit="1" customWidth="1"/>
    <col min="65" max="65" width="56.1640625" customWidth="1"/>
    <col min="66" max="106" width="7.1640625" customWidth="1"/>
    <col min="107" max="107" width="12.33203125" hidden="1" customWidth="1"/>
    <col min="108" max="108" width="31.83203125" hidden="1" customWidth="1"/>
    <col min="109" max="110" width="16.33203125" hidden="1" customWidth="1"/>
    <col min="111" max="111" width="9.33203125" hidden="1" customWidth="1"/>
    <col min="112" max="112" width="9.33203125" style="744" hidden="1" customWidth="1"/>
    <col min="113" max="113" width="41.5" hidden="1" customWidth="1"/>
    <col min="114" max="143" width="6.5" hidden="1" customWidth="1"/>
    <col min="144" max="146" width="0" hidden="1" customWidth="1"/>
    <col min="147" max="147" width="11.5" customWidth="1"/>
    <col min="148" max="148" width="9.33203125" customWidth="1"/>
  </cols>
  <sheetData>
    <row r="1" spans="2:15" ht="29" hidden="1" thickBot="1" x14ac:dyDescent="0.35">
      <c r="D1" s="16" t="s">
        <v>76</v>
      </c>
      <c r="E1" s="16" t="s">
        <v>77</v>
      </c>
      <c r="F1" s="16" t="s">
        <v>78</v>
      </c>
      <c r="G1" s="878" t="s">
        <v>202</v>
      </c>
      <c r="H1" s="879">
        <v>5800</v>
      </c>
      <c r="I1" s="880"/>
      <c r="J1" s="880"/>
      <c r="K1" s="880"/>
      <c r="L1" s="880"/>
      <c r="M1" s="880"/>
      <c r="N1" s="880"/>
      <c r="O1" s="881"/>
    </row>
    <row r="2" spans="2:15" ht="29" hidden="1" thickBot="1" x14ac:dyDescent="0.35">
      <c r="B2" s="290" t="s">
        <v>26</v>
      </c>
      <c r="C2" s="641">
        <v>532</v>
      </c>
      <c r="D2" s="642">
        <f>+COS(($B$136*-1)*3.14159265358979/180)*C2</f>
        <v>532</v>
      </c>
      <c r="E2" s="641">
        <f>+COS(($B$136*-1)*3.14159265358979/180)*28</f>
        <v>28</v>
      </c>
      <c r="F2" s="641">
        <f>+COS((($B$136*-1)+85.383547)*3.14159265358979/180)*99.3974873</f>
        <v>8.0000221785144277</v>
      </c>
      <c r="G2" s="813" t="s">
        <v>203</v>
      </c>
      <c r="H2" s="882">
        <v>60</v>
      </c>
      <c r="I2" s="22"/>
      <c r="J2" s="22"/>
      <c r="K2" s="22"/>
      <c r="L2" s="22"/>
      <c r="M2" s="22"/>
      <c r="N2" s="22"/>
      <c r="O2" s="883"/>
    </row>
    <row r="3" spans="2:15" ht="29" hidden="1" thickBot="1" x14ac:dyDescent="0.35">
      <c r="B3" s="643" t="s">
        <v>96</v>
      </c>
      <c r="C3" s="644">
        <f>+C9-8.0000223</f>
        <v>207.61662342851494</v>
      </c>
      <c r="D3" s="642">
        <f>+C9-F2</f>
        <v>207.61662355000053</v>
      </c>
      <c r="G3" s="813" t="s">
        <v>204</v>
      </c>
      <c r="H3" s="884">
        <v>168</v>
      </c>
      <c r="I3" s="105"/>
      <c r="J3" s="22"/>
      <c r="K3" s="22"/>
      <c r="L3" s="22"/>
      <c r="M3" s="22"/>
      <c r="N3" s="22"/>
      <c r="O3" s="883"/>
    </row>
    <row r="4" spans="2:15" ht="66" hidden="1" thickBot="1" x14ac:dyDescent="0.35">
      <c r="B4" s="645" t="s">
        <v>97</v>
      </c>
      <c r="C4" s="641">
        <v>784</v>
      </c>
      <c r="D4" s="642">
        <f>+COS(($B$136*-1)*3.14159265358979/180)*C4</f>
        <v>784</v>
      </c>
      <c r="G4" s="885" t="s">
        <v>205</v>
      </c>
      <c r="H4" s="886">
        <v>616</v>
      </c>
      <c r="I4" s="814">
        <v>1</v>
      </c>
      <c r="J4" s="815" t="s">
        <v>168</v>
      </c>
      <c r="K4" s="887"/>
      <c r="L4" s="887"/>
      <c r="M4" s="887"/>
      <c r="N4" s="22"/>
      <c r="O4" s="883"/>
    </row>
    <row r="5" spans="2:15" ht="45" hidden="1" thickBot="1" x14ac:dyDescent="0.35">
      <c r="B5" s="645" t="s">
        <v>98</v>
      </c>
      <c r="C5" s="641">
        <f>+C9+300</f>
        <v>515.61664572851498</v>
      </c>
      <c r="D5" s="642">
        <f>+(COS(($B$136*-1)*3.14159265358979/180)*308)+$D$3</f>
        <v>515.61662355000055</v>
      </c>
      <c r="G5" s="885" t="s">
        <v>206</v>
      </c>
      <c r="H5" s="886">
        <v>504</v>
      </c>
      <c r="I5" s="888" t="s">
        <v>210</v>
      </c>
      <c r="J5" s="816" t="s">
        <v>169</v>
      </c>
      <c r="K5" s="816" t="s">
        <v>170</v>
      </c>
      <c r="L5" s="817" t="s">
        <v>171</v>
      </c>
      <c r="M5" s="887"/>
      <c r="N5" s="22"/>
      <c r="O5" s="883"/>
    </row>
    <row r="6" spans="2:15" ht="29" hidden="1" thickBot="1" x14ac:dyDescent="0.35">
      <c r="B6" s="110"/>
      <c r="C6" s="110"/>
      <c r="G6" s="885" t="s">
        <v>207</v>
      </c>
      <c r="H6" s="886">
        <v>448</v>
      </c>
      <c r="I6" s="22"/>
      <c r="J6" s="818">
        <f>+H9/H8*BN42</f>
        <v>70.245240876964147</v>
      </c>
      <c r="K6" s="818">
        <f>((H8-H9)/H8)*BN42</f>
        <v>-46.830160584642762</v>
      </c>
      <c r="L6" s="818">
        <f>+CR42</f>
        <v>44.984919707678621</v>
      </c>
      <c r="M6" s="816" t="s">
        <v>172</v>
      </c>
      <c r="N6" s="22"/>
      <c r="O6" s="883"/>
    </row>
    <row r="7" spans="2:15" ht="29" hidden="1" thickBot="1" x14ac:dyDescent="0.35">
      <c r="B7" s="683" t="s">
        <v>18</v>
      </c>
      <c r="C7" s="521">
        <f>+C10+C13+9.4+1+10</f>
        <v>68.400000000000006</v>
      </c>
      <c r="D7" s="654" t="s">
        <v>102</v>
      </c>
      <c r="E7" s="654" t="s">
        <v>161</v>
      </c>
      <c r="G7" s="889" t="s">
        <v>208</v>
      </c>
      <c r="H7" s="819">
        <f>(+SIN(($B$136*-1)*3.14159265358979/180)*H2)</f>
        <v>0</v>
      </c>
      <c r="I7" s="854"/>
      <c r="J7" s="820">
        <f>ABS($H$1/J6)</f>
        <v>82.567871183740522</v>
      </c>
      <c r="K7" s="820">
        <f>ABS($H$1/K6)</f>
        <v>123.8518067756108</v>
      </c>
      <c r="L7" s="820">
        <f>ABS($H$1/L6)</f>
        <v>128.93209630448621</v>
      </c>
      <c r="M7" s="821" t="s">
        <v>173</v>
      </c>
      <c r="N7" s="22"/>
      <c r="O7" s="883"/>
    </row>
    <row r="8" spans="2:15" ht="29" hidden="1" thickBot="1" x14ac:dyDescent="0.35">
      <c r="B8" s="683" t="s">
        <v>19</v>
      </c>
      <c r="C8" s="683">
        <f>+AR142</f>
        <v>547.61791212524224</v>
      </c>
      <c r="G8" s="889" t="s">
        <v>209</v>
      </c>
      <c r="H8" s="819">
        <f>(+COS(($B$136*-1)*3.14159265358979/180)*H3)</f>
        <v>168</v>
      </c>
      <c r="I8" s="22"/>
      <c r="J8" s="944">
        <f>ABS($E$50/BN42)</f>
        <v>183.64233418452636</v>
      </c>
      <c r="K8" s="944"/>
      <c r="L8" s="944">
        <f>ABS($E$50/CR42)</f>
        <v>95.587588639532882</v>
      </c>
      <c r="M8" s="942" t="s">
        <v>226</v>
      </c>
      <c r="N8" s="22"/>
      <c r="O8" s="883"/>
    </row>
    <row r="9" spans="2:15" ht="29" hidden="1" thickBot="1" x14ac:dyDescent="0.35">
      <c r="B9" s="683" t="s">
        <v>14</v>
      </c>
      <c r="C9" s="683">
        <f>+AO138</f>
        <v>215.61664572851495</v>
      </c>
      <c r="G9" s="813" t="s">
        <v>211</v>
      </c>
      <c r="H9" s="819">
        <f>+D2-E2+H7</f>
        <v>504</v>
      </c>
      <c r="I9" s="22"/>
      <c r="J9" s="22"/>
      <c r="K9" s="22"/>
      <c r="L9" s="22"/>
      <c r="M9" s="22"/>
      <c r="N9" s="22"/>
      <c r="O9" s="883"/>
    </row>
    <row r="10" spans="2:15" ht="29" hidden="1" thickBot="1" x14ac:dyDescent="0.35">
      <c r="B10" s="657" t="s">
        <v>127</v>
      </c>
      <c r="C10" s="521">
        <f>+B139*33</f>
        <v>33</v>
      </c>
      <c r="G10" s="890"/>
      <c r="H10" s="22"/>
      <c r="I10" s="814">
        <v>2</v>
      </c>
      <c r="J10" s="815" t="s">
        <v>175</v>
      </c>
      <c r="K10" s="815"/>
      <c r="L10" s="822"/>
      <c r="M10" s="822"/>
      <c r="N10" s="22"/>
      <c r="O10" s="883"/>
    </row>
    <row r="11" spans="2:15" ht="29" hidden="1" thickBot="1" x14ac:dyDescent="0.35">
      <c r="B11" s="657" t="s">
        <v>128</v>
      </c>
      <c r="C11" s="643">
        <v>547.61</v>
      </c>
      <c r="D11" s="291"/>
      <c r="G11" s="813" t="s">
        <v>212</v>
      </c>
      <c r="H11" s="819">
        <f>+D2-H7-E2</f>
        <v>504</v>
      </c>
      <c r="I11" s="888" t="s">
        <v>210</v>
      </c>
      <c r="J11" s="817" t="s">
        <v>176</v>
      </c>
      <c r="K11" s="816" t="s">
        <v>177</v>
      </c>
      <c r="L11" s="816" t="s">
        <v>178</v>
      </c>
      <c r="M11" s="887"/>
      <c r="N11" s="22"/>
      <c r="O11" s="883"/>
    </row>
    <row r="12" spans="2:15" ht="29" hidden="1" thickBot="1" x14ac:dyDescent="0.35">
      <c r="D12" s="291"/>
      <c r="G12" s="890"/>
      <c r="H12" s="25"/>
      <c r="I12" s="22"/>
      <c r="J12" s="818">
        <f>(BY45)</f>
        <v>50.286508863749951</v>
      </c>
      <c r="K12" s="818">
        <f>((+H8-H11)/H8*DB45)</f>
        <v>-36.226982272500095</v>
      </c>
      <c r="L12" s="818">
        <f>(H11/H8*DB45)</f>
        <v>54.340473408750142</v>
      </c>
      <c r="M12" s="816" t="s">
        <v>172</v>
      </c>
      <c r="N12" s="22"/>
      <c r="O12" s="883"/>
    </row>
    <row r="13" spans="2:15" ht="29" hidden="1" thickBot="1" x14ac:dyDescent="0.35">
      <c r="B13" s="657" t="s">
        <v>130</v>
      </c>
      <c r="C13" s="521">
        <f>(+B160*15)</f>
        <v>15</v>
      </c>
      <c r="D13" s="291"/>
      <c r="G13" s="890"/>
      <c r="H13" s="22"/>
      <c r="I13" s="22"/>
      <c r="J13" s="820">
        <f>ABS($H$1/J12)</f>
        <v>115.33908658711934</v>
      </c>
      <c r="K13" s="820">
        <f>ABS($H$1/K12)</f>
        <v>160.10166003815286</v>
      </c>
      <c r="L13" s="820">
        <f>ABS($H$1/L12)</f>
        <v>106.73444002543523</v>
      </c>
      <c r="M13" s="821" t="s">
        <v>173</v>
      </c>
      <c r="N13" s="22"/>
      <c r="O13" s="883"/>
    </row>
    <row r="14" spans="2:15" ht="29" hidden="1" thickBot="1" x14ac:dyDescent="0.35">
      <c r="B14" s="657" t="s">
        <v>131</v>
      </c>
      <c r="C14" s="641">
        <v>334.46</v>
      </c>
      <c r="D14" s="291"/>
      <c r="G14" s="890"/>
      <c r="H14" s="22"/>
      <c r="I14" s="22"/>
      <c r="J14" s="944">
        <f>ABS($E$50/BY45)</f>
        <v>85.510012469760895</v>
      </c>
      <c r="K14" s="944"/>
      <c r="L14" s="944">
        <f>ABS($E$50/DB45)</f>
        <v>237.39211660829559</v>
      </c>
      <c r="M14" s="942" t="s">
        <v>174</v>
      </c>
      <c r="N14" s="22"/>
      <c r="O14" s="883"/>
    </row>
    <row r="15" spans="2:15" ht="29" hidden="1" thickBot="1" x14ac:dyDescent="0.35">
      <c r="B15" s="292"/>
      <c r="C15" s="292"/>
      <c r="D15" s="291"/>
      <c r="G15" s="890"/>
      <c r="H15" s="22"/>
      <c r="I15" s="22"/>
      <c r="J15" s="22"/>
      <c r="K15" s="22"/>
      <c r="L15" s="22"/>
      <c r="M15" s="22"/>
      <c r="N15" s="22"/>
      <c r="O15" s="883"/>
    </row>
    <row r="16" spans="2:15" ht="29" hidden="1" thickBot="1" x14ac:dyDescent="0.35">
      <c r="B16" s="292"/>
      <c r="C16" s="292"/>
      <c r="D16" s="291"/>
      <c r="G16" s="813" t="s">
        <v>213</v>
      </c>
      <c r="H16" s="819">
        <f>+D2-(H7+E2)-BJ134</f>
        <v>-11.616623550000554</v>
      </c>
      <c r="I16" s="814" t="s">
        <v>179</v>
      </c>
      <c r="J16" s="823" t="s">
        <v>224</v>
      </c>
      <c r="K16" s="891"/>
      <c r="L16" s="891"/>
      <c r="M16" s="891"/>
      <c r="N16" s="22"/>
      <c r="O16" s="883"/>
    </row>
    <row r="17" spans="2:15" ht="29" hidden="1" thickBot="1" x14ac:dyDescent="0.35">
      <c r="B17" s="648" t="s">
        <v>99</v>
      </c>
      <c r="C17" s="649">
        <v>4000</v>
      </c>
      <c r="D17" s="649">
        <v>4400</v>
      </c>
      <c r="G17" s="890"/>
      <c r="H17" s="25"/>
      <c r="I17" s="888" t="s">
        <v>210</v>
      </c>
      <c r="J17" s="816" t="s">
        <v>169</v>
      </c>
      <c r="K17" s="816" t="s">
        <v>170</v>
      </c>
      <c r="L17" s="816"/>
      <c r="M17" s="887"/>
      <c r="N17" s="22"/>
      <c r="O17" s="883"/>
    </row>
    <row r="18" spans="2:15" ht="29" hidden="1" thickBot="1" x14ac:dyDescent="0.35">
      <c r="B18" s="648" t="s">
        <v>118</v>
      </c>
      <c r="C18" s="524">
        <v>3000</v>
      </c>
      <c r="D18" s="524">
        <v>3000</v>
      </c>
      <c r="G18" s="890"/>
      <c r="H18" s="22"/>
      <c r="I18" s="22"/>
      <c r="J18" s="818">
        <f>+H16/H8*BN40</f>
        <v>-4.7296253025002262</v>
      </c>
      <c r="K18" s="818">
        <f>((H8-H16)/H8)*BN40</f>
        <v>73.12962530250023</v>
      </c>
      <c r="L18" s="818"/>
      <c r="M18" s="816" t="s">
        <v>172</v>
      </c>
      <c r="N18" s="22"/>
      <c r="O18" s="883"/>
    </row>
    <row r="19" spans="2:15" ht="29" hidden="1" thickBot="1" x14ac:dyDescent="0.35">
      <c r="B19" s="782"/>
      <c r="C19" s="782"/>
      <c r="G19" s="890"/>
      <c r="H19" s="22"/>
      <c r="I19" s="22"/>
      <c r="J19" s="820">
        <f>ABS($H$1/J18)</f>
        <v>1226.3127899231131</v>
      </c>
      <c r="K19" s="820">
        <f>ABS($H$1/K18)</f>
        <v>79.311222722779405</v>
      </c>
      <c r="L19" s="820"/>
      <c r="M19" s="821" t="s">
        <v>173</v>
      </c>
      <c r="N19" s="22"/>
      <c r="O19" s="883"/>
    </row>
    <row r="20" spans="2:15" ht="29" hidden="1" thickBot="1" x14ac:dyDescent="0.35">
      <c r="B20" s="782"/>
      <c r="C20" s="782"/>
      <c r="G20" s="890"/>
      <c r="H20" s="22"/>
      <c r="I20" s="22"/>
      <c r="J20" s="944">
        <f>ABS($E$50/BN40)</f>
        <v>62.865497076023388</v>
      </c>
      <c r="K20" s="944"/>
      <c r="L20" s="944"/>
      <c r="M20" s="942" t="s">
        <v>174</v>
      </c>
      <c r="N20" s="22"/>
      <c r="O20" s="883"/>
    </row>
    <row r="21" spans="2:15" ht="29" hidden="1" thickBot="1" x14ac:dyDescent="0.35">
      <c r="B21" s="110"/>
      <c r="C21" s="782"/>
      <c r="G21" s="890"/>
      <c r="H21" s="22"/>
      <c r="I21" s="22"/>
      <c r="J21" s="22"/>
      <c r="K21" s="22"/>
      <c r="L21" s="22"/>
      <c r="M21" s="22"/>
      <c r="N21" s="22"/>
      <c r="O21" s="883"/>
    </row>
    <row r="22" spans="2:15" ht="29" hidden="1" thickBot="1" x14ac:dyDescent="0.35">
      <c r="B22" s="110"/>
      <c r="C22" s="782"/>
      <c r="G22" s="813" t="s">
        <v>180</v>
      </c>
      <c r="H22" s="819">
        <f>(+COS(($B$136*-1)*3.14159265358979/180)*(H4))</f>
        <v>616</v>
      </c>
      <c r="I22" s="814" t="s">
        <v>179</v>
      </c>
      <c r="J22" s="823" t="s">
        <v>225</v>
      </c>
      <c r="K22" s="891"/>
      <c r="L22" s="891"/>
      <c r="M22" s="891"/>
      <c r="N22" s="22"/>
      <c r="O22" s="883"/>
    </row>
    <row r="23" spans="2:15" ht="29" hidden="1" thickBot="1" x14ac:dyDescent="0.35">
      <c r="B23" s="110"/>
      <c r="C23" s="782"/>
      <c r="G23" s="813" t="s">
        <v>214</v>
      </c>
      <c r="H23" s="892">
        <f>+BJ134-H22+H7</f>
        <v>-100.38337644999945</v>
      </c>
      <c r="I23" s="824"/>
      <c r="J23" s="816"/>
      <c r="K23" s="816" t="s">
        <v>177</v>
      </c>
      <c r="L23" s="816" t="s">
        <v>178</v>
      </c>
      <c r="M23" s="887"/>
      <c r="N23" s="22"/>
      <c r="O23" s="883"/>
    </row>
    <row r="24" spans="2:15" ht="29" hidden="1" thickBot="1" x14ac:dyDescent="0.35">
      <c r="B24" s="110"/>
      <c r="C24" s="782"/>
      <c r="G24" s="890"/>
      <c r="H24" s="22"/>
      <c r="I24" s="22"/>
      <c r="J24" s="818"/>
      <c r="K24" s="818">
        <f>((+H8-H23)/H8*BN40)</f>
        <v>109.27037469749978</v>
      </c>
      <c r="L24" s="818">
        <f>(H23/H8*BN40)</f>
        <v>-40.870374697499777</v>
      </c>
      <c r="M24" s="816" t="s">
        <v>172</v>
      </c>
      <c r="N24" s="22"/>
      <c r="O24" s="883"/>
    </row>
    <row r="25" spans="2:15" ht="29" hidden="1" thickBot="1" x14ac:dyDescent="0.35">
      <c r="B25" s="110"/>
      <c r="C25" s="782"/>
      <c r="G25" s="890"/>
      <c r="H25" s="22"/>
      <c r="I25" s="22"/>
      <c r="J25" s="820"/>
      <c r="K25" s="820">
        <f>ABS($H$1/K24)</f>
        <v>53.079345760976054</v>
      </c>
      <c r="L25" s="820">
        <f>ABS($H$1/L24)</f>
        <v>141.91208284554367</v>
      </c>
      <c r="M25" s="821" t="s">
        <v>173</v>
      </c>
      <c r="N25" s="22"/>
      <c r="O25" s="883"/>
    </row>
    <row r="26" spans="2:15" ht="29" hidden="1" thickBot="1" x14ac:dyDescent="0.35">
      <c r="B26" s="110"/>
      <c r="C26" s="782"/>
      <c r="G26" s="890"/>
      <c r="H26" s="22"/>
      <c r="I26" s="22"/>
      <c r="J26" s="944"/>
      <c r="K26" s="944"/>
      <c r="L26" s="944">
        <f>ABS($E$50/BN40)</f>
        <v>62.865497076023388</v>
      </c>
      <c r="M26" s="942" t="s">
        <v>174</v>
      </c>
      <c r="N26" s="22"/>
      <c r="O26" s="883"/>
    </row>
    <row r="27" spans="2:15" ht="29" hidden="1" thickBot="1" x14ac:dyDescent="0.35">
      <c r="B27" s="110"/>
      <c r="C27" s="782"/>
      <c r="G27" s="890"/>
      <c r="H27" s="22"/>
      <c r="I27" s="22"/>
      <c r="J27" s="22"/>
      <c r="K27" s="22"/>
      <c r="L27" s="22"/>
      <c r="M27" s="22"/>
      <c r="N27" s="22"/>
      <c r="O27" s="883"/>
    </row>
    <row r="28" spans="2:15" ht="29" hidden="1" thickBot="1" x14ac:dyDescent="0.35">
      <c r="B28" s="110"/>
      <c r="C28" s="782"/>
      <c r="G28" s="890"/>
      <c r="H28" s="22"/>
      <c r="I28" s="814">
        <v>60</v>
      </c>
      <c r="J28" s="825" t="s">
        <v>181</v>
      </c>
      <c r="K28" s="893"/>
      <c r="L28" s="893"/>
      <c r="M28" s="893"/>
      <c r="N28" s="22"/>
      <c r="O28" s="883"/>
    </row>
    <row r="29" spans="2:15" ht="29" hidden="1" thickBot="1" x14ac:dyDescent="0.35">
      <c r="B29" s="110"/>
      <c r="C29" s="782"/>
      <c r="G29" s="890"/>
      <c r="H29" s="22"/>
      <c r="I29" s="22"/>
      <c r="J29" s="816"/>
      <c r="K29" s="816" t="s">
        <v>177</v>
      </c>
      <c r="L29" s="816" t="s">
        <v>178</v>
      </c>
      <c r="M29" s="887"/>
      <c r="N29" s="22"/>
      <c r="O29" s="883"/>
    </row>
    <row r="30" spans="2:15" ht="29" hidden="1" thickBot="1" x14ac:dyDescent="0.35">
      <c r="B30" s="110"/>
      <c r="C30" s="782"/>
      <c r="G30" s="950"/>
      <c r="H30" s="368"/>
      <c r="I30" s="22"/>
      <c r="J30" s="818"/>
      <c r="K30" s="818">
        <f>((+H8-H23)/H8*BN40)</f>
        <v>109.27037469749978</v>
      </c>
      <c r="L30" s="818">
        <f>(H23/H8*BN40)</f>
        <v>-40.870374697499777</v>
      </c>
      <c r="M30" s="816" t="s">
        <v>172</v>
      </c>
      <c r="N30" s="22"/>
      <c r="O30" s="883"/>
    </row>
    <row r="31" spans="2:15" ht="29" hidden="1" thickBot="1" x14ac:dyDescent="0.35">
      <c r="B31" s="110"/>
      <c r="C31" s="782"/>
      <c r="G31" s="950"/>
      <c r="H31" s="368"/>
      <c r="I31" s="22"/>
      <c r="J31" s="820"/>
      <c r="K31" s="820">
        <f>ABS($H$1/K30)</f>
        <v>53.079345760976054</v>
      </c>
      <c r="L31" s="820">
        <f>ABS($H$1/L30)</f>
        <v>141.91208284554367</v>
      </c>
      <c r="M31" s="821" t="s">
        <v>173</v>
      </c>
      <c r="N31" s="22"/>
      <c r="O31" s="883"/>
    </row>
    <row r="32" spans="2:15" ht="29" hidden="1" thickBot="1" x14ac:dyDescent="0.35">
      <c r="B32" s="110"/>
      <c r="C32" s="782"/>
      <c r="G32" s="950"/>
      <c r="H32" s="368"/>
      <c r="I32" s="22"/>
      <c r="J32" s="944"/>
      <c r="K32" s="944"/>
      <c r="L32" s="944">
        <f>ABS($E$50/BN40)*2</f>
        <v>125.73099415204678</v>
      </c>
      <c r="M32" s="942" t="s">
        <v>226</v>
      </c>
      <c r="N32" s="946" t="s">
        <v>229</v>
      </c>
      <c r="O32" s="883"/>
    </row>
    <row r="33" spans="2:108" ht="29" hidden="1" thickBot="1" x14ac:dyDescent="0.35">
      <c r="B33" s="110"/>
      <c r="C33" s="782"/>
      <c r="G33" s="950"/>
      <c r="H33" s="368"/>
      <c r="I33" s="22"/>
      <c r="J33" s="22"/>
      <c r="K33" s="22"/>
      <c r="L33" s="22"/>
      <c r="M33" s="22"/>
      <c r="N33" s="22"/>
      <c r="O33" s="883"/>
    </row>
    <row r="34" spans="2:108" ht="29" hidden="1" thickBot="1" x14ac:dyDescent="0.35">
      <c r="B34" s="110"/>
      <c r="C34" s="782"/>
      <c r="G34" s="950"/>
      <c r="H34" s="368"/>
      <c r="I34" s="814">
        <v>61</v>
      </c>
      <c r="J34" s="825" t="s">
        <v>182</v>
      </c>
      <c r="K34" s="893"/>
      <c r="L34" s="893"/>
      <c r="M34" s="893"/>
      <c r="N34" s="22"/>
      <c r="O34" s="883"/>
    </row>
    <row r="35" spans="2:108" ht="29" hidden="1" thickBot="1" x14ac:dyDescent="0.35">
      <c r="B35" s="110"/>
      <c r="C35" s="782"/>
      <c r="G35" s="950"/>
      <c r="H35" s="368"/>
      <c r="I35" s="22"/>
      <c r="J35" s="816" t="s">
        <v>169</v>
      </c>
      <c r="K35" s="816" t="s">
        <v>170</v>
      </c>
      <c r="L35" s="816"/>
      <c r="M35" s="887"/>
      <c r="N35" s="22"/>
      <c r="O35" s="883"/>
    </row>
    <row r="36" spans="2:108" ht="29" hidden="1" thickBot="1" x14ac:dyDescent="0.35">
      <c r="B36" s="110"/>
      <c r="C36" s="782"/>
      <c r="G36" s="950"/>
      <c r="H36" s="368"/>
      <c r="I36" s="22"/>
      <c r="J36" s="818">
        <f>+H16/H8*BN40</f>
        <v>-4.7296253025002262</v>
      </c>
      <c r="K36" s="818">
        <f>((H8-H16)/H8)*BN40</f>
        <v>73.12962530250023</v>
      </c>
      <c r="L36" s="818"/>
      <c r="M36" s="816" t="s">
        <v>172</v>
      </c>
      <c r="N36" s="22"/>
      <c r="O36" s="883"/>
    </row>
    <row r="37" spans="2:108" ht="29" hidden="1" thickBot="1" x14ac:dyDescent="0.35">
      <c r="B37" s="110"/>
      <c r="C37" s="782"/>
      <c r="G37" s="950"/>
      <c r="H37" s="368"/>
      <c r="I37" s="22"/>
      <c r="J37" s="820">
        <f>ABS($H$1/J36)</f>
        <v>1226.3127899231131</v>
      </c>
      <c r="K37" s="820">
        <f>ABS($H$1/K36)</f>
        <v>79.311222722779405</v>
      </c>
      <c r="L37" s="820"/>
      <c r="M37" s="821" t="s">
        <v>173</v>
      </c>
      <c r="N37" s="22"/>
      <c r="O37" s="883"/>
    </row>
    <row r="38" spans="2:108" ht="29" hidden="1" thickBot="1" x14ac:dyDescent="0.35">
      <c r="B38" s="110"/>
      <c r="C38" s="782"/>
      <c r="G38" s="950"/>
      <c r="H38" s="368"/>
      <c r="I38" s="22"/>
      <c r="J38" s="944">
        <f>ABS($E$50/BN40)*2</f>
        <v>125.73099415204678</v>
      </c>
      <c r="K38" s="944"/>
      <c r="L38" s="944"/>
      <c r="M38" s="942" t="s">
        <v>226</v>
      </c>
      <c r="N38" s="946" t="s">
        <v>229</v>
      </c>
      <c r="O38" s="883"/>
    </row>
    <row r="39" spans="2:108" ht="29" hidden="1" thickBot="1" x14ac:dyDescent="0.35">
      <c r="B39" s="110"/>
      <c r="C39" s="782"/>
      <c r="G39" s="890"/>
      <c r="H39" s="22"/>
      <c r="I39" s="22"/>
      <c r="J39" s="22"/>
      <c r="K39" s="22"/>
      <c r="L39" s="22"/>
      <c r="M39" s="22"/>
      <c r="N39" s="22"/>
      <c r="O39" s="883"/>
    </row>
    <row r="40" spans="2:108" ht="38.25" customHeight="1" thickBot="1" x14ac:dyDescent="0.35">
      <c r="G40" s="890"/>
      <c r="H40" s="827" t="s">
        <v>183</v>
      </c>
      <c r="I40" s="814">
        <v>62</v>
      </c>
      <c r="J40" s="825" t="s">
        <v>184</v>
      </c>
      <c r="K40" s="893"/>
      <c r="L40" s="893"/>
      <c r="M40" s="893"/>
      <c r="N40" s="22"/>
      <c r="O40" s="883"/>
      <c r="BL40" s="27"/>
      <c r="BM40" s="961" t="s">
        <v>25</v>
      </c>
      <c r="BN40" s="1034">
        <f>+C7</f>
        <v>68.400000000000006</v>
      </c>
      <c r="BO40" s="1034"/>
      <c r="BP40" s="139" t="s">
        <v>17</v>
      </c>
      <c r="BQ40" s="139"/>
      <c r="BR40" s="962" t="s">
        <v>163</v>
      </c>
      <c r="BS40" s="963"/>
      <c r="BT40" s="963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37"/>
      <c r="DC40" s="37"/>
      <c r="DD40" s="37"/>
    </row>
    <row r="41" spans="2:108" ht="40.5" customHeight="1" thickBot="1" x14ac:dyDescent="0.25">
      <c r="B41"/>
      <c r="C41"/>
      <c r="G41" s="890"/>
      <c r="H41" s="828" t="s">
        <v>185</v>
      </c>
      <c r="I41" s="22"/>
      <c r="J41" s="816" t="s">
        <v>169</v>
      </c>
      <c r="K41" s="816" t="s">
        <v>170</v>
      </c>
      <c r="L41" s="817" t="s">
        <v>186</v>
      </c>
      <c r="M41" s="887"/>
      <c r="N41" s="22"/>
      <c r="O41" s="883"/>
      <c r="BJ41" s="105" t="b">
        <f>AND(BN42&gt;0,CR42&gt;0)</f>
        <v>1</v>
      </c>
      <c r="BK41" s="43" t="str">
        <f>IF(BJ41=TRUE,"","negative force at the motor")</f>
        <v/>
      </c>
      <c r="BL41" s="876" t="s">
        <v>110</v>
      </c>
      <c r="BM41" s="439" t="s">
        <v>27</v>
      </c>
      <c r="BN41" s="760" t="s">
        <v>28</v>
      </c>
      <c r="BO41" s="761"/>
      <c r="BP41" s="762"/>
      <c r="BQ41" s="762"/>
      <c r="BR41" s="762"/>
      <c r="BS41" s="762"/>
      <c r="BT41" s="762"/>
      <c r="BU41" s="762"/>
      <c r="BV41" s="762"/>
      <c r="BW41" s="762"/>
      <c r="BX41" s="762"/>
      <c r="BY41" s="762"/>
      <c r="BZ41" s="762"/>
      <c r="CA41" s="762"/>
      <c r="CB41" s="762"/>
      <c r="CC41" s="762"/>
      <c r="CD41" s="762"/>
      <c r="CE41" s="762"/>
      <c r="CF41" s="763"/>
      <c r="CG41" s="764"/>
      <c r="CH41" s="765"/>
      <c r="CI41" s="765"/>
      <c r="CJ41" s="765"/>
      <c r="CK41" s="765"/>
      <c r="CL41" s="765"/>
      <c r="CM41" s="765"/>
      <c r="CN41" s="765"/>
      <c r="CO41" s="765"/>
      <c r="CP41" s="765"/>
      <c r="CQ41" s="761"/>
      <c r="CR41" s="766" t="s">
        <v>29</v>
      </c>
      <c r="CS41" s="529"/>
      <c r="CT41" s="529"/>
      <c r="CU41" s="529"/>
      <c r="CV41" s="529"/>
      <c r="CW41" s="529"/>
      <c r="CX41" s="529"/>
      <c r="CY41" s="529"/>
      <c r="CZ41" s="529"/>
      <c r="DA41" s="529"/>
      <c r="DB41" s="530"/>
    </row>
    <row r="42" spans="2:108" ht="40.5" customHeight="1" thickBot="1" x14ac:dyDescent="0.35">
      <c r="B42"/>
      <c r="C42"/>
      <c r="G42" s="951" t="s">
        <v>187</v>
      </c>
      <c r="H42" s="948">
        <f>SUM(BN126:BY126)</f>
        <v>10</v>
      </c>
      <c r="I42" s="22"/>
      <c r="J42" s="818">
        <f>+H43/H8*BN40/2</f>
        <v>51.300000000000004</v>
      </c>
      <c r="K42" s="818">
        <f>((H8-H43)/H8)*BN40/2</f>
        <v>-17.100000000000001</v>
      </c>
      <c r="L42" s="818">
        <f>+BN40/2</f>
        <v>34.200000000000003</v>
      </c>
      <c r="M42" s="816" t="s">
        <v>172</v>
      </c>
      <c r="N42" s="22"/>
      <c r="O42" s="883"/>
      <c r="BI42" s="746">
        <v>1</v>
      </c>
      <c r="BJ42" s="958" t="b">
        <f>AND(BL42&gt;=10,$AZ$142&gt;=10,$BA$142&gt;=10,$AZ$163&gt;=10,$BA$163&gt;=10)</f>
        <v>1</v>
      </c>
      <c r="BK42" s="45" t="str">
        <f>IF(BJ42=TRUE,"O K","OVERLOAD")</f>
        <v>O K</v>
      </c>
      <c r="BL42" s="870">
        <f>+MIN(J7:L8)</f>
        <v>82.567871183740522</v>
      </c>
      <c r="BM42" s="440" t="s">
        <v>112</v>
      </c>
      <c r="BN42" s="767">
        <f>+((D4-D5)/D4)*C7</f>
        <v>23.415080292321381</v>
      </c>
      <c r="BO42" s="768"/>
      <c r="BP42" s="769"/>
      <c r="BQ42" s="769"/>
      <c r="BR42" s="769"/>
      <c r="BS42" s="770"/>
      <c r="BT42" s="770"/>
      <c r="BU42" s="770"/>
      <c r="BV42" s="771"/>
      <c r="BW42" s="771"/>
      <c r="BX42" s="771"/>
      <c r="BY42" s="771"/>
      <c r="BZ42" s="771"/>
      <c r="CA42" s="771"/>
      <c r="CB42" s="771"/>
      <c r="CC42" s="771"/>
      <c r="CD42" s="771"/>
      <c r="CE42" s="771"/>
      <c r="CF42" s="772"/>
      <c r="CG42" s="769"/>
      <c r="CH42" s="769"/>
      <c r="CI42" s="769"/>
      <c r="CJ42" s="770"/>
      <c r="CK42" s="770"/>
      <c r="CL42" s="770"/>
      <c r="CM42" s="770"/>
      <c r="CN42" s="770"/>
      <c r="CO42" s="770"/>
      <c r="CP42" s="770"/>
      <c r="CQ42" s="773"/>
      <c r="CR42" s="774">
        <f>+(D5/D4)*C7</f>
        <v>44.984919707678621</v>
      </c>
      <c r="CS42" s="531"/>
      <c r="CT42" s="531"/>
      <c r="CU42" s="531"/>
      <c r="CV42" s="531"/>
      <c r="CW42" s="531"/>
      <c r="CX42" s="531"/>
      <c r="CY42" s="531"/>
      <c r="CZ42" s="531"/>
      <c r="DA42" s="531"/>
      <c r="DB42" s="532"/>
    </row>
    <row r="43" spans="2:108" ht="17.25" customHeight="1" thickBot="1" x14ac:dyDescent="0.35">
      <c r="B43"/>
      <c r="C43"/>
      <c r="G43" s="813" t="s">
        <v>215</v>
      </c>
      <c r="H43" s="819">
        <f>$H$5-((H42-1)*$E$2)</f>
        <v>252</v>
      </c>
      <c r="I43" s="22"/>
      <c r="J43" s="820">
        <f>ABS($H$1/J42)</f>
        <v>113.06042884990252</v>
      </c>
      <c r="K43" s="820">
        <f>ABS($H$1/K42)</f>
        <v>339.18128654970758</v>
      </c>
      <c r="L43" s="820">
        <f>ABS($H$1/L42)</f>
        <v>169.59064327485379</v>
      </c>
      <c r="M43" s="821" t="s">
        <v>173</v>
      </c>
      <c r="N43" s="22"/>
      <c r="O43" s="883"/>
      <c r="BK43" s="47"/>
      <c r="BL43" s="46"/>
      <c r="BM43" s="48"/>
      <c r="BN43" s="49"/>
      <c r="BO43" s="49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  <c r="CD43" s="48"/>
      <c r="CE43" s="48"/>
      <c r="CG43" s="38"/>
      <c r="CH43" s="38"/>
      <c r="CI43" s="49"/>
      <c r="CJ43" s="50"/>
      <c r="CK43" s="50"/>
      <c r="CL43" s="50"/>
      <c r="CM43" s="50"/>
      <c r="CN43" s="50"/>
      <c r="CO43" s="50"/>
      <c r="CP43" s="50"/>
      <c r="CQ43" s="50"/>
      <c r="CR43" s="50"/>
      <c r="CS43" s="50"/>
      <c r="CT43" s="50"/>
      <c r="CU43" s="50"/>
      <c r="CV43" s="50"/>
      <c r="CW43" s="50"/>
      <c r="CX43" s="50"/>
      <c r="CY43" s="50"/>
      <c r="CZ43" s="40"/>
      <c r="DA43" s="40"/>
      <c r="DB43" s="40"/>
    </row>
    <row r="44" spans="2:108" ht="40.5" customHeight="1" thickBot="1" x14ac:dyDescent="0.25">
      <c r="B44"/>
      <c r="C44"/>
      <c r="G44" s="950"/>
      <c r="H44" s="368"/>
      <c r="I44" s="22"/>
      <c r="J44" s="944"/>
      <c r="K44" s="944"/>
      <c r="L44" s="944">
        <f>ABS($E$50/BN40)*2</f>
        <v>125.73099415204678</v>
      </c>
      <c r="M44" s="942" t="s">
        <v>226</v>
      </c>
      <c r="N44" s="946" t="s">
        <v>229</v>
      </c>
      <c r="O44" s="883"/>
      <c r="BJ44" s="105" t="b">
        <f>AND(BY45&gt;0,DB45&gt;0)</f>
        <v>1</v>
      </c>
      <c r="BK44" s="43" t="str">
        <f>IF(BJ44=TRUE,"","negative force at the motor")</f>
        <v/>
      </c>
      <c r="BL44" s="876" t="s">
        <v>110</v>
      </c>
      <c r="BM44" s="441" t="s">
        <v>27</v>
      </c>
      <c r="BN44" s="598"/>
      <c r="BO44" s="593"/>
      <c r="BP44" s="593"/>
      <c r="BQ44" s="593"/>
      <c r="BR44" s="593"/>
      <c r="BS44" s="593"/>
      <c r="BT44" s="593"/>
      <c r="BU44" s="593"/>
      <c r="BV44" s="593"/>
      <c r="BW44" s="593"/>
      <c r="BX44" s="593"/>
      <c r="BY44" s="455" t="s">
        <v>28</v>
      </c>
      <c r="BZ44" s="456"/>
      <c r="CA44" s="750"/>
      <c r="CB44" s="750"/>
      <c r="CC44" s="750"/>
      <c r="CD44" s="750"/>
      <c r="CE44" s="750"/>
      <c r="CF44" s="750"/>
      <c r="CG44" s="750"/>
      <c r="CH44" s="750"/>
      <c r="CI44" s="750"/>
      <c r="CJ44" s="750"/>
      <c r="CK44" s="751"/>
      <c r="CL44" s="752"/>
      <c r="CM44" s="752"/>
      <c r="CN44" s="752"/>
      <c r="CO44" s="752"/>
      <c r="CP44" s="753"/>
      <c r="CQ44" s="753"/>
      <c r="CR44" s="751"/>
      <c r="CS44" s="751"/>
      <c r="CT44" s="751"/>
      <c r="CU44" s="751"/>
      <c r="CV44" s="751"/>
      <c r="CW44" s="753"/>
      <c r="CX44" s="753"/>
      <c r="CY44" s="751"/>
      <c r="CZ44" s="752"/>
      <c r="DA44" s="453"/>
      <c r="DB44" s="454" t="s">
        <v>29</v>
      </c>
    </row>
    <row r="45" spans="2:108" ht="40.5" customHeight="1" thickBot="1" x14ac:dyDescent="0.35">
      <c r="B45"/>
      <c r="C45"/>
      <c r="G45" s="890"/>
      <c r="H45" s="830" t="s">
        <v>188</v>
      </c>
      <c r="I45" s="22"/>
      <c r="J45" s="22"/>
      <c r="K45" s="22"/>
      <c r="L45" s="22"/>
      <c r="M45" s="22"/>
      <c r="N45" s="22"/>
      <c r="O45" s="883"/>
      <c r="BI45" s="746">
        <v>2</v>
      </c>
      <c r="BJ45" s="958" t="b">
        <f>AND(BL45&gt;=10,$AZ$142&gt;=10,$BA$142&gt;=10,$AZ$163&gt;=10,$BA$163&gt;=10)</f>
        <v>1</v>
      </c>
      <c r="BK45" s="45" t="str">
        <f>IF(BJ45=TRUE,"O K","OVERLOAD")</f>
        <v>O K</v>
      </c>
      <c r="BL45" s="870">
        <f>+MIN(J13:L14)</f>
        <v>85.510012469760895</v>
      </c>
      <c r="BM45" s="442" t="s">
        <v>113</v>
      </c>
      <c r="BN45" s="599"/>
      <c r="BO45" s="596"/>
      <c r="BP45" s="596"/>
      <c r="BQ45" s="596"/>
      <c r="BR45" s="596"/>
      <c r="BS45" s="596"/>
      <c r="BT45" s="596"/>
      <c r="BU45" s="596"/>
      <c r="BV45" s="596"/>
      <c r="BW45" s="596"/>
      <c r="BX45" s="596"/>
      <c r="BY45" s="742">
        <f>+((D4-D3)/D4)*C7</f>
        <v>50.286508863749951</v>
      </c>
      <c r="BZ45" s="743"/>
      <c r="CA45" s="754"/>
      <c r="CB45" s="754"/>
      <c r="CC45" s="754"/>
      <c r="CD45" s="754"/>
      <c r="CE45" s="754"/>
      <c r="CF45" s="754"/>
      <c r="CG45" s="754"/>
      <c r="CH45" s="754"/>
      <c r="CI45" s="754"/>
      <c r="CJ45" s="754"/>
      <c r="CK45" s="755"/>
      <c r="CL45" s="756"/>
      <c r="CM45" s="756"/>
      <c r="CN45" s="756"/>
      <c r="CO45" s="756"/>
      <c r="CP45" s="757"/>
      <c r="CQ45" s="757"/>
      <c r="CR45" s="758"/>
      <c r="CS45" s="758"/>
      <c r="CT45" s="758"/>
      <c r="CU45" s="758"/>
      <c r="CV45" s="758"/>
      <c r="CW45" s="757"/>
      <c r="CX45" s="757"/>
      <c r="CY45" s="758"/>
      <c r="CZ45" s="759"/>
      <c r="DA45" s="757"/>
      <c r="DB45" s="741">
        <f>+(D3/D4)*C7</f>
        <v>18.113491136250047</v>
      </c>
    </row>
    <row r="46" spans="2:108" ht="17.25" customHeight="1" thickBot="1" x14ac:dyDescent="0.35">
      <c r="B46"/>
      <c r="C46"/>
      <c r="G46" s="895"/>
      <c r="H46" s="831" t="s">
        <v>185</v>
      </c>
      <c r="I46" s="814">
        <v>63</v>
      </c>
      <c r="J46" s="825" t="s">
        <v>189</v>
      </c>
      <c r="K46" s="893"/>
      <c r="L46" s="893"/>
      <c r="M46" s="893"/>
      <c r="N46" s="22"/>
      <c r="O46" s="883"/>
      <c r="BK46" s="47"/>
      <c r="BL46" s="5"/>
      <c r="BM46" s="53"/>
      <c r="BN46" s="53"/>
      <c r="BO46" s="53"/>
      <c r="BP46" s="53"/>
      <c r="BQ46" s="53"/>
      <c r="BR46" s="53"/>
      <c r="BS46" s="53"/>
      <c r="BT46" s="53"/>
      <c r="BU46" s="53"/>
      <c r="BV46" s="54"/>
      <c r="BW46" s="54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17"/>
      <c r="CL46" s="55"/>
      <c r="CM46" s="55"/>
      <c r="CN46" s="55"/>
      <c r="CO46" s="55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40"/>
      <c r="DA46" s="40"/>
      <c r="DB46" s="40"/>
    </row>
    <row r="47" spans="2:108" ht="40.5" customHeight="1" thickBot="1" x14ac:dyDescent="0.3">
      <c r="B47"/>
      <c r="C47"/>
      <c r="G47" s="951" t="s">
        <v>187</v>
      </c>
      <c r="H47" s="949">
        <f>SUM(CQ126:DB126)</f>
        <v>0</v>
      </c>
      <c r="I47" s="22"/>
      <c r="J47" s="817" t="s">
        <v>190</v>
      </c>
      <c r="K47" s="816" t="s">
        <v>177</v>
      </c>
      <c r="L47" s="816" t="s">
        <v>178</v>
      </c>
      <c r="M47" s="887"/>
      <c r="N47" s="22"/>
      <c r="O47" s="883"/>
      <c r="BJ47" s="105" t="b">
        <f>AND(BY48&gt;0,CR48&gt;0)</f>
        <v>1</v>
      </c>
      <c r="BK47" s="43" t="str">
        <f>IF(BJ47=TRUE,"","negative force at the motor")</f>
        <v/>
      </c>
      <c r="BL47" s="876" t="s">
        <v>110</v>
      </c>
      <c r="BM47" s="443" t="s">
        <v>27</v>
      </c>
      <c r="BN47" s="598"/>
      <c r="BO47" s="593"/>
      <c r="BP47" s="593"/>
      <c r="BQ47" s="593"/>
      <c r="BR47" s="593"/>
      <c r="BS47" s="593"/>
      <c r="BT47" s="593"/>
      <c r="BU47" s="593"/>
      <c r="BV47" s="593"/>
      <c r="BW47" s="593"/>
      <c r="BX47" s="593"/>
      <c r="BY47" s="503" t="s">
        <v>28</v>
      </c>
      <c r="BZ47" s="504"/>
      <c r="CA47" s="506"/>
      <c r="CB47" s="506"/>
      <c r="CC47" s="506"/>
      <c r="CD47" s="506"/>
      <c r="CE47" s="506"/>
      <c r="CF47" s="507"/>
      <c r="CG47" s="508"/>
      <c r="CH47" s="509"/>
      <c r="CI47" s="509"/>
      <c r="CJ47" s="508"/>
      <c r="CK47" s="508"/>
      <c r="CL47" s="508"/>
      <c r="CM47" s="509"/>
      <c r="CN47" s="509"/>
      <c r="CO47" s="509"/>
      <c r="CP47" s="509"/>
      <c r="CQ47" s="504"/>
      <c r="CR47" s="505" t="s">
        <v>29</v>
      </c>
      <c r="CS47" s="592"/>
      <c r="CT47" s="593"/>
      <c r="CU47" s="593"/>
      <c r="CV47" s="593"/>
      <c r="CW47" s="593"/>
      <c r="CX47" s="593"/>
      <c r="CY47" s="593"/>
      <c r="CZ47" s="593"/>
      <c r="DA47" s="593"/>
      <c r="DB47" s="594"/>
    </row>
    <row r="48" spans="2:108" ht="40.5" customHeight="1" thickBot="1" x14ac:dyDescent="0.35">
      <c r="B48"/>
      <c r="C48"/>
      <c r="G48" s="813" t="s">
        <v>216</v>
      </c>
      <c r="H48" s="819">
        <f>($E$2*(H47-1))-$H$4</f>
        <v>-644</v>
      </c>
      <c r="I48" s="22"/>
      <c r="J48" s="818">
        <f>+BN40/2</f>
        <v>34.200000000000003</v>
      </c>
      <c r="K48" s="818">
        <f>((H8-H48)/H8)*BN40/2</f>
        <v>165.3</v>
      </c>
      <c r="L48" s="818">
        <f>+H48/H8*BN40/2</f>
        <v>-131.10000000000002</v>
      </c>
      <c r="M48" s="816" t="s">
        <v>172</v>
      </c>
      <c r="N48" s="22"/>
      <c r="O48" s="883"/>
      <c r="BI48" s="746">
        <v>3</v>
      </c>
      <c r="BJ48" s="958" t="b">
        <f>AND(BL48&gt;=10,$AZ$142&gt;=10,$BA$142&gt;=10,$AZ$163&gt;=10,$BA$163&gt;=10)</f>
        <v>1</v>
      </c>
      <c r="BK48" s="45" t="str">
        <f>IF(BJ48=TRUE,"O K","OVERLOAD")</f>
        <v>O K</v>
      </c>
      <c r="BL48" s="957">
        <f>+$E$50/(MAX(BY48,CR48))</f>
        <v>103.10159790077768</v>
      </c>
      <c r="BM48" s="444" t="s">
        <v>114</v>
      </c>
      <c r="BN48" s="599"/>
      <c r="BO48" s="596"/>
      <c r="BP48" s="596"/>
      <c r="BQ48" s="596"/>
      <c r="BR48" s="596"/>
      <c r="BS48" s="596"/>
      <c r="BT48" s="596"/>
      <c r="BU48" s="596"/>
      <c r="BV48" s="596"/>
      <c r="BW48" s="596"/>
      <c r="BX48" s="596"/>
      <c r="BY48" s="680">
        <f>+((D2-D3)/D2)*C7</f>
        <v>41.706434114999936</v>
      </c>
      <c r="BZ48" s="681"/>
      <c r="CA48" s="510"/>
      <c r="CB48" s="510"/>
      <c r="CC48" s="510"/>
      <c r="CD48" s="510"/>
      <c r="CE48" s="510"/>
      <c r="CF48" s="511"/>
      <c r="CG48" s="512"/>
      <c r="CH48" s="513"/>
      <c r="CI48" s="513"/>
      <c r="CJ48" s="514"/>
      <c r="CK48" s="514"/>
      <c r="CL48" s="514"/>
      <c r="CM48" s="513"/>
      <c r="CN48" s="513"/>
      <c r="CO48" s="513"/>
      <c r="CP48" s="513"/>
      <c r="CQ48" s="513"/>
      <c r="CR48" s="682">
        <f>+(D3/D2)*C7</f>
        <v>26.693565885000069</v>
      </c>
      <c r="CS48" s="595"/>
      <c r="CT48" s="596"/>
      <c r="CU48" s="596"/>
      <c r="CV48" s="596"/>
      <c r="CW48" s="596"/>
      <c r="CX48" s="596"/>
      <c r="CY48" s="596"/>
      <c r="CZ48" s="596"/>
      <c r="DA48" s="596"/>
      <c r="DB48" s="597"/>
    </row>
    <row r="49" spans="2:106" ht="26.25" hidden="1" customHeight="1" x14ac:dyDescent="0.3">
      <c r="B49"/>
      <c r="C49"/>
      <c r="G49" s="890"/>
      <c r="H49" s="22"/>
      <c r="I49" s="22"/>
      <c r="J49" s="820">
        <f>ABS($H$1/J48)</f>
        <v>169.59064327485379</v>
      </c>
      <c r="K49" s="820">
        <f>ABS($H$1/K48)</f>
        <v>35.087719298245609</v>
      </c>
      <c r="L49" s="820">
        <f>ABS($H$1/L48)</f>
        <v>44.241037376048808</v>
      </c>
      <c r="M49" s="821" t="s">
        <v>173</v>
      </c>
      <c r="O49" s="832"/>
      <c r="BK49" s="47"/>
      <c r="BL49" s="5"/>
      <c r="BM49" s="53"/>
      <c r="BN49" s="53"/>
      <c r="BO49" s="53"/>
      <c r="BP49" s="53"/>
      <c r="BQ49" s="53"/>
      <c r="BR49" s="53"/>
      <c r="BS49" s="53"/>
      <c r="BT49" s="53"/>
      <c r="BU49" s="53"/>
      <c r="BV49" s="54"/>
      <c r="BW49" s="54"/>
      <c r="BX49" s="50"/>
      <c r="BY49" s="50"/>
      <c r="BZ49" s="50"/>
      <c r="CA49" s="50"/>
      <c r="CB49" s="50"/>
      <c r="CC49" s="50"/>
      <c r="CD49" s="50"/>
      <c r="CE49" s="50"/>
      <c r="CF49" s="50"/>
      <c r="CG49" s="50"/>
      <c r="CH49" s="53"/>
      <c r="CI49" s="50"/>
      <c r="CJ49" s="50"/>
      <c r="CK49" s="17"/>
      <c r="CL49" s="55"/>
      <c r="CM49" s="55"/>
      <c r="CN49" s="55"/>
      <c r="CO49" s="55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40"/>
      <c r="DA49" s="40"/>
      <c r="DB49" s="40"/>
    </row>
    <row r="50" spans="2:106" ht="27.75" hidden="1" customHeight="1" thickBot="1" x14ac:dyDescent="0.35">
      <c r="B50" s="523" t="s">
        <v>117</v>
      </c>
      <c r="C50" s="525">
        <v>4300</v>
      </c>
      <c r="D50" s="525">
        <v>4000</v>
      </c>
      <c r="E50" s="945">
        <v>4300</v>
      </c>
      <c r="G50" s="890"/>
      <c r="H50" s="22"/>
      <c r="I50" s="22"/>
      <c r="J50" s="944">
        <f>ABS($E$50/BN40)*2</f>
        <v>125.73099415204678</v>
      </c>
      <c r="K50" s="944"/>
      <c r="L50" s="944"/>
      <c r="M50" s="942" t="s">
        <v>226</v>
      </c>
      <c r="N50" s="946" t="s">
        <v>229</v>
      </c>
      <c r="O50" s="883"/>
      <c r="BK50" s="47"/>
    </row>
    <row r="51" spans="2:106" ht="27.75" hidden="1" customHeight="1" thickBot="1" x14ac:dyDescent="0.35">
      <c r="B51" s="683"/>
      <c r="C51" s="683" t="s">
        <v>20</v>
      </c>
      <c r="D51" s="683" t="s">
        <v>21</v>
      </c>
      <c r="G51" s="890"/>
      <c r="H51" s="22"/>
      <c r="I51" s="22"/>
      <c r="J51" s="22"/>
      <c r="K51" s="22"/>
      <c r="L51" s="22"/>
      <c r="M51" s="22"/>
      <c r="N51" s="22"/>
      <c r="O51" s="883"/>
      <c r="BK51" s="47"/>
      <c r="CP51" s="60" t="b">
        <f>IF(CQ72=30,18)</f>
        <v>0</v>
      </c>
      <c r="CR51" s="60" t="b">
        <f>IF(CQ72=30,20)</f>
        <v>0</v>
      </c>
    </row>
    <row r="52" spans="2:106" ht="27.75" hidden="1" customHeight="1" thickBot="1" x14ac:dyDescent="0.35">
      <c r="B52" s="684" t="s">
        <v>56</v>
      </c>
      <c r="C52" s="683">
        <f>+((C8-C9)/C8)*C7</f>
        <v>41.468487642059706</v>
      </c>
      <c r="D52" s="683">
        <f>+(C9/C8)*C7</f>
        <v>26.931512357940296</v>
      </c>
      <c r="G52" s="890"/>
      <c r="H52" s="22"/>
      <c r="I52" s="814">
        <v>64</v>
      </c>
      <c r="J52" s="825" t="s">
        <v>191</v>
      </c>
      <c r="K52" s="893"/>
      <c r="L52" s="893"/>
      <c r="M52" s="893"/>
      <c r="N52" s="22"/>
      <c r="O52" s="883"/>
      <c r="BK52" s="47"/>
      <c r="BL52" s="4"/>
      <c r="BM52" s="100"/>
      <c r="BN52" s="101"/>
      <c r="BO52" s="101"/>
      <c r="BP52" s="101"/>
      <c r="BQ52" s="101"/>
      <c r="BR52" s="101"/>
      <c r="BS52" s="101"/>
      <c r="BT52" s="101"/>
      <c r="BU52" s="101"/>
      <c r="BV52" s="102"/>
      <c r="BW52" s="102"/>
      <c r="BX52" s="103"/>
      <c r="BY52" s="103"/>
      <c r="BZ52" s="103"/>
      <c r="CA52" s="103"/>
      <c r="CB52" s="103"/>
      <c r="CC52" s="103"/>
      <c r="CD52" s="103"/>
      <c r="CE52" s="103"/>
      <c r="CF52" s="17"/>
      <c r="CG52" s="50"/>
      <c r="CH52" s="104"/>
      <c r="CI52" s="104"/>
      <c r="CJ52" s="50"/>
      <c r="CK52" s="50"/>
      <c r="CL52" s="50"/>
      <c r="CM52" s="50"/>
      <c r="CN52" s="60" t="b">
        <f>IF(CP72=29,16)</f>
        <v>0</v>
      </c>
      <c r="CO52" s="50"/>
      <c r="CP52" s="50"/>
      <c r="CQ52" s="50"/>
      <c r="CR52" s="60" t="b">
        <f>IF(CP72=29,20)</f>
        <v>0</v>
      </c>
      <c r="CS52" s="50"/>
      <c r="CT52" s="101"/>
      <c r="CU52" s="101"/>
      <c r="CV52" s="101"/>
      <c r="CW52" s="101"/>
      <c r="CX52" s="101"/>
      <c r="CY52" s="101"/>
      <c r="CZ52" s="101"/>
      <c r="DA52" s="101"/>
      <c r="DB52" s="101"/>
    </row>
    <row r="53" spans="2:106" ht="29" hidden="1" thickBot="1" x14ac:dyDescent="0.35">
      <c r="G53" s="951" t="s">
        <v>187</v>
      </c>
      <c r="H53" s="952" t="s">
        <v>217</v>
      </c>
      <c r="I53" s="22"/>
      <c r="J53" s="817" t="s">
        <v>190</v>
      </c>
      <c r="K53" s="816"/>
      <c r="L53" s="817" t="s">
        <v>186</v>
      </c>
      <c r="M53" s="887"/>
      <c r="N53" s="22"/>
      <c r="O53" s="883"/>
      <c r="BK53" s="47"/>
      <c r="BL53" s="4"/>
      <c r="BM53" s="100"/>
      <c r="BN53" s="101"/>
      <c r="BO53" s="101"/>
      <c r="BP53" s="101"/>
      <c r="BQ53" s="101"/>
      <c r="BR53" s="101"/>
      <c r="BS53" s="101"/>
      <c r="BT53" s="101"/>
      <c r="BU53" s="101"/>
      <c r="BV53" s="102"/>
      <c r="BW53" s="102"/>
      <c r="BX53" s="103"/>
      <c r="BY53" s="103"/>
      <c r="BZ53" s="103"/>
      <c r="CA53" s="103"/>
      <c r="CB53" s="103"/>
      <c r="CC53" s="103"/>
      <c r="CD53" s="103"/>
      <c r="CE53" s="103"/>
      <c r="CF53" s="17"/>
      <c r="CG53" s="50"/>
      <c r="CH53" s="104"/>
      <c r="CI53" s="104"/>
      <c r="CJ53" s="50"/>
      <c r="CK53" s="50"/>
      <c r="CL53" s="60" t="b">
        <f>IF(CO72=28,14)</f>
        <v>0</v>
      </c>
      <c r="CM53" s="50"/>
      <c r="CN53" s="50"/>
      <c r="CO53" s="50"/>
      <c r="CP53" s="50"/>
      <c r="CQ53" s="50"/>
      <c r="CR53" s="60" t="b">
        <f>IF(CO72=28,20)</f>
        <v>0</v>
      </c>
      <c r="CS53" s="50"/>
      <c r="CT53" s="101"/>
      <c r="CU53" s="101"/>
      <c r="CV53" s="101"/>
      <c r="CW53" s="101"/>
      <c r="CX53" s="101"/>
      <c r="CY53" s="101"/>
      <c r="CZ53" s="101"/>
      <c r="DA53" s="101"/>
      <c r="DB53" s="101"/>
    </row>
    <row r="54" spans="2:106" ht="29" hidden="1" thickBot="1" x14ac:dyDescent="0.35">
      <c r="E54" s="291"/>
      <c r="F54" s="291"/>
      <c r="G54" s="813"/>
      <c r="H54" s="819"/>
      <c r="I54" s="22"/>
      <c r="J54" s="818">
        <f>+((H6-D3)/H6)*BN40</f>
        <v>36.701390511562423</v>
      </c>
      <c r="K54" s="818"/>
      <c r="L54" s="818">
        <f>+(D3/H6)*BN40</f>
        <v>31.698609488437583</v>
      </c>
      <c r="M54" s="816" t="s">
        <v>172</v>
      </c>
      <c r="N54" s="22"/>
      <c r="O54" s="883"/>
      <c r="BK54" s="47"/>
      <c r="BL54" s="4"/>
      <c r="BM54" s="100"/>
      <c r="BN54" s="101"/>
      <c r="BO54" s="101"/>
      <c r="BP54" s="101"/>
      <c r="BQ54" s="101"/>
      <c r="BR54" s="101"/>
      <c r="BS54" s="101"/>
      <c r="BT54" s="101"/>
      <c r="BU54" s="101"/>
      <c r="BV54" s="102"/>
      <c r="BW54" s="102"/>
      <c r="BX54" s="105">
        <v>16</v>
      </c>
      <c r="BY54" s="103"/>
      <c r="BZ54" s="103"/>
      <c r="CA54" s="103"/>
      <c r="CB54" s="103"/>
      <c r="CC54" s="103"/>
      <c r="CD54" s="103"/>
      <c r="CE54" s="103"/>
      <c r="CF54" s="17"/>
      <c r="CG54" s="50"/>
      <c r="CH54" s="104"/>
      <c r="CI54" s="104"/>
      <c r="CJ54" s="68" t="b">
        <f>IF(CN72=27,12)</f>
        <v>0</v>
      </c>
      <c r="CK54" s="50"/>
      <c r="CL54" s="50"/>
      <c r="CN54" s="106"/>
      <c r="CP54" s="50"/>
      <c r="CQ54" s="50"/>
      <c r="CR54" s="60" t="b">
        <f>IF(CN72=27,20)</f>
        <v>0</v>
      </c>
      <c r="CS54" s="50"/>
      <c r="CT54" s="101"/>
      <c r="CU54" s="101"/>
      <c r="CV54" s="101"/>
      <c r="CW54" s="101"/>
      <c r="CX54" s="101"/>
      <c r="CY54" s="101"/>
      <c r="CZ54" s="101"/>
      <c r="DA54" s="101"/>
      <c r="DB54" s="101"/>
    </row>
    <row r="55" spans="2:106" ht="29" hidden="1" thickBot="1" x14ac:dyDescent="0.35">
      <c r="E55" s="291"/>
      <c r="F55" s="291"/>
      <c r="G55" s="950"/>
      <c r="H55" s="368"/>
      <c r="I55" s="22"/>
      <c r="J55" s="820">
        <f>ABS($H$1/J54)</f>
        <v>158.03215952193324</v>
      </c>
      <c r="K55" s="820"/>
      <c r="L55" s="820">
        <f>ABS($H$1/L54)</f>
        <v>182.97332575788897</v>
      </c>
      <c r="M55" s="821" t="s">
        <v>173</v>
      </c>
      <c r="N55" s="22"/>
      <c r="O55" s="883"/>
      <c r="BE55" s="37"/>
      <c r="BF55" s="37"/>
      <c r="BG55" s="37"/>
      <c r="BH55" s="37"/>
      <c r="BK55" s="47"/>
      <c r="BL55" s="4"/>
      <c r="BM55" s="100"/>
      <c r="BN55" s="101"/>
      <c r="BO55" s="101"/>
      <c r="BP55" s="101"/>
      <c r="BQ55" s="101"/>
      <c r="BR55" s="101"/>
      <c r="BS55" s="101"/>
      <c r="BT55" s="101"/>
      <c r="BU55" s="101"/>
      <c r="BV55" s="102"/>
      <c r="BW55" s="102"/>
      <c r="BX55" s="105">
        <v>15</v>
      </c>
      <c r="BY55" s="103"/>
      <c r="BZ55" s="103"/>
      <c r="CA55" s="103"/>
      <c r="CB55" s="103"/>
      <c r="CC55" s="103"/>
      <c r="CD55" s="103"/>
      <c r="CE55" s="103"/>
      <c r="CF55" s="17"/>
      <c r="CG55" s="50"/>
      <c r="CH55" s="68" t="b">
        <f>IF(CM72=26,10)</f>
        <v>0</v>
      </c>
      <c r="CI55" s="104"/>
      <c r="CJ55" s="50"/>
      <c r="CL55" s="106"/>
      <c r="CM55" s="106"/>
      <c r="CN55" s="106"/>
      <c r="CP55" s="50"/>
      <c r="CQ55" s="50"/>
      <c r="CR55" s="60" t="b">
        <f>IF(CM72=26,20)</f>
        <v>0</v>
      </c>
      <c r="CS55" s="50"/>
      <c r="CT55" s="101"/>
      <c r="CU55" s="101"/>
      <c r="CV55" s="101"/>
      <c r="CW55" s="101"/>
      <c r="CX55" s="101"/>
      <c r="CY55" s="101"/>
      <c r="CZ55" s="101"/>
      <c r="DA55" s="101"/>
      <c r="DB55" s="101"/>
    </row>
    <row r="56" spans="2:106" ht="44.25" hidden="1" customHeight="1" thickBot="1" x14ac:dyDescent="0.35">
      <c r="E56" s="291"/>
      <c r="F56" s="291"/>
      <c r="G56" s="950"/>
      <c r="H56" s="368"/>
      <c r="I56" s="855"/>
      <c r="J56" s="944">
        <f>ABS($E$50/BN40)*2</f>
        <v>125.73099415204678</v>
      </c>
      <c r="K56" s="944"/>
      <c r="L56" s="944"/>
      <c r="M56" s="942" t="s">
        <v>226</v>
      </c>
      <c r="N56" s="946" t="s">
        <v>229</v>
      </c>
      <c r="O56" s="883"/>
      <c r="U56" s="67"/>
      <c r="AB56" s="67"/>
      <c r="AC56" s="67"/>
      <c r="AD56" s="67"/>
      <c r="AE56" s="67"/>
      <c r="BE56" s="46"/>
      <c r="BF56" s="46"/>
      <c r="BG56" s="46"/>
      <c r="BH56" s="46"/>
      <c r="BK56" s="47"/>
      <c r="BL56" s="4"/>
      <c r="BM56" s="100"/>
      <c r="BN56" s="101"/>
      <c r="BO56" s="101"/>
      <c r="BP56" s="101"/>
      <c r="BQ56" s="101"/>
      <c r="BR56" s="101"/>
      <c r="BS56" s="101"/>
      <c r="BT56" s="101"/>
      <c r="BU56" s="101"/>
      <c r="BV56" s="102"/>
      <c r="BW56" s="102"/>
      <c r="BX56" s="105">
        <v>14</v>
      </c>
      <c r="BY56" s="103"/>
      <c r="BZ56" s="103"/>
      <c r="CA56" s="103"/>
      <c r="CB56" s="103"/>
      <c r="CC56" s="103"/>
      <c r="CD56" s="103"/>
      <c r="CE56" s="103"/>
      <c r="CF56" s="68" t="b">
        <f>IF(CL72=25,8)</f>
        <v>0</v>
      </c>
      <c r="CG56" s="50"/>
      <c r="CH56" s="104"/>
      <c r="CJ56" s="106"/>
      <c r="CK56" s="107"/>
      <c r="CL56" s="107"/>
      <c r="CM56" s="107"/>
      <c r="CN56" s="107"/>
      <c r="CP56" s="50"/>
      <c r="CQ56" s="50"/>
      <c r="CR56" s="75" t="b">
        <f>IF(CL72=25,20)</f>
        <v>0</v>
      </c>
      <c r="CS56" s="50"/>
      <c r="CT56" s="101"/>
      <c r="CU56" s="101"/>
      <c r="CV56" s="101"/>
      <c r="CW56" s="101"/>
      <c r="CX56" s="101"/>
      <c r="CY56" s="101"/>
      <c r="CZ56" s="101"/>
      <c r="DA56" s="101"/>
      <c r="DB56" s="101"/>
    </row>
    <row r="57" spans="2:106" ht="45" hidden="1" customHeight="1" thickBot="1" x14ac:dyDescent="0.35">
      <c r="E57" s="291"/>
      <c r="F57" s="291"/>
      <c r="G57" s="890"/>
      <c r="H57" s="22"/>
      <c r="I57" s="22"/>
      <c r="J57" s="22"/>
      <c r="K57" s="22"/>
      <c r="L57" s="22"/>
      <c r="M57" s="22"/>
      <c r="N57" s="22"/>
      <c r="O57" s="883"/>
      <c r="BE57" s="46"/>
      <c r="BF57" s="46"/>
      <c r="BG57" s="46"/>
      <c r="BH57" s="46"/>
      <c r="BK57" s="47"/>
      <c r="BL57" s="905"/>
      <c r="BM57" s="100"/>
      <c r="BN57" s="101"/>
      <c r="BO57" s="101"/>
      <c r="BP57" s="101"/>
      <c r="BQ57" s="101"/>
      <c r="BR57" s="101"/>
      <c r="BS57" s="101"/>
      <c r="BT57" s="101"/>
      <c r="BU57" s="101"/>
      <c r="BX57" s="105">
        <v>13</v>
      </c>
      <c r="BY57" s="101"/>
      <c r="BZ57" s="100"/>
      <c r="CA57" s="100"/>
      <c r="CB57" s="100"/>
      <c r="CC57" s="100"/>
      <c r="CD57" s="68" t="b">
        <f>IF(CK72=24,6)</f>
        <v>0</v>
      </c>
      <c r="CE57" s="100"/>
      <c r="CF57" s="100"/>
      <c r="CH57" s="108"/>
      <c r="CI57" s="109"/>
      <c r="CJ57" s="73"/>
      <c r="CK57" s="109"/>
      <c r="CL57" s="73"/>
      <c r="CM57" s="73"/>
      <c r="CN57" s="72"/>
      <c r="CP57" s="40"/>
      <c r="CQ57" s="40"/>
      <c r="CR57" s="75" t="b">
        <f>IF(CK72=24,20)</f>
        <v>0</v>
      </c>
      <c r="CS57" s="40"/>
      <c r="CT57" s="40"/>
      <c r="CU57" s="40"/>
      <c r="CV57" s="40"/>
      <c r="CW57" s="40"/>
      <c r="CX57" s="40"/>
      <c r="CY57" s="40"/>
      <c r="CZ57" s="40"/>
      <c r="DA57" s="40"/>
    </row>
    <row r="58" spans="2:106" ht="66.75" hidden="1" customHeight="1" thickBot="1" x14ac:dyDescent="0.35">
      <c r="E58" s="291"/>
      <c r="F58" s="291"/>
      <c r="G58" s="890"/>
      <c r="H58" s="22"/>
      <c r="I58" s="22"/>
      <c r="J58" s="22"/>
      <c r="K58" s="22"/>
      <c r="L58" s="22"/>
      <c r="M58" s="22"/>
      <c r="N58" s="22"/>
      <c r="O58" s="883"/>
      <c r="T58" s="293"/>
      <c r="BE58" s="46"/>
      <c r="BF58" s="46"/>
      <c r="BG58" s="46"/>
      <c r="BH58" s="46"/>
      <c r="BK58" s="47"/>
      <c r="BL58" s="905"/>
      <c r="BM58" s="100"/>
      <c r="BN58" s="100"/>
      <c r="BO58" s="101"/>
      <c r="BP58" s="100"/>
      <c r="BQ58" s="100"/>
      <c r="BR58" s="100"/>
      <c r="BX58" s="105">
        <v>12</v>
      </c>
      <c r="BY58" s="101"/>
      <c r="BZ58" s="100"/>
      <c r="CA58" s="100"/>
      <c r="CB58" s="68" t="b">
        <f>IF(CJ72=23,4)</f>
        <v>0</v>
      </c>
      <c r="CC58" s="100"/>
      <c r="CD58" s="100"/>
      <c r="CF58" s="108"/>
      <c r="CG58" s="108"/>
      <c r="CH58" s="69"/>
      <c r="CI58" s="108"/>
      <c r="CJ58" s="108"/>
      <c r="CK58" s="108"/>
      <c r="CL58" s="69"/>
      <c r="CM58" s="69"/>
      <c r="CN58" s="64"/>
      <c r="CP58" s="40"/>
      <c r="CQ58" s="40"/>
      <c r="CR58" s="60" t="b">
        <f>IF(CJ72=23,20)</f>
        <v>0</v>
      </c>
      <c r="CS58" s="40"/>
      <c r="CT58" s="40"/>
      <c r="CU58" s="40"/>
      <c r="CV58" s="40"/>
      <c r="CW58" s="40"/>
      <c r="CX58" s="40"/>
      <c r="CY58" s="40"/>
      <c r="CZ58" s="40"/>
      <c r="DA58" s="40"/>
    </row>
    <row r="59" spans="2:106" ht="44.25" hidden="1" customHeight="1" thickBot="1" x14ac:dyDescent="0.35">
      <c r="E59" s="291"/>
      <c r="F59" s="291"/>
      <c r="G59" s="890"/>
      <c r="H59" s="22"/>
      <c r="I59" s="22"/>
      <c r="J59" s="22"/>
      <c r="K59" s="22"/>
      <c r="L59" s="22"/>
      <c r="M59" s="22"/>
      <c r="N59" s="22"/>
      <c r="O59" s="883"/>
      <c r="U59" s="67"/>
      <c r="AB59" s="67"/>
      <c r="AC59" s="67"/>
      <c r="AD59" s="67"/>
      <c r="AE59" s="67"/>
      <c r="BE59" s="46"/>
      <c r="BF59" s="46"/>
      <c r="BG59" s="46"/>
      <c r="BH59" s="46"/>
      <c r="BK59" s="47"/>
      <c r="BL59" s="905"/>
      <c r="BM59" s="100"/>
      <c r="BN59" s="100"/>
      <c r="BO59" s="101"/>
      <c r="BP59" s="100"/>
      <c r="BQ59" s="100"/>
      <c r="BR59" s="100"/>
      <c r="BX59" s="105">
        <v>11</v>
      </c>
      <c r="BZ59" s="68" t="b">
        <f>IF(CI72=22,2)</f>
        <v>0</v>
      </c>
      <c r="CA59" s="100"/>
      <c r="CB59" s="100"/>
      <c r="CD59" s="108"/>
      <c r="CE59" s="108"/>
      <c r="CF59" s="69"/>
      <c r="CG59" s="108"/>
      <c r="CH59" s="69"/>
      <c r="CI59" s="108"/>
      <c r="CJ59" s="69"/>
      <c r="CK59" s="108"/>
      <c r="CL59" s="69"/>
      <c r="CM59" s="69"/>
      <c r="CN59" s="64"/>
      <c r="CP59" s="40"/>
      <c r="CQ59" s="40"/>
      <c r="CR59" s="60" t="b">
        <f>IF(CI72=22,20)</f>
        <v>0</v>
      </c>
      <c r="CS59" s="40"/>
      <c r="CT59" s="40"/>
      <c r="CU59" s="40"/>
      <c r="CV59" s="40"/>
      <c r="CW59" s="40"/>
      <c r="CX59" s="40"/>
      <c r="CY59" s="40"/>
      <c r="CZ59" s="40"/>
      <c r="DA59" s="40"/>
    </row>
    <row r="60" spans="2:106" ht="45" hidden="1" customHeight="1" thickBot="1" x14ac:dyDescent="0.35">
      <c r="E60" s="291"/>
      <c r="F60" s="291"/>
      <c r="G60" s="890"/>
      <c r="H60" s="22"/>
      <c r="I60" s="22"/>
      <c r="J60" s="22"/>
      <c r="K60" s="22"/>
      <c r="L60" s="22"/>
      <c r="M60" s="22"/>
      <c r="N60" s="22"/>
      <c r="O60" s="883"/>
      <c r="U60" s="67"/>
      <c r="AB60" s="67"/>
      <c r="AC60" s="67"/>
      <c r="AD60" s="67"/>
      <c r="AE60" s="67"/>
      <c r="BK60" s="47"/>
      <c r="BL60" s="905"/>
      <c r="BM60" s="100"/>
      <c r="BN60" s="100"/>
      <c r="BO60" s="101"/>
      <c r="BP60" s="100"/>
      <c r="BQ60" s="100"/>
      <c r="BR60" s="100"/>
      <c r="BX60" s="105">
        <v>10</v>
      </c>
      <c r="BY60" s="68" t="b">
        <f>IF(CH72=21,1)</f>
        <v>0</v>
      </c>
      <c r="BZ60" s="100"/>
      <c r="CB60" s="108"/>
      <c r="CC60" s="108"/>
      <c r="CD60" s="69"/>
      <c r="CE60" s="69"/>
      <c r="CF60" s="69"/>
      <c r="CG60" s="108"/>
      <c r="CH60" s="108"/>
      <c r="CI60" s="108"/>
      <c r="CJ60" s="69"/>
      <c r="CK60" s="108"/>
      <c r="CL60" s="69"/>
      <c r="CM60" s="69"/>
      <c r="CN60" s="64"/>
      <c r="CP60" s="40"/>
      <c r="CQ60" s="60" t="b">
        <f>IF(CH72=21,20)</f>
        <v>0</v>
      </c>
      <c r="CR60" s="40"/>
      <c r="CS60" s="40"/>
      <c r="CT60" s="40"/>
      <c r="CU60" s="40"/>
      <c r="CV60" s="40"/>
      <c r="CW60" s="40"/>
      <c r="CX60" s="40"/>
      <c r="CY60" s="40"/>
      <c r="CZ60" s="40"/>
      <c r="DA60" s="40"/>
    </row>
    <row r="61" spans="2:106" ht="16" hidden="1" customHeight="1" thickBot="1" x14ac:dyDescent="0.35">
      <c r="E61" s="291"/>
      <c r="F61" s="291"/>
      <c r="G61" s="890"/>
      <c r="H61" s="22"/>
      <c r="I61" s="22"/>
      <c r="J61" s="22"/>
      <c r="K61" s="22"/>
      <c r="L61" s="22"/>
      <c r="M61" s="22"/>
      <c r="N61" s="22"/>
      <c r="O61" s="883"/>
      <c r="U61" s="67"/>
      <c r="AB61" s="67"/>
      <c r="AC61" s="67"/>
      <c r="AD61" s="67"/>
      <c r="AE61" s="67"/>
      <c r="BK61" s="47"/>
      <c r="BL61" s="905"/>
      <c r="BM61" s="100"/>
      <c r="BN61" s="100"/>
      <c r="BO61" s="101"/>
      <c r="BP61" s="100"/>
      <c r="BQ61" s="100"/>
      <c r="BR61" s="100"/>
      <c r="BX61" s="105">
        <v>9</v>
      </c>
      <c r="BY61" s="68" t="b">
        <f>IF(CG72=20,1)</f>
        <v>0</v>
      </c>
      <c r="BZ61" s="108"/>
      <c r="CA61" s="108"/>
      <c r="CB61" s="69"/>
      <c r="CC61" s="108"/>
      <c r="CD61" s="108"/>
      <c r="CE61" s="108"/>
      <c r="CF61" s="108"/>
      <c r="CG61" s="108"/>
      <c r="CH61" s="108"/>
      <c r="CI61" s="108"/>
      <c r="CJ61" s="108"/>
      <c r="CK61" s="108"/>
      <c r="CL61" s="69"/>
      <c r="CM61" s="69"/>
      <c r="CN61" s="64"/>
      <c r="CO61" s="60" t="b">
        <f>IF(CG72=20,17)</f>
        <v>0</v>
      </c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</row>
    <row r="62" spans="2:106" ht="44.25" hidden="1" customHeight="1" thickBot="1" x14ac:dyDescent="0.35">
      <c r="E62" s="291"/>
      <c r="F62" s="291"/>
      <c r="G62" s="890"/>
      <c r="H62" s="22"/>
      <c r="I62" s="22"/>
      <c r="J62" s="22"/>
      <c r="K62" s="22"/>
      <c r="L62" s="22"/>
      <c r="M62" s="22"/>
      <c r="N62" s="22"/>
      <c r="O62" s="883"/>
      <c r="U62" s="67"/>
      <c r="AB62" s="67"/>
      <c r="AC62" s="67"/>
      <c r="AD62" s="67"/>
      <c r="AE62" s="67"/>
      <c r="BK62" s="47"/>
      <c r="BL62" s="905"/>
      <c r="BM62" s="100"/>
      <c r="BN62" s="100"/>
      <c r="BO62" s="101"/>
      <c r="BP62" s="100"/>
      <c r="BQ62" s="100"/>
      <c r="BR62" s="100"/>
      <c r="BX62" s="105">
        <v>8</v>
      </c>
      <c r="BY62" s="71">
        <f>IF(CF72=19,1)</f>
        <v>1</v>
      </c>
      <c r="BZ62" s="73"/>
      <c r="CA62" s="109"/>
      <c r="CB62" s="109"/>
      <c r="CC62" s="109"/>
      <c r="CD62" s="109"/>
      <c r="CE62" s="109"/>
      <c r="CF62" s="109"/>
      <c r="CG62" s="109"/>
      <c r="CH62" s="109"/>
      <c r="CI62" s="109"/>
      <c r="CJ62" s="109"/>
      <c r="CK62" s="109"/>
      <c r="CL62" s="73"/>
      <c r="CM62" s="75">
        <f>IF(CF72=19,15)</f>
        <v>15</v>
      </c>
      <c r="CN62" s="40"/>
      <c r="CO62" s="40"/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</row>
    <row r="63" spans="2:106" ht="45" hidden="1" customHeight="1" thickBot="1" x14ac:dyDescent="0.35">
      <c r="E63" s="291"/>
      <c r="F63" s="291"/>
      <c r="G63" s="890"/>
      <c r="H63" s="22"/>
      <c r="I63" s="22"/>
      <c r="J63" s="22"/>
      <c r="K63" s="22"/>
      <c r="L63" s="22"/>
      <c r="M63" s="22"/>
      <c r="N63" s="22"/>
      <c r="O63" s="883"/>
      <c r="U63" s="67"/>
      <c r="AB63" s="67"/>
      <c r="AC63" s="67"/>
      <c r="AD63" s="67"/>
      <c r="AE63" s="67"/>
      <c r="BK63" s="47"/>
      <c r="BL63" s="905"/>
      <c r="BM63" s="100"/>
      <c r="BN63" s="100"/>
      <c r="BO63" s="101"/>
      <c r="BP63" s="100"/>
      <c r="BQ63" s="100"/>
      <c r="BR63" s="100"/>
      <c r="BX63" s="105">
        <v>7</v>
      </c>
      <c r="BY63" s="71" t="b">
        <f>IF(CE72=18,1)</f>
        <v>0</v>
      </c>
      <c r="BZ63" s="109"/>
      <c r="CA63" s="109"/>
      <c r="CB63" s="109"/>
      <c r="CC63" s="109"/>
      <c r="CD63" s="109"/>
      <c r="CE63" s="109"/>
      <c r="CF63" s="109"/>
      <c r="CG63" s="109"/>
      <c r="CH63" s="109"/>
      <c r="CI63" s="109"/>
      <c r="CJ63" s="109"/>
      <c r="CK63" s="75" t="b">
        <f>IF(CE72=18,13)</f>
        <v>0</v>
      </c>
      <c r="CL63" s="101"/>
      <c r="CN63" s="40"/>
      <c r="CO63" s="40"/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</row>
    <row r="64" spans="2:106" ht="16" hidden="1" customHeight="1" thickBot="1" x14ac:dyDescent="0.35">
      <c r="E64" s="291"/>
      <c r="F64" s="291"/>
      <c r="G64" s="890"/>
      <c r="H64" s="22"/>
      <c r="I64" s="22"/>
      <c r="J64" s="22"/>
      <c r="K64" s="22"/>
      <c r="L64" s="22"/>
      <c r="M64" s="22"/>
      <c r="N64" s="22"/>
      <c r="O64" s="883"/>
      <c r="U64" s="67"/>
      <c r="AB64" s="67"/>
      <c r="AC64" s="67"/>
      <c r="AD64" s="67"/>
      <c r="AE64" s="67"/>
      <c r="BK64" s="47"/>
      <c r="BL64" s="905"/>
      <c r="BM64" s="100"/>
      <c r="BN64" s="100"/>
      <c r="BO64" s="101"/>
      <c r="BP64" s="100"/>
      <c r="BQ64" s="100"/>
      <c r="BR64" s="100"/>
      <c r="BX64" s="105">
        <v>6</v>
      </c>
      <c r="BY64" s="71" t="b">
        <f>IF(CD72=17,1)</f>
        <v>0</v>
      </c>
      <c r="BZ64" s="109"/>
      <c r="CA64" s="109"/>
      <c r="CB64" s="109"/>
      <c r="CC64" s="109"/>
      <c r="CD64" s="109"/>
      <c r="CE64" s="109"/>
      <c r="CF64" s="109"/>
      <c r="CG64" s="109"/>
      <c r="CH64" s="109"/>
      <c r="CI64" s="75" t="b">
        <f>IF(CD72=17,11)</f>
        <v>0</v>
      </c>
      <c r="CJ64" s="100"/>
      <c r="CK64" s="100"/>
      <c r="CL64" s="101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</row>
    <row r="65" spans="7:145" ht="47.25" hidden="1" customHeight="1" thickBot="1" x14ac:dyDescent="0.35">
      <c r="G65" s="890"/>
      <c r="H65" s="22"/>
      <c r="I65" s="22"/>
      <c r="J65" s="22"/>
      <c r="K65" s="22"/>
      <c r="L65" s="22"/>
      <c r="M65" s="22"/>
      <c r="N65" s="22"/>
      <c r="O65" s="883"/>
      <c r="BK65" s="47"/>
      <c r="BL65" s="905"/>
      <c r="BM65" s="100"/>
      <c r="BN65" s="100"/>
      <c r="BO65" s="101"/>
      <c r="BP65" s="100"/>
      <c r="BQ65" s="100"/>
      <c r="BR65" s="100"/>
      <c r="BX65" s="105">
        <v>5</v>
      </c>
      <c r="BY65" s="68" t="b">
        <f>IF(CC72=16,1)</f>
        <v>0</v>
      </c>
      <c r="BZ65" s="108"/>
      <c r="CA65" s="108"/>
      <c r="CB65" s="69"/>
      <c r="CC65" s="108"/>
      <c r="CD65" s="69"/>
      <c r="CE65" s="108"/>
      <c r="CF65" s="108"/>
      <c r="CG65" s="60" t="b">
        <f>IF(CC72=16,9)</f>
        <v>0</v>
      </c>
      <c r="CH65" s="100"/>
      <c r="CI65" s="100"/>
      <c r="CJ65" s="100"/>
      <c r="CK65" s="100"/>
      <c r="CL65" s="101"/>
      <c r="CN65" s="40"/>
      <c r="CO65" s="40"/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EN65" s="40"/>
      <c r="EO65" s="40"/>
    </row>
    <row r="66" spans="7:145" ht="47.25" hidden="1" customHeight="1" thickBot="1" x14ac:dyDescent="0.35">
      <c r="G66" s="890"/>
      <c r="H66" s="22"/>
      <c r="I66" s="22"/>
      <c r="J66" s="22"/>
      <c r="K66" s="22"/>
      <c r="L66" s="22"/>
      <c r="M66" s="22"/>
      <c r="N66" s="22"/>
      <c r="O66" s="883"/>
      <c r="BK66" s="47"/>
      <c r="BL66" s="905"/>
      <c r="BM66" s="100"/>
      <c r="BN66" s="100"/>
      <c r="BO66" s="101"/>
      <c r="BP66" s="100"/>
      <c r="BQ66" s="100"/>
      <c r="BR66" s="100"/>
      <c r="BX66" s="105">
        <v>4</v>
      </c>
      <c r="BY66" s="68" t="b">
        <f>IF(CB72=15,1)</f>
        <v>0</v>
      </c>
      <c r="BZ66" s="69"/>
      <c r="CA66" s="69"/>
      <c r="CB66" s="108"/>
      <c r="CC66" s="69"/>
      <c r="CD66" s="69"/>
      <c r="CE66" s="60" t="b">
        <f>IF(CB72=15,7)</f>
        <v>0</v>
      </c>
      <c r="CF66" s="100"/>
      <c r="CG66" s="100"/>
      <c r="CH66" s="100"/>
      <c r="CI66" s="100"/>
      <c r="CJ66" s="100"/>
      <c r="CK66" s="100"/>
      <c r="CL66" s="101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EN66" s="40"/>
      <c r="EO66" s="40"/>
    </row>
    <row r="67" spans="7:145" ht="29" hidden="1" thickBot="1" x14ac:dyDescent="0.35">
      <c r="G67" s="890"/>
      <c r="H67" s="22"/>
      <c r="I67" s="22"/>
      <c r="J67" s="22"/>
      <c r="K67" s="22"/>
      <c r="L67" s="22"/>
      <c r="M67" s="22"/>
      <c r="N67" s="22"/>
      <c r="O67" s="883"/>
      <c r="BK67" s="47"/>
      <c r="BL67" s="905"/>
      <c r="BM67" s="100"/>
      <c r="BN67" s="100"/>
      <c r="BO67" s="101"/>
      <c r="BP67" s="100"/>
      <c r="BQ67" s="100"/>
      <c r="BR67" s="100"/>
      <c r="BX67" s="105">
        <v>3</v>
      </c>
      <c r="BY67" s="71" t="b">
        <f>IF(CA72=14,1)</f>
        <v>0</v>
      </c>
      <c r="BZ67" s="109"/>
      <c r="CA67" s="109"/>
      <c r="CB67" s="109"/>
      <c r="CC67" s="75" t="b">
        <f>IF(CA72=14,5)</f>
        <v>0</v>
      </c>
      <c r="CD67" s="100"/>
      <c r="CE67" s="100"/>
      <c r="CF67" s="100"/>
      <c r="CG67" s="100"/>
      <c r="CH67" s="100"/>
      <c r="CI67" s="100"/>
      <c r="CJ67" s="100"/>
      <c r="CK67" s="100"/>
      <c r="CL67" s="101"/>
      <c r="CN67" s="40"/>
      <c r="CO67" s="40"/>
      <c r="CP67" s="40"/>
      <c r="CQ67" s="40"/>
      <c r="CR67" s="40"/>
      <c r="CS67" s="40"/>
      <c r="CT67" s="40"/>
      <c r="CU67" s="40"/>
      <c r="CV67" s="40"/>
      <c r="CW67" s="40"/>
      <c r="CX67" s="40"/>
      <c r="CY67" s="40"/>
      <c r="CZ67" s="40"/>
      <c r="DA67" s="40"/>
      <c r="EN67" s="40"/>
      <c r="EO67" s="40"/>
    </row>
    <row r="68" spans="7:145" ht="48" hidden="1" customHeight="1" thickBot="1" x14ac:dyDescent="0.35">
      <c r="G68" s="890"/>
      <c r="H68" s="22"/>
      <c r="I68" s="22"/>
      <c r="J68" s="22"/>
      <c r="K68" s="22"/>
      <c r="L68" s="22"/>
      <c r="M68" s="22"/>
      <c r="N68" s="22"/>
      <c r="O68" s="883"/>
      <c r="BK68" s="47"/>
      <c r="BL68" s="905"/>
      <c r="BM68" s="100"/>
      <c r="BN68" s="100"/>
      <c r="BO68" s="101"/>
      <c r="BP68" s="100"/>
      <c r="BQ68" s="100"/>
      <c r="BR68" s="100"/>
      <c r="BX68" s="105">
        <v>2</v>
      </c>
      <c r="BY68" s="71" t="b">
        <f>IF(BZ72=13,1)</f>
        <v>0</v>
      </c>
      <c r="BZ68" s="109"/>
      <c r="CA68" s="75" t="b">
        <f>IF(BZ72=13,3)</f>
        <v>0</v>
      </c>
      <c r="CB68" s="100"/>
      <c r="CC68" s="100"/>
      <c r="CD68" s="100"/>
      <c r="CE68" s="100"/>
      <c r="CF68" s="100"/>
      <c r="CG68" s="100"/>
      <c r="CH68" s="100"/>
      <c r="CI68" s="100"/>
      <c r="CJ68" s="100"/>
      <c r="CK68" s="100"/>
      <c r="CL68" s="101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EN68" s="40"/>
      <c r="EO68" s="40"/>
    </row>
    <row r="69" spans="7:145" ht="17.25" customHeight="1" thickBot="1" x14ac:dyDescent="0.35">
      <c r="G69" s="890"/>
      <c r="H69" s="22"/>
      <c r="I69" s="22"/>
      <c r="J69" s="22"/>
      <c r="K69" s="22"/>
      <c r="L69" s="22"/>
      <c r="M69" s="22"/>
      <c r="N69" s="22"/>
      <c r="O69" s="883"/>
      <c r="BK69" s="47"/>
      <c r="BL69" s="905"/>
      <c r="BM69" s="100"/>
      <c r="BN69" s="100"/>
      <c r="BO69" s="101"/>
      <c r="BP69" s="100"/>
      <c r="BQ69" s="100"/>
      <c r="BR69" s="100"/>
      <c r="BS69" s="38"/>
      <c r="BT69" s="100"/>
      <c r="BX69" s="100"/>
      <c r="BY69" s="100"/>
      <c r="BZ69" s="100"/>
      <c r="CA69" s="100"/>
      <c r="CB69" s="100"/>
      <c r="CC69" s="100"/>
      <c r="CD69" s="100"/>
      <c r="CE69" s="100"/>
      <c r="CF69" s="100"/>
      <c r="CG69" s="100"/>
      <c r="CH69" s="100"/>
      <c r="CI69" s="101"/>
      <c r="CJ69" s="62"/>
      <c r="CK69" s="62"/>
      <c r="CL69" s="62"/>
      <c r="CN69" s="40"/>
      <c r="CO69" s="40"/>
      <c r="CP69" s="40"/>
      <c r="CQ69" s="40"/>
      <c r="CR69" s="40"/>
      <c r="CS69" s="40"/>
      <c r="CT69" s="40"/>
      <c r="CU69" s="40"/>
      <c r="CV69" s="40"/>
      <c r="CW69" s="40"/>
      <c r="CX69" s="40"/>
      <c r="CY69" s="40"/>
      <c r="CZ69" s="40"/>
      <c r="DA69" s="40"/>
      <c r="EN69" s="40"/>
      <c r="EO69" s="40"/>
    </row>
    <row r="70" spans="7:145" ht="40.5" customHeight="1" thickBot="1" x14ac:dyDescent="0.35">
      <c r="G70" s="890"/>
      <c r="H70" s="22"/>
      <c r="I70" s="22"/>
      <c r="J70" s="22"/>
      <c r="K70" s="22"/>
      <c r="L70" s="22"/>
      <c r="M70" s="22"/>
      <c r="N70" s="22"/>
      <c r="O70" s="883"/>
      <c r="BJ70" s="747"/>
      <c r="BK70" s="111"/>
      <c r="BL70" s="906" t="s">
        <v>110</v>
      </c>
      <c r="BM70" s="874" t="s">
        <v>115</v>
      </c>
      <c r="BN70" s="112"/>
      <c r="BO70" s="113"/>
      <c r="BP70" s="113"/>
      <c r="BQ70" s="113"/>
      <c r="BR70" s="113"/>
      <c r="BS70" s="113"/>
      <c r="BT70" s="113"/>
      <c r="BU70" s="113"/>
      <c r="BV70" s="113"/>
      <c r="BW70" s="113"/>
      <c r="BX70" s="113"/>
      <c r="BY70" s="450">
        <f t="shared" ref="BY70:CN70" si="0">SUM(BY51:BY69)</f>
        <v>1</v>
      </c>
      <c r="BZ70" s="451">
        <f t="shared" si="0"/>
        <v>0</v>
      </c>
      <c r="CA70" s="451">
        <f t="shared" si="0"/>
        <v>0</v>
      </c>
      <c r="CB70" s="451">
        <f t="shared" si="0"/>
        <v>0</v>
      </c>
      <c r="CC70" s="451">
        <f t="shared" si="0"/>
        <v>0</v>
      </c>
      <c r="CD70" s="451">
        <f t="shared" si="0"/>
        <v>0</v>
      </c>
      <c r="CE70" s="451">
        <f t="shared" si="0"/>
        <v>0</v>
      </c>
      <c r="CF70" s="451">
        <f t="shared" si="0"/>
        <v>0</v>
      </c>
      <c r="CG70" s="451">
        <f t="shared" si="0"/>
        <v>0</v>
      </c>
      <c r="CH70" s="451">
        <f t="shared" si="0"/>
        <v>0</v>
      </c>
      <c r="CI70" s="451">
        <f t="shared" si="0"/>
        <v>0</v>
      </c>
      <c r="CJ70" s="451">
        <f t="shared" si="0"/>
        <v>0</v>
      </c>
      <c r="CK70" s="451">
        <f t="shared" si="0"/>
        <v>0</v>
      </c>
      <c r="CL70" s="451">
        <f t="shared" si="0"/>
        <v>0</v>
      </c>
      <c r="CM70" s="451">
        <f t="shared" si="0"/>
        <v>15</v>
      </c>
      <c r="CN70" s="451">
        <f t="shared" si="0"/>
        <v>0</v>
      </c>
      <c r="CO70" s="451">
        <f>SUM(CO51:CO69)</f>
        <v>0</v>
      </c>
      <c r="CP70" s="451">
        <f>SUM(CP51:CP69)</f>
        <v>0</v>
      </c>
      <c r="CQ70" s="451">
        <f>SUM(CQ51:CQ69)</f>
        <v>0</v>
      </c>
      <c r="CR70" s="452">
        <f>SUM(CR51:CR69)</f>
        <v>0</v>
      </c>
      <c r="CS70" s="113"/>
      <c r="CT70" s="113"/>
      <c r="CU70" s="113"/>
      <c r="CV70" s="114"/>
      <c r="CW70" s="114"/>
      <c r="CX70" s="114"/>
      <c r="CY70" s="114"/>
      <c r="CZ70" s="114"/>
      <c r="DA70" s="114"/>
      <c r="DB70" s="115"/>
      <c r="EN70" s="40"/>
      <c r="EO70" s="40"/>
    </row>
    <row r="71" spans="7:145" ht="40.5" customHeight="1" thickBot="1" x14ac:dyDescent="0.35">
      <c r="G71" s="890"/>
      <c r="H71" s="22"/>
      <c r="I71" s="22"/>
      <c r="J71" s="22"/>
      <c r="K71" s="22"/>
      <c r="L71" s="22"/>
      <c r="M71" s="22"/>
      <c r="N71" s="22"/>
      <c r="O71" s="883"/>
      <c r="BI71" s="746">
        <v>4</v>
      </c>
      <c r="BJ71" s="958" t="b">
        <f>AND(BL71&gt;=10,$AZ$142&gt;=10,$BA$142&gt;=10,$AZ$163&gt;=10,$BA$163&gt;=10)</f>
        <v>1</v>
      </c>
      <c r="BK71" s="873" t="str">
        <f>IF(BJ71=TRUE,"O K","OVERLOAD")</f>
        <v>O K</v>
      </c>
      <c r="BL71" s="957">
        <f>+$E$50/(BN40/2)</f>
        <v>125.73099415204678</v>
      </c>
      <c r="BM71" s="116"/>
      <c r="BN71" s="62"/>
      <c r="BO71" s="63"/>
      <c r="BP71" s="62"/>
      <c r="BQ71" s="62"/>
      <c r="BR71" s="62"/>
      <c r="BS71" s="63"/>
      <c r="BT71" s="62"/>
      <c r="BU71" s="62"/>
      <c r="BV71" s="62"/>
      <c r="BW71" s="62"/>
      <c r="BX71" s="62"/>
      <c r="BY71" s="62"/>
      <c r="BZ71" s="62"/>
      <c r="CA71" s="62"/>
      <c r="CB71" s="62"/>
      <c r="CC71" s="62"/>
      <c r="CD71" s="62"/>
      <c r="CE71" s="62"/>
      <c r="CF71" s="62"/>
      <c r="CG71" s="62"/>
      <c r="CH71" s="62"/>
      <c r="CI71" s="62"/>
      <c r="CJ71" s="62"/>
      <c r="CK71" s="62"/>
      <c r="CL71" s="62"/>
      <c r="CM71" s="62"/>
      <c r="CN71" s="62"/>
      <c r="CO71" s="62"/>
      <c r="CP71" s="40"/>
      <c r="CQ71" s="40"/>
      <c r="CR71" s="40"/>
      <c r="CS71" s="40"/>
      <c r="CT71" s="40"/>
      <c r="CU71" s="40"/>
      <c r="CV71" s="40"/>
      <c r="CW71" s="40"/>
      <c r="CX71" s="40"/>
      <c r="CY71" s="40"/>
      <c r="CZ71" s="40"/>
      <c r="DA71" s="40"/>
      <c r="EN71" s="40"/>
      <c r="EO71" s="40"/>
    </row>
    <row r="72" spans="7:145" hidden="1" x14ac:dyDescent="0.3">
      <c r="G72" s="890"/>
      <c r="H72" s="22"/>
      <c r="I72" s="22"/>
      <c r="J72" s="22"/>
      <c r="K72" s="22"/>
      <c r="L72" s="22"/>
      <c r="M72" s="22"/>
      <c r="N72" s="22"/>
      <c r="O72" s="883"/>
      <c r="BJ72" s="747"/>
      <c r="BK72" s="111"/>
      <c r="BL72" s="905"/>
      <c r="BM72" s="38"/>
      <c r="BN72" s="117" t="b">
        <f>+CJ176</f>
        <v>0</v>
      </c>
      <c r="BO72" s="117" t="b">
        <f>+CJ177</f>
        <v>0</v>
      </c>
      <c r="BP72" s="117" t="b">
        <f>+CJ178</f>
        <v>0</v>
      </c>
      <c r="BQ72" s="117" t="b">
        <f>+CJ179</f>
        <v>0</v>
      </c>
      <c r="BR72" s="117" t="b">
        <f>+CJ180</f>
        <v>0</v>
      </c>
      <c r="BS72" s="117" t="b">
        <f>+CJ181</f>
        <v>0</v>
      </c>
      <c r="BT72" s="117" t="b">
        <f>+CJ182</f>
        <v>0</v>
      </c>
      <c r="BU72" s="117" t="b">
        <f>+CJ183</f>
        <v>0</v>
      </c>
      <c r="BV72" s="117" t="b">
        <f>+CJ184</f>
        <v>0</v>
      </c>
      <c r="BW72" s="117" t="b">
        <f>+CJ185</f>
        <v>0</v>
      </c>
      <c r="BX72" s="117" t="b">
        <f>+CJ186</f>
        <v>0</v>
      </c>
      <c r="BY72" s="117" t="b">
        <f>+CJ187</f>
        <v>0</v>
      </c>
      <c r="BZ72" s="117" t="b">
        <f>+CJ188</f>
        <v>0</v>
      </c>
      <c r="CA72" s="117" t="b">
        <f>+CJ189</f>
        <v>0</v>
      </c>
      <c r="CB72" s="117" t="b">
        <f>+CJ190</f>
        <v>0</v>
      </c>
      <c r="CC72" s="117" t="b">
        <f>+CJ191</f>
        <v>0</v>
      </c>
      <c r="CD72" s="117" t="b">
        <f>+CJ192</f>
        <v>0</v>
      </c>
      <c r="CE72" s="117" t="b">
        <f>+CJ193</f>
        <v>0</v>
      </c>
      <c r="CF72" s="117">
        <f>+CJ194</f>
        <v>19</v>
      </c>
      <c r="CG72" s="117" t="b">
        <f>+CJ195</f>
        <v>0</v>
      </c>
      <c r="CH72" s="117" t="b">
        <f>+CJ196</f>
        <v>0</v>
      </c>
      <c r="CI72" s="117" t="b">
        <f>+CJ197</f>
        <v>0</v>
      </c>
      <c r="CJ72" s="117" t="b">
        <f>+CJ198</f>
        <v>0</v>
      </c>
      <c r="CK72" s="117" t="b">
        <f>+CJ199</f>
        <v>0</v>
      </c>
      <c r="CL72" s="117" t="b">
        <f>+CJ200</f>
        <v>0</v>
      </c>
      <c r="CM72" s="117" t="b">
        <f>+CJ201</f>
        <v>0</v>
      </c>
      <c r="CN72" s="117" t="b">
        <f>+CJ202</f>
        <v>0</v>
      </c>
      <c r="CO72" s="117" t="b">
        <f>+CJ203</f>
        <v>0</v>
      </c>
      <c r="CP72" s="117" t="b">
        <f>+CJ204</f>
        <v>0</v>
      </c>
      <c r="CQ72" s="117" t="b">
        <f>+CJ205</f>
        <v>0</v>
      </c>
      <c r="CR72" s="117" t="b">
        <f>+CJ206</f>
        <v>0</v>
      </c>
      <c r="CS72" s="117" t="b">
        <f>+CJ207</f>
        <v>0</v>
      </c>
      <c r="CT72" s="117" t="b">
        <f>+CJ208</f>
        <v>0</v>
      </c>
      <c r="CU72" s="117" t="b">
        <f>+CJ209</f>
        <v>0</v>
      </c>
      <c r="CV72" s="117" t="b">
        <f>+CJ210</f>
        <v>0</v>
      </c>
      <c r="CW72" s="117" t="b">
        <f>+CJ211</f>
        <v>0</v>
      </c>
      <c r="CX72" s="117" t="b">
        <f>+CJ212</f>
        <v>0</v>
      </c>
      <c r="CY72" s="117" t="b">
        <f>+CJ213</f>
        <v>0</v>
      </c>
      <c r="CZ72" s="117" t="b">
        <f>+CJ214</f>
        <v>0</v>
      </c>
      <c r="DA72" s="117" t="b">
        <f>+CJ215</f>
        <v>0</v>
      </c>
      <c r="DB72" s="117" t="b">
        <f>+CJ216</f>
        <v>0</v>
      </c>
      <c r="EN72" s="40"/>
      <c r="EO72" s="40"/>
    </row>
    <row r="73" spans="7:145" ht="21" hidden="1" customHeight="1" x14ac:dyDescent="0.3">
      <c r="G73" s="890"/>
      <c r="H73" s="22"/>
      <c r="I73" s="22"/>
      <c r="J73" s="22"/>
      <c r="K73" s="22"/>
      <c r="L73" s="22"/>
      <c r="M73" s="22"/>
      <c r="N73" s="22"/>
      <c r="O73" s="883"/>
      <c r="BI73" s="81"/>
      <c r="BJ73" s="747"/>
      <c r="BK73" s="111"/>
      <c r="BL73" s="905"/>
      <c r="BM73" s="40"/>
      <c r="BN73" s="118" t="b">
        <f>+BN72</f>
        <v>0</v>
      </c>
      <c r="BO73" s="118" t="b">
        <f t="shared" ref="BO73:CF73" si="1">+BO72</f>
        <v>0</v>
      </c>
      <c r="BP73" s="118" t="b">
        <f t="shared" si="1"/>
        <v>0</v>
      </c>
      <c r="BQ73" s="118" t="b">
        <f t="shared" si="1"/>
        <v>0</v>
      </c>
      <c r="BR73" s="118" t="b">
        <f t="shared" si="1"/>
        <v>0</v>
      </c>
      <c r="BS73" s="118" t="b">
        <f t="shared" si="1"/>
        <v>0</v>
      </c>
      <c r="BT73" s="118" t="b">
        <f>+BT72</f>
        <v>0</v>
      </c>
      <c r="BU73" s="118" t="b">
        <f t="shared" si="1"/>
        <v>0</v>
      </c>
      <c r="BV73" s="118" t="b">
        <f t="shared" si="1"/>
        <v>0</v>
      </c>
      <c r="BW73" s="118" t="b">
        <f t="shared" si="1"/>
        <v>0</v>
      </c>
      <c r="BX73" s="118" t="b">
        <f t="shared" si="1"/>
        <v>0</v>
      </c>
      <c r="BY73" s="118" t="b">
        <f>+BY72</f>
        <v>0</v>
      </c>
      <c r="BZ73" s="118" t="b">
        <f>+BZ72</f>
        <v>0</v>
      </c>
      <c r="CA73" s="118" t="b">
        <f>+CA72</f>
        <v>0</v>
      </c>
      <c r="CB73" s="118" t="b">
        <f>+CB72</f>
        <v>0</v>
      </c>
      <c r="CC73" s="118" t="b">
        <f>+CC72</f>
        <v>0</v>
      </c>
      <c r="CD73" s="118" t="b">
        <f t="shared" si="1"/>
        <v>0</v>
      </c>
      <c r="CE73" s="118" t="b">
        <f t="shared" si="1"/>
        <v>0</v>
      </c>
      <c r="CF73" s="118">
        <f t="shared" si="1"/>
        <v>19</v>
      </c>
      <c r="CG73" s="118" t="b">
        <f>+CG72</f>
        <v>0</v>
      </c>
      <c r="CH73" s="118" t="b">
        <f>+CH72</f>
        <v>0</v>
      </c>
      <c r="CI73" s="118" t="b">
        <f t="shared" ref="CI73:DB73" si="2">+CI72</f>
        <v>0</v>
      </c>
      <c r="CJ73" s="118" t="b">
        <f t="shared" si="2"/>
        <v>0</v>
      </c>
      <c r="CK73" s="118" t="b">
        <f t="shared" si="2"/>
        <v>0</v>
      </c>
      <c r="CL73" s="118" t="b">
        <f t="shared" si="2"/>
        <v>0</v>
      </c>
      <c r="CM73" s="118" t="b">
        <f t="shared" si="2"/>
        <v>0</v>
      </c>
      <c r="CN73" s="118" t="b">
        <f t="shared" si="2"/>
        <v>0</v>
      </c>
      <c r="CO73" s="118" t="b">
        <f t="shared" si="2"/>
        <v>0</v>
      </c>
      <c r="CP73" s="118" t="b">
        <f t="shared" si="2"/>
        <v>0</v>
      </c>
      <c r="CQ73" s="118" t="b">
        <f t="shared" si="2"/>
        <v>0</v>
      </c>
      <c r="CR73" s="118" t="b">
        <f t="shared" si="2"/>
        <v>0</v>
      </c>
      <c r="CS73" s="118" t="b">
        <f t="shared" si="2"/>
        <v>0</v>
      </c>
      <c r="CT73" s="118" t="b">
        <f t="shared" si="2"/>
        <v>0</v>
      </c>
      <c r="CU73" s="118" t="b">
        <f t="shared" si="2"/>
        <v>0</v>
      </c>
      <c r="CV73" s="118" t="b">
        <f t="shared" si="2"/>
        <v>0</v>
      </c>
      <c r="CW73" s="118" t="b">
        <f t="shared" si="2"/>
        <v>0</v>
      </c>
      <c r="CX73" s="118" t="b">
        <f t="shared" si="2"/>
        <v>0</v>
      </c>
      <c r="CY73" s="118" t="b">
        <f t="shared" si="2"/>
        <v>0</v>
      </c>
      <c r="CZ73" s="118" t="b">
        <f t="shared" si="2"/>
        <v>0</v>
      </c>
      <c r="DA73" s="118" t="b">
        <f t="shared" si="2"/>
        <v>0</v>
      </c>
      <c r="DB73" s="118" t="b">
        <f t="shared" si="2"/>
        <v>0</v>
      </c>
      <c r="EN73" s="40"/>
      <c r="EO73" s="40"/>
    </row>
    <row r="74" spans="7:145" ht="17.25" customHeight="1" thickBot="1" x14ac:dyDescent="0.35">
      <c r="G74" s="890"/>
      <c r="H74" s="22"/>
      <c r="I74" s="22"/>
      <c r="J74" s="22"/>
      <c r="K74" s="22"/>
      <c r="L74" s="22"/>
      <c r="M74" s="22"/>
      <c r="N74" s="22"/>
      <c r="O74" s="883"/>
      <c r="BI74" s="81"/>
      <c r="BJ74" s="747"/>
      <c r="BK74" s="111"/>
      <c r="BL74" s="905"/>
      <c r="BM74" s="40"/>
      <c r="BN74" s="118"/>
      <c r="BO74" s="118"/>
      <c r="BP74" s="118"/>
      <c r="BQ74" s="118"/>
      <c r="BR74" s="118"/>
      <c r="BS74" s="118"/>
      <c r="BT74" s="118"/>
      <c r="BU74" s="118"/>
      <c r="BV74" s="118"/>
      <c r="BW74" s="118"/>
      <c r="BX74" s="118"/>
      <c r="BY74" s="118"/>
      <c r="BZ74" s="118"/>
      <c r="CA74" s="118"/>
      <c r="CB74" s="118"/>
      <c r="CC74" s="118"/>
      <c r="CD74" s="118"/>
      <c r="CE74" s="118"/>
      <c r="CF74" s="118"/>
      <c r="CG74" s="118"/>
      <c r="CH74" s="118"/>
      <c r="CI74" s="118"/>
      <c r="CJ74" s="118"/>
      <c r="CK74" s="118"/>
      <c r="CL74" s="118"/>
      <c r="CM74" s="118"/>
      <c r="CN74" s="118"/>
      <c r="CO74" s="118"/>
      <c r="CP74" s="118"/>
      <c r="CQ74" s="118"/>
      <c r="CR74" s="118"/>
      <c r="CS74" s="118"/>
      <c r="CT74" s="118"/>
      <c r="CU74" s="118"/>
      <c r="CV74" s="118"/>
      <c r="CW74" s="118"/>
      <c r="CX74" s="118"/>
      <c r="CY74" s="118"/>
      <c r="CZ74" s="40"/>
      <c r="DA74" s="40"/>
      <c r="EN74" s="40"/>
      <c r="EO74" s="40"/>
    </row>
    <row r="75" spans="7:145" ht="46.5" customHeight="1" thickBot="1" x14ac:dyDescent="0.35">
      <c r="G75" s="890"/>
      <c r="H75" s="22"/>
      <c r="I75" s="22"/>
      <c r="J75" s="22"/>
      <c r="K75" s="22"/>
      <c r="L75" s="22"/>
      <c r="M75" s="22"/>
      <c r="N75" s="22"/>
      <c r="O75" s="883"/>
      <c r="BI75" s="81"/>
      <c r="BJ75" s="747"/>
      <c r="BK75" s="111"/>
      <c r="BL75" s="876" t="s">
        <v>110</v>
      </c>
      <c r="BM75" s="119" t="s">
        <v>80</v>
      </c>
      <c r="BN75" s="446" t="str">
        <f>IF(BN73=1,20,"")</f>
        <v/>
      </c>
      <c r="BO75" s="447" t="str">
        <f>IF(BO73=2,19,"")</f>
        <v/>
      </c>
      <c r="BP75" s="447" t="str">
        <f>IF(BP73=3,18,"")</f>
        <v/>
      </c>
      <c r="BQ75" s="447" t="str">
        <f>IF(BQ73=4,17,"")</f>
        <v/>
      </c>
      <c r="BR75" s="447" t="str">
        <f>IF(BR73=5,16,"")</f>
        <v/>
      </c>
      <c r="BS75" s="447" t="str">
        <f>IF(BS73=6,15,"")</f>
        <v/>
      </c>
      <c r="BT75" s="447" t="str">
        <f>IF(BT73=7,14,"")</f>
        <v/>
      </c>
      <c r="BU75" s="447" t="str">
        <f>IF(BU73=8,13,"")</f>
        <v/>
      </c>
      <c r="BV75" s="447" t="str">
        <f>IF(BV73=9,12,"")</f>
        <v/>
      </c>
      <c r="BW75" s="447" t="str">
        <f>IF(BW73=10,11,"")</f>
        <v/>
      </c>
      <c r="BX75" s="447" t="str">
        <f>IF(BX73=11,10,"")</f>
        <v/>
      </c>
      <c r="BY75" s="515" t="str">
        <f>IF(BY73=12,1,"")</f>
        <v/>
      </c>
      <c r="BZ75" s="445" t="str">
        <f>IF(BZ73=13,2,"")</f>
        <v/>
      </c>
      <c r="CA75" s="445" t="str">
        <f>IF(CA73=14,3,"")</f>
        <v/>
      </c>
      <c r="CB75" s="445" t="str">
        <f>IF(CB73=15,4,"")</f>
        <v/>
      </c>
      <c r="CC75" s="445" t="str">
        <f>IF(CC73=16,5,"")</f>
        <v/>
      </c>
      <c r="CD75" s="445" t="str">
        <f>IF(CD73=17,6,"")</f>
        <v/>
      </c>
      <c r="CE75" s="445" t="str">
        <f>IF(CE73=18,7,"")</f>
        <v/>
      </c>
      <c r="CF75" s="445">
        <f>IF(CF73=19,8,"")</f>
        <v>8</v>
      </c>
      <c r="CG75" s="445" t="str">
        <f>IF(CG73=20,9,"")</f>
        <v/>
      </c>
      <c r="CH75" s="445" t="str">
        <f>IF(CH73=21,10,"")</f>
        <v/>
      </c>
      <c r="CI75" s="445" t="str">
        <f>IF(CI73=22,11,"")</f>
        <v/>
      </c>
      <c r="CJ75" s="445" t="str">
        <f>IF(CJ73=23,12,"")</f>
        <v/>
      </c>
      <c r="CK75" s="445" t="str">
        <f>IF(CK73=24,13,"")</f>
        <v/>
      </c>
      <c r="CL75" s="445" t="str">
        <f>IF(CL73=25,14,"")</f>
        <v/>
      </c>
      <c r="CM75" s="445" t="str">
        <f>IF(CM73=26,15,"")</f>
        <v/>
      </c>
      <c r="CN75" s="445" t="str">
        <f>IF(CN73=27,16,"")</f>
        <v/>
      </c>
      <c r="CO75" s="445" t="str">
        <f>IF(CO73=28,17,"")</f>
        <v/>
      </c>
      <c r="CP75" s="445" t="str">
        <f>IF(CP73=29,18,"")</f>
        <v/>
      </c>
      <c r="CQ75" s="445" t="str">
        <f>IF(CQ73=30,19,"")</f>
        <v/>
      </c>
      <c r="CR75" s="516" t="str">
        <f>IF(CR73=31,20,"")</f>
        <v/>
      </c>
      <c r="CS75" s="448" t="str">
        <f>IF(CS73=32,11,"")</f>
        <v/>
      </c>
      <c r="CT75" s="448" t="str">
        <f>IF(CT73=33,12,"")</f>
        <v/>
      </c>
      <c r="CU75" s="448" t="str">
        <f>IF(CU73=34,13,"")</f>
        <v/>
      </c>
      <c r="CV75" s="448" t="str">
        <f>IF(CV73=35,14,"")</f>
        <v/>
      </c>
      <c r="CW75" s="448" t="str">
        <f>IF(CW73=36,15,"")</f>
        <v/>
      </c>
      <c r="CX75" s="448" t="str">
        <f>IF(CX73=37,16,"")</f>
        <v/>
      </c>
      <c r="CY75" s="448" t="str">
        <f>IF(CY73=38,17,"")</f>
        <v/>
      </c>
      <c r="CZ75" s="448" t="str">
        <f>IF(CZ73=39,18,"")</f>
        <v/>
      </c>
      <c r="DA75" s="448" t="str">
        <f>IF(DA73=40,19,"")</f>
        <v/>
      </c>
      <c r="DB75" s="449" t="str">
        <f>IF(DB73=41,20,"")</f>
        <v/>
      </c>
      <c r="EN75" s="40"/>
      <c r="EO75" s="40"/>
    </row>
    <row r="76" spans="7:145" ht="40.5" customHeight="1" thickBot="1" x14ac:dyDescent="0.35">
      <c r="G76" s="890"/>
      <c r="H76" s="22"/>
      <c r="I76" s="22"/>
      <c r="J76" s="22"/>
      <c r="K76" s="22"/>
      <c r="L76" s="22"/>
      <c r="M76" s="22"/>
      <c r="N76" s="22"/>
      <c r="O76" s="883"/>
      <c r="BI76" s="746">
        <v>5</v>
      </c>
      <c r="BJ76" s="958" t="b">
        <f>AND(BL76&gt;=10,$AZ$142&gt;=10,$BA$142&gt;=10,$AZ$163&gt;=10,$BA$163&gt;=10)</f>
        <v>1</v>
      </c>
      <c r="BK76" s="45" t="str">
        <f>IF(BJ76=TRUE,"O K","OVERLOAD")</f>
        <v>O K</v>
      </c>
      <c r="BL76" s="870">
        <f>IF(SUM(BN75:BX75)&gt;0,K85,0)+IF(SUM(BY75:CR75)&gt;0,L85,0)+IF(SUM(CS75:DB75)&gt;0,M85,0)</f>
        <v>62.865497076023388</v>
      </c>
      <c r="BM76" s="779" t="s">
        <v>92</v>
      </c>
      <c r="BN76" s="780">
        <v>-10</v>
      </c>
      <c r="BO76" s="780">
        <v>-9</v>
      </c>
      <c r="BP76" s="780">
        <v>-8</v>
      </c>
      <c r="BQ76" s="780">
        <v>-7</v>
      </c>
      <c r="BR76" s="780">
        <v>-6</v>
      </c>
      <c r="BS76" s="780">
        <v>-5</v>
      </c>
      <c r="BT76" s="780">
        <v>-4</v>
      </c>
      <c r="BU76" s="780">
        <v>-3</v>
      </c>
      <c r="BV76" s="780">
        <v>-2</v>
      </c>
      <c r="BW76" s="780">
        <v>-1</v>
      </c>
      <c r="BX76" s="780">
        <v>0</v>
      </c>
      <c r="BY76" s="780">
        <v>1</v>
      </c>
      <c r="BZ76" s="780">
        <v>2</v>
      </c>
      <c r="CA76" s="780">
        <v>3</v>
      </c>
      <c r="CB76" s="780">
        <v>4</v>
      </c>
      <c r="CC76" s="780">
        <v>5</v>
      </c>
      <c r="CD76" s="780">
        <v>6</v>
      </c>
      <c r="CE76" s="780">
        <v>7</v>
      </c>
      <c r="CF76" s="780">
        <v>8</v>
      </c>
      <c r="CG76" s="780">
        <v>9</v>
      </c>
      <c r="CH76" s="780">
        <v>10</v>
      </c>
      <c r="CI76" s="780">
        <v>11</v>
      </c>
      <c r="CJ76" s="780">
        <v>12</v>
      </c>
      <c r="CK76" s="780">
        <v>13</v>
      </c>
      <c r="CL76" s="780">
        <v>14</v>
      </c>
      <c r="CM76" s="780">
        <v>15</v>
      </c>
      <c r="CN76" s="780">
        <v>16</v>
      </c>
      <c r="CO76" s="780">
        <v>17</v>
      </c>
      <c r="CP76" s="780">
        <v>18</v>
      </c>
      <c r="CQ76" s="780">
        <v>19</v>
      </c>
      <c r="CR76" s="780">
        <v>20</v>
      </c>
      <c r="CS76" s="780">
        <v>21</v>
      </c>
      <c r="CT76" s="780">
        <v>22</v>
      </c>
      <c r="CU76" s="780">
        <v>23</v>
      </c>
      <c r="CV76" s="780">
        <v>24</v>
      </c>
      <c r="CW76" s="780">
        <v>25</v>
      </c>
      <c r="CX76" s="780">
        <v>26</v>
      </c>
      <c r="CY76" s="780">
        <v>27</v>
      </c>
      <c r="CZ76" s="780">
        <v>28</v>
      </c>
      <c r="DA76" s="780">
        <v>29</v>
      </c>
      <c r="DB76" s="780">
        <v>30</v>
      </c>
      <c r="EN76" s="40"/>
      <c r="EO76" s="40"/>
    </row>
    <row r="77" spans="7:145" ht="21" hidden="1" customHeight="1" x14ac:dyDescent="0.3">
      <c r="G77" s="890"/>
      <c r="H77" s="22"/>
      <c r="I77" s="22"/>
      <c r="J77" s="22"/>
      <c r="K77" s="22"/>
      <c r="L77" s="22"/>
      <c r="M77" s="22"/>
      <c r="N77" s="22"/>
      <c r="O77" s="883"/>
      <c r="BI77" s="81"/>
      <c r="BJ77" s="747"/>
      <c r="BK77" s="81"/>
      <c r="BM77" s="40"/>
      <c r="BN77" s="120">
        <v>1</v>
      </c>
      <c r="BO77" s="120">
        <v>2</v>
      </c>
      <c r="BP77" s="120">
        <v>3</v>
      </c>
      <c r="BQ77" s="120">
        <v>4</v>
      </c>
      <c r="BR77" s="120">
        <v>5</v>
      </c>
      <c r="BS77" s="120">
        <v>6</v>
      </c>
      <c r="BT77" s="120">
        <v>7</v>
      </c>
      <c r="BU77" s="120">
        <v>8</v>
      </c>
      <c r="BV77" s="120">
        <v>9</v>
      </c>
      <c r="BW77" s="120">
        <v>10</v>
      </c>
      <c r="BX77" s="120">
        <v>11</v>
      </c>
      <c r="BY77" s="120">
        <v>12</v>
      </c>
      <c r="BZ77" s="120">
        <v>13</v>
      </c>
      <c r="CA77" s="120">
        <v>14</v>
      </c>
      <c r="CB77" s="120">
        <v>15</v>
      </c>
      <c r="CC77" s="120">
        <v>16</v>
      </c>
      <c r="CD77" s="120">
        <v>17</v>
      </c>
      <c r="CE77" s="120">
        <v>18</v>
      </c>
      <c r="CF77" s="120">
        <v>19</v>
      </c>
      <c r="CG77" s="120">
        <v>20</v>
      </c>
      <c r="CH77" s="120">
        <v>21</v>
      </c>
      <c r="CI77" s="120">
        <v>22</v>
      </c>
      <c r="CJ77" s="120">
        <v>23</v>
      </c>
      <c r="CK77" s="120">
        <v>24</v>
      </c>
      <c r="CL77" s="120">
        <v>25</v>
      </c>
      <c r="CM77" s="120">
        <v>26</v>
      </c>
      <c r="CN77" s="120">
        <v>27</v>
      </c>
      <c r="CO77" s="120">
        <v>28</v>
      </c>
      <c r="CP77" s="120">
        <v>29</v>
      </c>
      <c r="CQ77" s="120">
        <v>30</v>
      </c>
      <c r="CR77" s="120">
        <v>31</v>
      </c>
      <c r="CS77" s="120">
        <v>32</v>
      </c>
      <c r="CT77" s="120">
        <v>33</v>
      </c>
      <c r="CU77" s="120">
        <v>34</v>
      </c>
      <c r="CV77" s="120">
        <v>35</v>
      </c>
      <c r="CW77" s="120">
        <v>36</v>
      </c>
      <c r="CX77" s="120">
        <v>37</v>
      </c>
      <c r="CY77" s="120">
        <v>38</v>
      </c>
      <c r="CZ77" s="120">
        <v>39</v>
      </c>
      <c r="DA77" s="120">
        <v>40</v>
      </c>
      <c r="DB77" s="120">
        <v>41</v>
      </c>
      <c r="EN77" s="40"/>
      <c r="EO77" s="40"/>
    </row>
    <row r="78" spans="7:145" ht="21" hidden="1" customHeight="1" x14ac:dyDescent="0.3">
      <c r="G78" s="890"/>
      <c r="H78" s="22"/>
      <c r="I78" s="22"/>
      <c r="J78" s="22"/>
      <c r="K78" s="22"/>
      <c r="L78" s="22"/>
      <c r="M78" s="22"/>
      <c r="N78" s="22"/>
      <c r="O78" s="883"/>
      <c r="BI78" s="81"/>
      <c r="BJ78" s="747"/>
      <c r="BK78" s="81"/>
      <c r="BM78" s="40"/>
      <c r="BN78" s="120"/>
      <c r="BO78" s="120"/>
      <c r="BP78" s="120"/>
      <c r="BQ78" s="120"/>
      <c r="BR78" s="120"/>
      <c r="BS78" s="120"/>
      <c r="BT78" s="120"/>
      <c r="BU78" s="120"/>
      <c r="BV78" s="120"/>
      <c r="BW78" s="120"/>
      <c r="BX78" s="120"/>
      <c r="BY78" s="120"/>
      <c r="BZ78" s="120"/>
      <c r="CA78" s="120"/>
      <c r="CB78" s="120"/>
      <c r="CC78" s="120"/>
      <c r="CD78" s="120"/>
      <c r="CE78" s="120"/>
      <c r="CF78" s="120"/>
      <c r="CG78" s="120"/>
      <c r="CH78" s="120"/>
      <c r="CI78" s="120"/>
      <c r="CJ78" s="120"/>
      <c r="CK78" s="120"/>
      <c r="CL78" s="120"/>
      <c r="CM78" s="120"/>
      <c r="CN78" s="120"/>
      <c r="CO78" s="120"/>
      <c r="CP78" s="120"/>
      <c r="CQ78" s="120"/>
      <c r="CR78" s="120"/>
      <c r="CS78" s="120"/>
      <c r="CT78" s="120"/>
      <c r="CU78" s="120"/>
      <c r="CV78" s="120"/>
      <c r="CW78" s="120"/>
      <c r="CX78" s="120"/>
      <c r="CY78" s="120"/>
      <c r="CZ78" s="120"/>
      <c r="DA78" s="120"/>
      <c r="DB78" s="120"/>
      <c r="EN78" s="40"/>
      <c r="EO78" s="40"/>
    </row>
    <row r="79" spans="7:145" ht="21" hidden="1" customHeight="1" x14ac:dyDescent="0.3">
      <c r="G79" s="834"/>
      <c r="H79" s="22"/>
      <c r="I79" s="22"/>
      <c r="J79" s="22"/>
      <c r="K79" s="22"/>
      <c r="L79" s="22"/>
      <c r="M79" s="22"/>
      <c r="N79" s="22"/>
      <c r="O79" s="883"/>
      <c r="BI79" s="81"/>
      <c r="BJ79" s="747"/>
      <c r="BK79" s="81"/>
      <c r="BM79" s="40"/>
      <c r="BN79" s="120"/>
      <c r="BO79" s="120"/>
      <c r="BP79" s="120"/>
      <c r="BQ79" s="120"/>
      <c r="BR79" s="120"/>
      <c r="BS79" s="120"/>
      <c r="BT79" s="120"/>
      <c r="BU79" s="120"/>
      <c r="BV79" s="120"/>
      <c r="BW79" s="120"/>
      <c r="BX79" s="120"/>
      <c r="BY79" s="120"/>
      <c r="BZ79" s="120"/>
      <c r="CA79" s="120"/>
      <c r="CB79" s="120"/>
      <c r="CC79" s="120"/>
      <c r="CD79" s="120"/>
      <c r="CE79" s="120"/>
      <c r="CF79" s="120"/>
      <c r="CG79" s="120"/>
      <c r="CH79" s="120"/>
      <c r="CI79" s="120"/>
      <c r="CJ79" s="120"/>
      <c r="CK79" s="120"/>
      <c r="CL79" s="120"/>
      <c r="CM79" s="120"/>
      <c r="CN79" s="120"/>
      <c r="CO79" s="120"/>
      <c r="CP79" s="120"/>
      <c r="CQ79" s="120"/>
      <c r="CR79" s="120"/>
      <c r="CS79" s="120"/>
      <c r="CT79" s="120"/>
      <c r="CU79" s="120"/>
      <c r="CV79" s="120"/>
      <c r="CW79" s="120"/>
      <c r="CX79" s="120"/>
      <c r="CY79" s="120"/>
      <c r="CZ79" s="120"/>
      <c r="DA79" s="120"/>
      <c r="DB79" s="120"/>
      <c r="EN79" s="40"/>
      <c r="EO79" s="40"/>
    </row>
    <row r="80" spans="7:145" ht="21" hidden="1" customHeight="1" x14ac:dyDescent="0.3">
      <c r="G80" s="890"/>
      <c r="H80" s="22"/>
      <c r="I80" s="22"/>
      <c r="J80" s="22"/>
      <c r="K80" s="22"/>
      <c r="L80" s="22"/>
      <c r="M80" s="22"/>
      <c r="N80" s="22"/>
      <c r="O80" s="883"/>
      <c r="BI80" s="81"/>
      <c r="BJ80" s="747"/>
      <c r="BK80" s="81"/>
      <c r="BM80" s="40"/>
      <c r="BN80" s="120"/>
      <c r="BO80" s="120"/>
      <c r="BP80" s="120"/>
      <c r="BQ80" s="120"/>
      <c r="BR80" s="120"/>
      <c r="BS80" s="120"/>
      <c r="BT80" s="120"/>
      <c r="BU80" s="120"/>
      <c r="BV80" s="120"/>
      <c r="BW80" s="120"/>
      <c r="BX80" s="120"/>
      <c r="BY80" s="120"/>
      <c r="BZ80" s="120"/>
      <c r="CA80" s="120"/>
      <c r="CB80" s="120"/>
      <c r="CC80" s="120"/>
      <c r="CD80" s="120"/>
      <c r="CE80" s="120"/>
      <c r="CF80" s="120"/>
      <c r="CG80" s="120"/>
      <c r="CH80" s="120"/>
      <c r="CI80" s="120"/>
      <c r="CJ80" s="120"/>
      <c r="CK80" s="120"/>
      <c r="CL80" s="120"/>
      <c r="CM80" s="120"/>
      <c r="CN80" s="120"/>
      <c r="CO80" s="120"/>
      <c r="CP80" s="120"/>
      <c r="CQ80" s="120"/>
      <c r="CR80" s="120"/>
      <c r="CS80" s="120"/>
      <c r="CT80" s="120"/>
      <c r="CU80" s="120"/>
      <c r="CV80" s="120"/>
      <c r="CW80" s="120"/>
      <c r="CX80" s="120"/>
      <c r="CY80" s="120"/>
      <c r="CZ80" s="120"/>
      <c r="DA80" s="120"/>
      <c r="DB80" s="120"/>
      <c r="EN80" s="40"/>
      <c r="EO80" s="40"/>
    </row>
    <row r="81" spans="2:145" ht="21" hidden="1" customHeight="1" x14ac:dyDescent="0.3">
      <c r="G81" s="890"/>
      <c r="H81" s="22"/>
      <c r="I81" s="22"/>
      <c r="J81" s="22"/>
      <c r="K81" s="22"/>
      <c r="L81" s="22"/>
      <c r="M81" s="22"/>
      <c r="N81" s="22"/>
      <c r="O81" s="883"/>
      <c r="BI81" s="81"/>
      <c r="BJ81" s="747"/>
      <c r="BK81" s="81"/>
      <c r="BM81" s="40"/>
      <c r="BN81" s="120"/>
      <c r="BO81" s="120"/>
      <c r="BP81" s="120"/>
      <c r="BQ81" s="120"/>
      <c r="BR81" s="120"/>
      <c r="BS81" s="120"/>
      <c r="BT81" s="120"/>
      <c r="BU81" s="120"/>
      <c r="BV81" s="120"/>
      <c r="BW81" s="120"/>
      <c r="BX81" s="120"/>
      <c r="BY81" s="120"/>
      <c r="BZ81" s="120"/>
      <c r="CA81" s="120"/>
      <c r="CB81" s="120"/>
      <c r="CC81" s="120"/>
      <c r="CD81" s="120"/>
      <c r="CE81" s="120"/>
      <c r="CF81" s="120"/>
      <c r="CG81" s="120"/>
      <c r="CH81" s="120"/>
      <c r="CI81" s="120"/>
      <c r="CJ81" s="120"/>
      <c r="CK81" s="120"/>
      <c r="CL81" s="120"/>
      <c r="CM81" s="120"/>
      <c r="CN81" s="120"/>
      <c r="CO81" s="120"/>
      <c r="CP81" s="120"/>
      <c r="CQ81" s="120"/>
      <c r="CR81" s="120"/>
      <c r="CS81" s="120"/>
      <c r="CT81" s="120"/>
      <c r="CU81" s="120"/>
      <c r="CV81" s="120"/>
      <c r="CW81" s="120"/>
      <c r="CX81" s="120"/>
      <c r="CY81" s="120"/>
      <c r="CZ81" s="120"/>
      <c r="DA81" s="120"/>
      <c r="DB81" s="120"/>
      <c r="EN81" s="40"/>
      <c r="EO81" s="40"/>
    </row>
    <row r="82" spans="2:145" ht="21" hidden="1" customHeight="1" thickBot="1" x14ac:dyDescent="0.35">
      <c r="G82" s="890"/>
      <c r="H82" s="22"/>
      <c r="I82" s="22"/>
      <c r="J82" s="22"/>
      <c r="K82" s="22"/>
      <c r="L82" s="22"/>
      <c r="M82" s="22"/>
      <c r="N82" s="22"/>
      <c r="O82" s="883"/>
      <c r="BI82" s="81"/>
      <c r="BJ82" s="747"/>
      <c r="BK82" s="81"/>
      <c r="BM82" s="40"/>
      <c r="BN82" s="120"/>
      <c r="BO82" s="120"/>
      <c r="BP82" s="120"/>
      <c r="BQ82" s="120"/>
      <c r="BR82" s="120"/>
      <c r="BS82" s="120"/>
      <c r="BT82" s="120"/>
      <c r="BU82" s="120"/>
      <c r="BV82" s="120"/>
      <c r="BW82" s="120"/>
      <c r="BX82" s="120"/>
      <c r="BY82" s="120"/>
      <c r="BZ82" s="120"/>
      <c r="CA82" s="120"/>
      <c r="CB82" s="120"/>
      <c r="CC82" s="120"/>
      <c r="CD82" s="120"/>
      <c r="CE82" s="120"/>
      <c r="CF82" s="120"/>
      <c r="CG82" s="120"/>
      <c r="CH82" s="120"/>
      <c r="CI82" s="120"/>
      <c r="CJ82" s="120"/>
      <c r="CK82" s="120"/>
      <c r="CL82" s="120"/>
      <c r="CM82" s="120"/>
      <c r="CN82" s="120"/>
      <c r="CO82" s="120"/>
      <c r="CP82" s="120"/>
      <c r="CQ82" s="120"/>
      <c r="CR82" s="120"/>
      <c r="CS82" s="120"/>
      <c r="CT82" s="120"/>
      <c r="CU82" s="120"/>
      <c r="CV82" s="120"/>
      <c r="CW82" s="120"/>
      <c r="CX82" s="120"/>
      <c r="CY82" s="120"/>
      <c r="CZ82" s="120"/>
      <c r="DA82" s="120"/>
      <c r="DB82" s="120"/>
      <c r="EN82" s="40"/>
      <c r="EO82" s="40"/>
    </row>
    <row r="83" spans="2:145" ht="21" hidden="1" customHeight="1" thickBot="1" x14ac:dyDescent="0.35">
      <c r="G83" s="890"/>
      <c r="H83" s="22"/>
      <c r="I83" s="22"/>
      <c r="J83" s="22"/>
      <c r="K83" s="835">
        <v>5</v>
      </c>
      <c r="L83" s="22"/>
      <c r="M83" s="835">
        <v>51</v>
      </c>
      <c r="N83" s="22"/>
      <c r="O83" s="883"/>
      <c r="BI83" s="81"/>
      <c r="BJ83" s="747"/>
      <c r="BK83" s="81"/>
      <c r="BM83" s="40"/>
      <c r="BN83" s="120"/>
      <c r="BO83" s="120"/>
      <c r="BP83" s="120"/>
      <c r="BQ83" s="120"/>
      <c r="BR83" s="120"/>
      <c r="BS83" s="120"/>
      <c r="BT83" s="120"/>
      <c r="BU83" s="120"/>
      <c r="BV83" s="120"/>
      <c r="BW83" s="120"/>
      <c r="BX83" s="120"/>
      <c r="BY83" s="120"/>
      <c r="BZ83" s="120"/>
      <c r="CA83" s="120"/>
      <c r="CB83" s="120"/>
      <c r="CC83" s="120"/>
      <c r="CD83" s="120"/>
      <c r="CE83" s="120"/>
      <c r="CF83" s="120"/>
      <c r="CG83" s="120"/>
      <c r="CH83" s="120"/>
      <c r="CI83" s="120"/>
      <c r="CJ83" s="120"/>
      <c r="CK83" s="120"/>
      <c r="CL83" s="120"/>
      <c r="CM83" s="120"/>
      <c r="CN83" s="120"/>
      <c r="CO83" s="120"/>
      <c r="CP83" s="120"/>
      <c r="CQ83" s="120"/>
      <c r="CR83" s="120"/>
      <c r="CS83" s="120"/>
      <c r="CT83" s="120"/>
      <c r="CU83" s="120"/>
      <c r="CV83" s="120"/>
      <c r="CW83" s="120"/>
      <c r="CX83" s="120"/>
      <c r="CY83" s="120"/>
      <c r="CZ83" s="120"/>
      <c r="DA83" s="120"/>
      <c r="DB83" s="120"/>
      <c r="EN83" s="40"/>
      <c r="EO83" s="40"/>
    </row>
    <row r="84" spans="2:145" ht="16" hidden="1" customHeight="1" thickBot="1" x14ac:dyDescent="0.35">
      <c r="G84" s="890"/>
      <c r="H84" s="22"/>
      <c r="I84" s="22"/>
      <c r="J84" s="22"/>
      <c r="K84" s="836" t="s">
        <v>220</v>
      </c>
      <c r="L84" s="836" t="s">
        <v>221</v>
      </c>
      <c r="M84" s="836" t="s">
        <v>222</v>
      </c>
      <c r="N84" s="22"/>
      <c r="O84" s="883"/>
      <c r="BI84" s="81"/>
      <c r="BJ84" s="747"/>
      <c r="BK84" s="81"/>
      <c r="BM84" s="40"/>
      <c r="BN84" s="120"/>
      <c r="BO84" s="120"/>
      <c r="BP84" s="120"/>
      <c r="BQ84" s="120"/>
      <c r="BR84" s="120"/>
      <c r="BS84" s="120"/>
      <c r="BT84" s="120"/>
      <c r="BU84" s="120"/>
      <c r="BV84" s="120"/>
      <c r="BW84" s="120"/>
      <c r="BX84" s="120"/>
      <c r="BY84" s="120"/>
      <c r="BZ84" s="120"/>
      <c r="CA84" s="120"/>
      <c r="CB84" s="120"/>
      <c r="CC84" s="120"/>
      <c r="CD84" s="120"/>
      <c r="CE84" s="120"/>
      <c r="CF84" s="120"/>
      <c r="CG84" s="120"/>
      <c r="CH84" s="120"/>
      <c r="CI84" s="120"/>
      <c r="CJ84" s="120"/>
      <c r="CK84" s="120"/>
      <c r="CL84" s="120"/>
      <c r="CM84" s="120"/>
      <c r="CN84" s="120"/>
      <c r="CO84" s="120"/>
      <c r="CP84" s="120"/>
      <c r="CQ84" s="120"/>
      <c r="CR84" s="120"/>
      <c r="CS84" s="120"/>
      <c r="CT84" s="120"/>
      <c r="CU84" s="120"/>
      <c r="CV84" s="120"/>
      <c r="CW84" s="120"/>
      <c r="CX84" s="120"/>
      <c r="CY84" s="120"/>
      <c r="CZ84" s="120"/>
      <c r="DA84" s="120"/>
      <c r="DB84" s="120"/>
      <c r="EN84" s="40"/>
      <c r="EO84" s="40"/>
    </row>
    <row r="85" spans="2:145" ht="50.25" hidden="1" customHeight="1" thickBot="1" x14ac:dyDescent="0.35">
      <c r="G85" s="890"/>
      <c r="H85" s="22"/>
      <c r="I85" s="22"/>
      <c r="J85" s="926" t="s">
        <v>192</v>
      </c>
      <c r="K85" s="919">
        <f>+MIN(J19:K20)</f>
        <v>62.865497076023388</v>
      </c>
      <c r="L85" s="920">
        <f>+$E$50/(BN40)</f>
        <v>62.865497076023388</v>
      </c>
      <c r="M85" s="920">
        <f>+MIN(K25:L26)</f>
        <v>53.079345760976054</v>
      </c>
      <c r="N85" s="22"/>
      <c r="O85" s="883"/>
      <c r="BI85" s="81"/>
      <c r="BJ85" s="747"/>
      <c r="BK85" s="81"/>
      <c r="BM85" s="40"/>
      <c r="BN85" s="120"/>
      <c r="BO85" s="120"/>
      <c r="BP85" s="120"/>
      <c r="BQ85" s="120"/>
      <c r="BR85" s="120"/>
      <c r="BS85" s="120"/>
      <c r="BT85" s="120"/>
      <c r="BU85" s="120"/>
      <c r="BV85" s="120"/>
      <c r="BW85" s="120"/>
      <c r="BX85" s="120"/>
      <c r="BY85" s="120"/>
      <c r="BZ85" s="120"/>
      <c r="CA85" s="120"/>
      <c r="CB85" s="120"/>
      <c r="CC85" s="120"/>
      <c r="CD85" s="120"/>
      <c r="CE85" s="120"/>
      <c r="CF85" s="120"/>
      <c r="CG85" s="120"/>
      <c r="CH85" s="120"/>
      <c r="CI85" s="120"/>
      <c r="CJ85" s="120"/>
      <c r="CK85" s="120"/>
      <c r="CL85" s="120"/>
      <c r="CM85" s="120"/>
      <c r="CN85" s="120"/>
      <c r="CO85" s="120"/>
      <c r="CP85" s="120"/>
      <c r="CQ85" s="120"/>
      <c r="CR85" s="120"/>
      <c r="CS85" s="120"/>
      <c r="CT85" s="120"/>
      <c r="CU85" s="120"/>
      <c r="CV85" s="120"/>
      <c r="CW85" s="120"/>
      <c r="CX85" s="120"/>
      <c r="CY85" s="120"/>
      <c r="CZ85" s="120"/>
      <c r="DA85" s="120"/>
      <c r="DB85" s="120"/>
    </row>
    <row r="86" spans="2:145" ht="45" hidden="1" customHeight="1" thickBot="1" x14ac:dyDescent="0.35">
      <c r="G86" s="890"/>
      <c r="H86" s="22"/>
      <c r="I86" s="814">
        <v>6</v>
      </c>
      <c r="J86" s="814">
        <v>61</v>
      </c>
      <c r="K86" s="814">
        <v>62</v>
      </c>
      <c r="L86" s="814">
        <v>63</v>
      </c>
      <c r="M86" s="835">
        <v>64</v>
      </c>
      <c r="N86" s="22"/>
      <c r="O86" s="883"/>
      <c r="BI86" s="81"/>
      <c r="BK86" s="47"/>
      <c r="BL86" s="5"/>
      <c r="BM86" s="56"/>
      <c r="BN86" s="57"/>
      <c r="BO86" s="57"/>
      <c r="BP86" s="57"/>
      <c r="BQ86" s="57"/>
      <c r="BR86" s="57"/>
      <c r="BS86" s="57"/>
      <c r="BT86" s="57"/>
      <c r="BU86" s="57"/>
      <c r="BV86" s="54"/>
      <c r="BW86" s="54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90"/>
      <c r="CI86" s="50"/>
      <c r="CJ86" s="50"/>
      <c r="CK86" s="17"/>
      <c r="CL86" s="55"/>
      <c r="CM86" s="55"/>
      <c r="CN86" s="55"/>
      <c r="CO86" s="55"/>
      <c r="CP86" s="52"/>
      <c r="CQ86" s="52"/>
      <c r="CR86" s="52"/>
      <c r="CS86" s="52"/>
      <c r="CT86" s="52"/>
      <c r="CU86" s="52"/>
      <c r="CV86" s="52"/>
      <c r="CW86" s="52"/>
      <c r="CX86" s="52"/>
      <c r="CY86" s="52"/>
      <c r="CZ86" s="4"/>
      <c r="DA86" s="40"/>
    </row>
    <row r="87" spans="2:145" ht="29" hidden="1" thickBot="1" x14ac:dyDescent="0.35">
      <c r="G87" s="890"/>
      <c r="H87" s="22"/>
      <c r="I87" s="22"/>
      <c r="J87" s="22"/>
      <c r="K87" s="22"/>
      <c r="L87" s="22"/>
      <c r="M87" s="22"/>
      <c r="N87" s="22"/>
      <c r="O87" s="883"/>
      <c r="BI87" s="81"/>
      <c r="BK87" s="47"/>
      <c r="BL87" s="5"/>
      <c r="BM87" s="56"/>
      <c r="BN87" s="57"/>
      <c r="BO87" s="57"/>
      <c r="BP87" s="57"/>
      <c r="BQ87" s="57"/>
      <c r="BR87" s="57"/>
      <c r="BS87" s="57"/>
      <c r="BT87" s="57"/>
      <c r="BU87" s="57"/>
      <c r="BV87" s="54"/>
      <c r="BW87" s="54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78"/>
      <c r="CI87" s="50"/>
      <c r="CJ87" s="50"/>
      <c r="CK87" s="17"/>
      <c r="CL87" s="55"/>
      <c r="CM87" s="55"/>
      <c r="CN87" s="55"/>
      <c r="CO87" s="55"/>
      <c r="CP87" s="52"/>
      <c r="CQ87" s="52"/>
      <c r="CR87" s="52"/>
      <c r="CS87" s="52"/>
      <c r="CT87" s="52"/>
      <c r="CU87" s="52"/>
      <c r="CV87" s="52"/>
      <c r="CW87" s="52"/>
      <c r="CX87" s="52"/>
      <c r="CY87" s="52"/>
      <c r="CZ87" s="60" t="b">
        <f>IF(DA72=40,39)</f>
        <v>0</v>
      </c>
      <c r="DA87" s="40"/>
      <c r="DB87" s="60" t="b">
        <f>IF(DA72=40,41)</f>
        <v>0</v>
      </c>
    </row>
    <row r="88" spans="2:145" ht="29" hidden="1" thickBot="1" x14ac:dyDescent="0.35">
      <c r="G88" s="890"/>
      <c r="H88" s="22"/>
      <c r="I88" s="22"/>
      <c r="J88" s="22"/>
      <c r="K88" s="22"/>
      <c r="L88" s="22"/>
      <c r="M88" s="22"/>
      <c r="N88" s="22"/>
      <c r="O88" s="883"/>
      <c r="BI88" s="81"/>
      <c r="BK88" s="47"/>
      <c r="BL88" s="5"/>
      <c r="BM88" s="56"/>
      <c r="BN88" s="57"/>
      <c r="BO88" s="57"/>
      <c r="BP88" s="57"/>
      <c r="BQ88" s="57"/>
      <c r="BR88" s="57"/>
      <c r="BS88" s="57"/>
      <c r="BT88" s="57"/>
      <c r="BU88" s="57"/>
      <c r="BV88" s="54"/>
      <c r="BW88" s="54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78"/>
      <c r="CI88" s="50"/>
      <c r="CJ88" s="50"/>
      <c r="CK88" s="17"/>
      <c r="CL88" s="55"/>
      <c r="CM88" s="55"/>
      <c r="CN88" s="55"/>
      <c r="CO88" s="55"/>
      <c r="CP88" s="52"/>
      <c r="CQ88" s="52"/>
      <c r="CR88" s="52"/>
      <c r="CS88" s="52"/>
      <c r="CT88" s="52"/>
      <c r="CU88" s="52"/>
      <c r="CV88" s="52"/>
      <c r="CW88" s="52"/>
      <c r="CX88" s="60" t="b">
        <f>IF(CZ72=39,37)</f>
        <v>0</v>
      </c>
      <c r="CY88" s="52"/>
      <c r="CZ88" s="4"/>
      <c r="DA88" s="40"/>
      <c r="DB88" s="60" t="b">
        <f>IF(CZ72=39,41)</f>
        <v>0</v>
      </c>
    </row>
    <row r="89" spans="2:145" ht="55.5" hidden="1" customHeight="1" thickBot="1" x14ac:dyDescent="0.35">
      <c r="G89" s="890"/>
      <c r="H89" s="22"/>
      <c r="I89" s="22"/>
      <c r="J89" s="22"/>
      <c r="K89" s="22"/>
      <c r="L89" s="22"/>
      <c r="M89" s="22"/>
      <c r="N89" s="22"/>
      <c r="O89" s="883"/>
      <c r="BK89" s="47"/>
      <c r="BL89" s="5"/>
      <c r="BM89" s="56"/>
      <c r="BN89" s="57"/>
      <c r="BO89" s="57"/>
      <c r="BP89" s="57"/>
      <c r="BQ89" s="57"/>
      <c r="BR89" s="57"/>
      <c r="BS89" s="57"/>
      <c r="BT89" s="57"/>
      <c r="BU89" s="57"/>
      <c r="BV89" s="54"/>
      <c r="BW89" s="54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78"/>
      <c r="CI89" s="50"/>
      <c r="CJ89" s="50"/>
      <c r="CK89" s="17"/>
      <c r="CL89" s="55"/>
      <c r="CM89" s="55"/>
      <c r="CN89" s="55"/>
      <c r="CO89" s="55"/>
      <c r="CP89" s="52"/>
      <c r="CQ89" s="52"/>
      <c r="CR89" s="52"/>
      <c r="CS89" s="52"/>
      <c r="CT89" s="52"/>
      <c r="CU89" s="52"/>
      <c r="CV89" s="60" t="b">
        <f>IF(CY72=38,35)</f>
        <v>0</v>
      </c>
      <c r="CW89" s="52"/>
      <c r="CX89" s="52"/>
      <c r="CY89" s="52"/>
      <c r="CZ89" s="4"/>
      <c r="DA89" s="40"/>
      <c r="DB89" s="60" t="b">
        <f>IF(CY72=38,41)</f>
        <v>0</v>
      </c>
    </row>
    <row r="90" spans="2:145" ht="56" hidden="1" customHeight="1" thickBot="1" x14ac:dyDescent="0.35">
      <c r="G90" s="890"/>
      <c r="H90" s="22"/>
      <c r="I90" s="22"/>
      <c r="J90" s="22"/>
      <c r="K90" s="22"/>
      <c r="L90" s="22"/>
      <c r="M90" s="22"/>
      <c r="N90" s="22"/>
      <c r="O90" s="883"/>
      <c r="BK90" s="47"/>
      <c r="BL90" s="5"/>
      <c r="BM90" s="56"/>
      <c r="BN90" s="57"/>
      <c r="BO90" s="57"/>
      <c r="BP90" s="57"/>
      <c r="BQ90" s="57"/>
      <c r="BR90" s="57"/>
      <c r="BS90" s="57"/>
      <c r="BT90" s="57"/>
      <c r="BU90" s="57"/>
      <c r="BV90" s="54"/>
      <c r="BW90" s="54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78"/>
      <c r="CI90" s="50"/>
      <c r="CJ90" s="50"/>
      <c r="CK90" s="17"/>
      <c r="CL90" s="55"/>
      <c r="CM90" s="55"/>
      <c r="CN90" s="55"/>
      <c r="CO90" s="55"/>
      <c r="CP90" s="52"/>
      <c r="CQ90" s="52"/>
      <c r="CR90" s="52"/>
      <c r="CS90" s="52"/>
      <c r="CT90" s="60" t="b">
        <f>IF(CX72=37,33)</f>
        <v>0</v>
      </c>
      <c r="CU90" s="52"/>
      <c r="CV90" s="52"/>
      <c r="CW90" s="52"/>
      <c r="CX90" s="52"/>
      <c r="CY90" s="52"/>
      <c r="CZ90" s="4"/>
      <c r="DA90" s="40"/>
      <c r="DB90" s="60" t="b">
        <f>IF(CX72=37,41)</f>
        <v>0</v>
      </c>
    </row>
    <row r="91" spans="2:145" ht="45" hidden="1" customHeight="1" thickBot="1" x14ac:dyDescent="0.35">
      <c r="G91" s="890"/>
      <c r="H91" s="22"/>
      <c r="I91" s="22"/>
      <c r="J91" s="22"/>
      <c r="K91" s="22"/>
      <c r="L91" s="22"/>
      <c r="M91" s="22"/>
      <c r="N91" s="22"/>
      <c r="O91" s="883"/>
      <c r="BK91" s="47"/>
      <c r="BL91" s="5"/>
      <c r="BM91" s="56">
        <v>36</v>
      </c>
      <c r="BN91" s="57"/>
      <c r="BO91" s="57"/>
      <c r="BP91" s="57"/>
      <c r="BQ91" s="57"/>
      <c r="BR91" s="57"/>
      <c r="BS91" s="57"/>
      <c r="BT91" s="57"/>
      <c r="BU91" s="57"/>
      <c r="BV91" s="54"/>
      <c r="BW91" s="54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78"/>
      <c r="CI91" s="50"/>
      <c r="CJ91" s="50"/>
      <c r="CK91" s="17"/>
      <c r="CL91" s="55"/>
      <c r="CM91" s="55"/>
      <c r="CN91" s="55"/>
      <c r="CO91" s="55"/>
      <c r="CP91" s="52"/>
      <c r="CQ91" s="52"/>
      <c r="CR91" s="58" t="b">
        <f>IF(CW72=36,31)</f>
        <v>0</v>
      </c>
      <c r="CS91" s="52"/>
      <c r="CT91" s="52"/>
      <c r="CU91" s="52"/>
      <c r="CW91" s="59"/>
      <c r="CY91" s="52"/>
      <c r="CZ91" s="4"/>
      <c r="DA91" s="40"/>
      <c r="DB91" s="60" t="b">
        <f>IF(CW72=36,41)</f>
        <v>0</v>
      </c>
    </row>
    <row r="92" spans="2:145" ht="64.5" hidden="1" customHeight="1" thickBot="1" x14ac:dyDescent="0.35">
      <c r="B92" s="297"/>
      <c r="C92" s="297"/>
      <c r="D92" s="298"/>
      <c r="E92" s="298"/>
      <c r="F92" s="298"/>
      <c r="G92" s="890"/>
      <c r="H92" s="22"/>
      <c r="I92" s="22"/>
      <c r="J92" s="22"/>
      <c r="K92" s="22"/>
      <c r="L92" s="22"/>
      <c r="M92" s="22"/>
      <c r="N92" s="22"/>
      <c r="O92" s="883"/>
      <c r="BE92" s="81"/>
      <c r="BF92" s="81"/>
      <c r="BG92" s="81"/>
      <c r="BH92" s="81"/>
      <c r="BK92" s="47"/>
      <c r="BL92" s="5"/>
      <c r="BM92" s="56">
        <v>35</v>
      </c>
      <c r="BN92" s="57"/>
      <c r="BO92" s="57"/>
      <c r="BP92" s="57"/>
      <c r="BQ92" s="57"/>
      <c r="BR92" s="57"/>
      <c r="BS92" s="57"/>
      <c r="BT92" s="57"/>
      <c r="BU92" s="57"/>
      <c r="BV92" s="54"/>
      <c r="BW92" s="54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78"/>
      <c r="CI92" s="50"/>
      <c r="CJ92" s="50"/>
      <c r="CK92" s="17"/>
      <c r="CL92" s="55"/>
      <c r="CM92" s="55"/>
      <c r="CN92" s="55"/>
      <c r="CO92" s="55"/>
      <c r="CP92" s="58" t="b">
        <f>IF(CV72=35,29)</f>
        <v>0</v>
      </c>
      <c r="CQ92" s="52"/>
      <c r="CR92" s="52"/>
      <c r="CS92" s="52"/>
      <c r="CU92" s="59"/>
      <c r="CV92" s="59"/>
      <c r="CW92" s="59"/>
      <c r="CY92" s="52"/>
      <c r="CZ92" s="4"/>
      <c r="DA92" s="40"/>
      <c r="DB92" s="60" t="b">
        <f>IF(CV72=35,41)</f>
        <v>0</v>
      </c>
    </row>
    <row r="93" spans="2:145" ht="163.5" hidden="1" customHeight="1" thickBot="1" x14ac:dyDescent="0.35">
      <c r="E93" s="291"/>
      <c r="F93" s="291"/>
      <c r="G93" s="890"/>
      <c r="H93" s="22"/>
      <c r="I93" s="22"/>
      <c r="J93" s="22"/>
      <c r="K93" s="22"/>
      <c r="L93" s="22"/>
      <c r="M93" s="22"/>
      <c r="N93" s="22"/>
      <c r="O93" s="883"/>
      <c r="U93" s="67"/>
      <c r="AB93" s="67"/>
      <c r="AC93" s="67"/>
      <c r="AD93" s="67"/>
      <c r="AE93" s="67"/>
      <c r="BK93" s="47"/>
      <c r="BL93" s="5"/>
      <c r="BM93" s="56">
        <v>34</v>
      </c>
      <c r="BN93" s="57"/>
      <c r="BO93" s="57"/>
      <c r="BP93" s="57"/>
      <c r="BQ93" s="57"/>
      <c r="BR93" s="57"/>
      <c r="BS93" s="57"/>
      <c r="BT93" s="57"/>
      <c r="BU93" s="57"/>
      <c r="BV93" s="54"/>
      <c r="BW93" s="54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78"/>
      <c r="CI93" s="50"/>
      <c r="CJ93" s="50"/>
      <c r="CK93" s="17"/>
      <c r="CL93" s="55"/>
      <c r="CM93" s="55"/>
      <c r="CN93" s="58" t="b">
        <f>IF(CU72=34,27)</f>
        <v>0</v>
      </c>
      <c r="CO93" s="55"/>
      <c r="CP93" s="52"/>
      <c r="CQ93" s="52"/>
      <c r="CS93" s="59"/>
      <c r="CT93" s="59"/>
      <c r="CU93" s="59"/>
      <c r="CV93" s="59"/>
      <c r="CW93" s="59"/>
      <c r="CY93" s="52"/>
      <c r="CZ93" s="4"/>
      <c r="DA93" s="40"/>
      <c r="DB93" s="60" t="b">
        <f>IF(CU72=34,41)</f>
        <v>0</v>
      </c>
    </row>
    <row r="94" spans="2:145" ht="29" hidden="1" thickBot="1" x14ac:dyDescent="0.35">
      <c r="D94" s="291"/>
      <c r="E94" s="291"/>
      <c r="F94" s="291"/>
      <c r="G94" s="890"/>
      <c r="H94" s="22"/>
      <c r="I94" s="22"/>
      <c r="J94" s="22"/>
      <c r="K94" s="22"/>
      <c r="L94" s="22"/>
      <c r="M94" s="22"/>
      <c r="N94" s="22"/>
      <c r="O94" s="883"/>
      <c r="U94" s="67"/>
      <c r="AB94" s="67"/>
      <c r="AC94" s="67"/>
      <c r="AD94" s="67"/>
      <c r="AE94" s="67"/>
      <c r="BK94" s="47"/>
      <c r="BL94" s="5"/>
      <c r="BM94" s="56">
        <v>33</v>
      </c>
      <c r="BN94" s="57"/>
      <c r="BO94" s="57"/>
      <c r="BP94" s="57"/>
      <c r="BQ94" s="57"/>
      <c r="BR94" s="57"/>
      <c r="BS94" s="57"/>
      <c r="BT94" s="57"/>
      <c r="BU94" s="57"/>
      <c r="BV94" s="54"/>
      <c r="BW94" s="54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78"/>
      <c r="CI94" s="50"/>
      <c r="CJ94" s="50"/>
      <c r="CK94" s="17"/>
      <c r="CL94" s="58" t="b">
        <f>IF(CT72=33,25)</f>
        <v>0</v>
      </c>
      <c r="CM94" s="55"/>
      <c r="CN94" s="55"/>
      <c r="CO94" s="55"/>
      <c r="CQ94" s="59"/>
      <c r="CR94" s="59"/>
      <c r="CS94" s="59"/>
      <c r="CT94" s="59"/>
      <c r="CU94" s="59"/>
      <c r="CV94" s="59"/>
      <c r="CW94" s="59"/>
      <c r="CY94" s="52"/>
      <c r="CZ94" s="4"/>
      <c r="DA94" s="40"/>
      <c r="DB94" s="60" t="b">
        <f>IF(CT72=33,41)</f>
        <v>0</v>
      </c>
    </row>
    <row r="95" spans="2:145" ht="29" hidden="1" thickBot="1" x14ac:dyDescent="0.35">
      <c r="D95" s="291"/>
      <c r="E95" s="291"/>
      <c r="F95" s="291"/>
      <c r="G95" s="890"/>
      <c r="H95" s="22"/>
      <c r="I95" s="22"/>
      <c r="J95" s="22"/>
      <c r="K95" s="22"/>
      <c r="L95" s="22"/>
      <c r="M95" s="22"/>
      <c r="N95" s="22"/>
      <c r="O95" s="883"/>
      <c r="U95" s="67"/>
      <c r="AB95" s="67"/>
      <c r="AC95" s="67"/>
      <c r="AD95" s="67"/>
      <c r="AE95" s="67"/>
      <c r="BK95" s="47"/>
      <c r="BM95" s="56">
        <v>32</v>
      </c>
      <c r="BN95" s="62"/>
      <c r="BO95" s="62"/>
      <c r="BP95" s="62"/>
      <c r="BQ95" s="62"/>
      <c r="BR95" s="62"/>
      <c r="BS95" s="63"/>
      <c r="BT95" s="62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62"/>
      <c r="CF95" s="62"/>
      <c r="CG95" s="62"/>
      <c r="CH95" s="579"/>
      <c r="CI95" s="62"/>
      <c r="CJ95" s="58" t="b">
        <f>IF(CS72=32,23)</f>
        <v>0</v>
      </c>
      <c r="CK95" s="63"/>
      <c r="CL95" s="40"/>
      <c r="CM95" s="40"/>
      <c r="CO95" s="64"/>
      <c r="CP95" s="64"/>
      <c r="CQ95" s="64"/>
      <c r="CR95" s="64"/>
      <c r="CS95" s="64"/>
      <c r="CT95" s="64"/>
      <c r="CU95" s="64"/>
      <c r="CV95" s="64"/>
      <c r="CW95" s="64"/>
      <c r="CY95" s="40"/>
      <c r="CZ95" s="40"/>
      <c r="DB95" s="60" t="b">
        <f>IF(CS72=32,41)</f>
        <v>0</v>
      </c>
    </row>
    <row r="96" spans="2:145" ht="29" hidden="1" thickBot="1" x14ac:dyDescent="0.35">
      <c r="B96" s="292"/>
      <c r="C96" s="292"/>
      <c r="D96" s="291"/>
      <c r="E96" s="291"/>
      <c r="F96" s="291"/>
      <c r="G96" s="890"/>
      <c r="H96" s="22"/>
      <c r="I96" s="22"/>
      <c r="J96" s="22"/>
      <c r="K96" s="22"/>
      <c r="L96" s="22"/>
      <c r="M96" s="22"/>
      <c r="N96" s="22"/>
      <c r="O96" s="883"/>
      <c r="U96" s="67"/>
      <c r="AB96" s="67"/>
      <c r="AC96" s="67"/>
      <c r="AD96" s="67"/>
      <c r="AE96" s="67"/>
      <c r="BK96" s="47"/>
      <c r="BM96" s="56">
        <v>31</v>
      </c>
      <c r="BN96" s="62"/>
      <c r="BO96" s="62"/>
      <c r="BP96" s="62"/>
      <c r="BQ96" s="62"/>
      <c r="BR96" s="62"/>
      <c r="BS96" s="63"/>
      <c r="BT96" s="62"/>
      <c r="BU96" s="62"/>
      <c r="BV96" s="62"/>
      <c r="BW96" s="62"/>
      <c r="BX96" s="62"/>
      <c r="BY96" s="62"/>
      <c r="BZ96" s="62"/>
      <c r="CA96" s="62"/>
      <c r="CB96" s="62"/>
      <c r="CC96" s="62"/>
      <c r="CD96" s="62"/>
      <c r="CE96" s="62"/>
      <c r="CF96" s="62"/>
      <c r="CG96" s="62"/>
      <c r="CH96" s="579"/>
      <c r="CI96" s="58" t="b">
        <f>IF(CR72=31,22)</f>
        <v>0</v>
      </c>
      <c r="CJ96" s="62"/>
      <c r="CK96" s="63"/>
      <c r="CM96" s="64"/>
      <c r="CN96" s="64"/>
      <c r="CO96" s="64"/>
      <c r="CP96" s="64"/>
      <c r="CQ96" s="64"/>
      <c r="CR96" s="64"/>
      <c r="CS96" s="64"/>
      <c r="CT96" s="64"/>
      <c r="CU96" s="64"/>
      <c r="CV96" s="64"/>
      <c r="CW96" s="64"/>
      <c r="CY96" s="40"/>
      <c r="CZ96" s="40"/>
      <c r="DA96" s="60" t="b">
        <f>IF(CR72=31,40)</f>
        <v>0</v>
      </c>
    </row>
    <row r="97" spans="2:105" ht="29" hidden="1" thickBot="1" x14ac:dyDescent="0.35">
      <c r="B97" s="292"/>
      <c r="C97" s="292"/>
      <c r="D97" s="291"/>
      <c r="E97" s="291"/>
      <c r="F97" s="291"/>
      <c r="G97" s="890"/>
      <c r="H97" s="22"/>
      <c r="I97" s="22"/>
      <c r="J97" s="22"/>
      <c r="K97" s="22"/>
      <c r="L97" s="22"/>
      <c r="M97" s="22"/>
      <c r="N97" s="22"/>
      <c r="O97" s="883"/>
      <c r="U97" s="67"/>
      <c r="AB97" s="67"/>
      <c r="AC97" s="67"/>
      <c r="AD97" s="67"/>
      <c r="AE97" s="67"/>
      <c r="BK97" s="47"/>
      <c r="BM97" s="56">
        <v>30</v>
      </c>
      <c r="BN97" s="62"/>
      <c r="BO97" s="62"/>
      <c r="BP97" s="62"/>
      <c r="BQ97" s="62"/>
      <c r="BR97" s="62"/>
      <c r="BS97" s="63"/>
      <c r="BT97" s="62"/>
      <c r="BU97" s="62"/>
      <c r="BV97" s="62"/>
      <c r="BW97" s="62"/>
      <c r="BX97" s="62"/>
      <c r="BY97" s="62"/>
      <c r="BZ97" s="62"/>
      <c r="CA97" s="62"/>
      <c r="CB97" s="62"/>
      <c r="CC97" s="62"/>
      <c r="CD97" s="62"/>
      <c r="CE97" s="62"/>
      <c r="CF97" s="62"/>
      <c r="CG97" s="62"/>
      <c r="CH97" s="579"/>
      <c r="CI97" s="58" t="b">
        <f>IF(CQ72=30,22)</f>
        <v>0</v>
      </c>
      <c r="CK97" s="65"/>
      <c r="CL97" s="64"/>
      <c r="CM97" s="64"/>
      <c r="CN97" s="64"/>
      <c r="CO97" s="64"/>
      <c r="CP97" s="64"/>
      <c r="CQ97" s="64"/>
      <c r="CR97" s="64"/>
      <c r="CS97" s="64"/>
      <c r="CT97" s="64"/>
      <c r="CU97" s="64"/>
      <c r="CV97" s="64"/>
      <c r="CW97" s="64"/>
      <c r="CY97" s="60" t="b">
        <f>IF(CQ72=30,38)</f>
        <v>0</v>
      </c>
      <c r="CZ97" s="40"/>
      <c r="DA97" s="40"/>
    </row>
    <row r="98" spans="2:105" ht="29" hidden="1" thickBot="1" x14ac:dyDescent="0.35">
      <c r="B98" s="293"/>
      <c r="E98" s="291"/>
      <c r="F98" s="291"/>
      <c r="G98" s="890"/>
      <c r="H98" s="22"/>
      <c r="I98" s="22"/>
      <c r="J98" s="22"/>
      <c r="K98" s="22"/>
      <c r="L98" s="22"/>
      <c r="M98" s="22"/>
      <c r="N98" s="22"/>
      <c r="O98" s="883"/>
      <c r="U98" s="67"/>
      <c r="AB98" s="67"/>
      <c r="AC98" s="67"/>
      <c r="AD98" s="67"/>
      <c r="AE98" s="67"/>
      <c r="BK98" s="47"/>
      <c r="BL98" s="67"/>
      <c r="BM98" s="56">
        <v>29</v>
      </c>
      <c r="BN98" s="40"/>
      <c r="BO98" s="40"/>
      <c r="BP98" s="40"/>
      <c r="BQ98" s="40"/>
      <c r="BR98" s="40"/>
      <c r="BS98" s="40"/>
      <c r="BT98" s="40"/>
      <c r="BU98" s="40"/>
      <c r="BV98" s="40"/>
      <c r="BW98" s="40"/>
      <c r="BX98" s="40"/>
      <c r="BY98" s="40"/>
      <c r="BZ98" s="40"/>
      <c r="CA98" s="40"/>
      <c r="CB98" s="40"/>
      <c r="CC98" s="40"/>
      <c r="CD98" s="40"/>
      <c r="CE98" s="40"/>
      <c r="CF98" s="40"/>
      <c r="CG98" s="40"/>
      <c r="CI98" s="580" t="b">
        <f>IF(CP72=29,22)</f>
        <v>0</v>
      </c>
      <c r="CJ98" s="64"/>
      <c r="CK98" s="64"/>
      <c r="CL98" s="64"/>
      <c r="CM98" s="64"/>
      <c r="CN98" s="64"/>
      <c r="CO98" s="69"/>
      <c r="CP98" s="64"/>
      <c r="CQ98" s="69"/>
      <c r="CR98" s="70"/>
      <c r="CS98" s="70"/>
      <c r="CT98" s="70"/>
      <c r="CU98" s="70"/>
      <c r="CV98" s="70"/>
      <c r="CW98" s="60" t="b">
        <f>IF(CP72=29,36)</f>
        <v>0</v>
      </c>
      <c r="CY98" s="38"/>
      <c r="CZ98" s="40"/>
      <c r="DA98" s="40"/>
    </row>
    <row r="99" spans="2:105" ht="29" hidden="1" thickBot="1" x14ac:dyDescent="0.35">
      <c r="B99" s="27"/>
      <c r="C99" s="292"/>
      <c r="D99" s="291"/>
      <c r="E99" s="27"/>
      <c r="G99" s="890"/>
      <c r="H99" s="22"/>
      <c r="I99" s="22"/>
      <c r="J99" s="22"/>
      <c r="K99" s="22"/>
      <c r="L99" s="22"/>
      <c r="M99" s="22"/>
      <c r="N99" s="22"/>
      <c r="O99" s="883"/>
      <c r="U99" s="67"/>
      <c r="AB99" s="67"/>
      <c r="AC99" s="67"/>
      <c r="AD99" s="67"/>
      <c r="AE99" s="67"/>
      <c r="BK99" s="47"/>
      <c r="BL99" s="67"/>
      <c r="BM99" s="56">
        <v>28</v>
      </c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40"/>
      <c r="BY99" s="40"/>
      <c r="BZ99" s="40"/>
      <c r="CA99" s="40"/>
      <c r="CB99" s="40"/>
      <c r="CC99" s="40"/>
      <c r="CD99" s="40"/>
      <c r="CE99" s="40"/>
      <c r="CF99" s="40"/>
      <c r="CG99" s="40"/>
      <c r="CI99" s="581" t="b">
        <f>IF(CO72=28,22)</f>
        <v>0</v>
      </c>
      <c r="CJ99" s="72"/>
      <c r="CK99" s="72"/>
      <c r="CL99" s="72"/>
      <c r="CM99" s="73"/>
      <c r="CN99" s="72"/>
      <c r="CO99" s="72"/>
      <c r="CP99" s="72"/>
      <c r="CQ99" s="73"/>
      <c r="CR99" s="74"/>
      <c r="CS99" s="74"/>
      <c r="CT99" s="74"/>
      <c r="CU99" s="75" t="b">
        <f>IF(CO72=28,34)</f>
        <v>0</v>
      </c>
      <c r="CW99" s="38"/>
      <c r="CX99" s="38"/>
      <c r="CY99" s="38"/>
      <c r="CZ99" s="40"/>
      <c r="DA99" s="40"/>
    </row>
    <row r="100" spans="2:105" ht="29" hidden="1" thickBot="1" x14ac:dyDescent="0.35">
      <c r="B100" s="292"/>
      <c r="C100" s="292"/>
      <c r="D100" s="291"/>
      <c r="E100" s="291"/>
      <c r="F100" s="291"/>
      <c r="G100" s="890"/>
      <c r="H100" s="22"/>
      <c r="I100" s="22"/>
      <c r="J100" s="22"/>
      <c r="K100" s="22"/>
      <c r="L100" s="22"/>
      <c r="M100" s="22"/>
      <c r="N100" s="22"/>
      <c r="O100" s="883"/>
      <c r="U100" s="67"/>
      <c r="AB100" s="67"/>
      <c r="AC100" s="67"/>
      <c r="AD100" s="67"/>
      <c r="AE100" s="67"/>
      <c r="BK100" s="47"/>
      <c r="BL100" s="67"/>
      <c r="BM100" s="56">
        <v>27</v>
      </c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581" t="b">
        <f>IF(CN72=27,13)</f>
        <v>0</v>
      </c>
      <c r="CA100" s="40"/>
      <c r="CB100" s="40"/>
      <c r="CC100" s="40"/>
      <c r="CD100" s="40"/>
      <c r="CE100" s="40"/>
      <c r="CF100" s="40"/>
      <c r="CG100" s="40"/>
      <c r="CI100" s="72"/>
      <c r="CJ100" s="72"/>
      <c r="CK100" s="73"/>
      <c r="CL100" s="72"/>
      <c r="CM100" s="72"/>
      <c r="CN100" s="72"/>
      <c r="CO100" s="72"/>
      <c r="CP100" s="72"/>
      <c r="CQ100" s="73"/>
      <c r="CR100" s="74"/>
      <c r="CS100" s="74"/>
      <c r="CU100" s="38"/>
      <c r="CV100" s="38"/>
      <c r="CW100" s="38"/>
      <c r="CX100" s="38"/>
      <c r="CY100" s="38"/>
      <c r="CZ100" s="40"/>
      <c r="DA100" s="75" t="b">
        <f>IF(CN72=27,40)</f>
        <v>0</v>
      </c>
    </row>
    <row r="101" spans="2:105" ht="29" hidden="1" thickBot="1" x14ac:dyDescent="0.35">
      <c r="B101" s="6"/>
      <c r="C101" s="292"/>
      <c r="E101" s="6"/>
      <c r="G101" s="890"/>
      <c r="H101" s="22"/>
      <c r="I101" s="22"/>
      <c r="J101" s="22"/>
      <c r="K101" s="22"/>
      <c r="L101" s="22"/>
      <c r="M101" s="22"/>
      <c r="N101" s="22"/>
      <c r="O101" s="883"/>
      <c r="U101" s="67"/>
      <c r="AB101" s="67"/>
      <c r="AC101" s="67"/>
      <c r="AD101" s="67"/>
      <c r="AE101" s="67"/>
      <c r="BE101" s="67"/>
      <c r="BF101" s="67"/>
      <c r="BG101" s="67"/>
      <c r="BH101" s="67"/>
      <c r="BK101" s="47"/>
      <c r="BM101" s="56">
        <v>26</v>
      </c>
      <c r="BN101" s="40"/>
      <c r="BO101" s="40"/>
      <c r="BP101" s="40"/>
      <c r="BQ101" s="40"/>
      <c r="BR101" s="40"/>
      <c r="BS101" s="40"/>
      <c r="BT101" s="40"/>
      <c r="BU101" s="40"/>
      <c r="BV101" s="40"/>
      <c r="BW101" s="40"/>
      <c r="BX101" s="40"/>
      <c r="BY101" s="40"/>
      <c r="BZ101" s="581" t="b">
        <f>IF(CM72=26,13)</f>
        <v>0</v>
      </c>
      <c r="CA101" s="40"/>
      <c r="CB101" s="40"/>
      <c r="CC101" s="40"/>
      <c r="CD101" s="40"/>
      <c r="CE101" s="40"/>
      <c r="CF101" s="40"/>
      <c r="CG101" s="40"/>
      <c r="CI101" s="73"/>
      <c r="CJ101" s="72"/>
      <c r="CK101" s="72"/>
      <c r="CL101" s="72"/>
      <c r="CM101" s="72"/>
      <c r="CN101" s="72"/>
      <c r="CO101" s="72"/>
      <c r="CP101" s="72"/>
      <c r="CQ101" s="73"/>
      <c r="CS101" s="38"/>
      <c r="CT101" s="38"/>
      <c r="CU101" s="38"/>
      <c r="CV101" s="38"/>
      <c r="CW101" s="38"/>
      <c r="CX101" s="38"/>
      <c r="CY101" s="75" t="b">
        <f>IF(CM72=26,38)</f>
        <v>0</v>
      </c>
      <c r="CZ101" s="40"/>
      <c r="DA101" s="40"/>
    </row>
    <row r="102" spans="2:105" ht="31" hidden="1" thickBot="1" x14ac:dyDescent="0.35">
      <c r="B102" s="30"/>
      <c r="C102" s="292"/>
      <c r="E102" s="31"/>
      <c r="G102" s="890"/>
      <c r="H102" s="22"/>
      <c r="I102" s="22"/>
      <c r="J102" s="22"/>
      <c r="K102" s="22"/>
      <c r="L102" s="22"/>
      <c r="M102" s="22"/>
      <c r="N102" s="22"/>
      <c r="O102" s="883"/>
      <c r="U102" s="67"/>
      <c r="AB102" s="67"/>
      <c r="AC102" s="67"/>
      <c r="AD102" s="67"/>
      <c r="AE102" s="67"/>
      <c r="BE102" s="67"/>
      <c r="BF102" s="67"/>
      <c r="BG102" s="67"/>
      <c r="BH102" s="67"/>
      <c r="BK102" s="47"/>
      <c r="BL102" s="77"/>
      <c r="BM102" s="56">
        <v>25</v>
      </c>
      <c r="BN102" s="40"/>
      <c r="BO102" s="40"/>
      <c r="BP102" s="40"/>
      <c r="BQ102" s="40"/>
      <c r="BR102" s="40"/>
      <c r="BS102" s="40"/>
      <c r="BT102" s="40"/>
      <c r="BU102" s="40"/>
      <c r="BV102" s="40"/>
      <c r="BW102" s="40"/>
      <c r="BX102" s="40"/>
      <c r="BZ102" s="581" t="b">
        <f>IF(CL72=25,13)</f>
        <v>0</v>
      </c>
      <c r="CA102" s="40"/>
      <c r="CB102" s="40"/>
      <c r="CC102" s="40"/>
      <c r="CD102" s="40"/>
      <c r="CE102" s="40"/>
      <c r="CF102" s="40"/>
      <c r="CI102" s="72"/>
      <c r="CJ102" s="72"/>
      <c r="CK102" s="72"/>
      <c r="CL102" s="72"/>
      <c r="CM102" s="72"/>
      <c r="CN102" s="72"/>
      <c r="CO102" s="72"/>
      <c r="CR102" s="38"/>
      <c r="CS102" s="38"/>
      <c r="CT102" s="38"/>
      <c r="CU102" s="38"/>
      <c r="CV102" s="38"/>
      <c r="CW102" s="75" t="b">
        <f>IF(CL72=25,36)</f>
        <v>0</v>
      </c>
      <c r="CX102" s="38"/>
      <c r="CY102" s="38"/>
      <c r="CZ102" s="40"/>
      <c r="DA102" s="40"/>
    </row>
    <row r="103" spans="2:105" ht="29" hidden="1" thickBot="1" x14ac:dyDescent="0.35">
      <c r="B103" s="292"/>
      <c r="C103" s="292"/>
      <c r="D103" s="291"/>
      <c r="E103" s="291"/>
      <c r="F103" s="291"/>
      <c r="G103" s="890"/>
      <c r="H103" s="22"/>
      <c r="I103" s="22"/>
      <c r="J103" s="22"/>
      <c r="K103" s="22"/>
      <c r="L103" s="22"/>
      <c r="M103" s="22"/>
      <c r="N103" s="22"/>
      <c r="O103" s="883"/>
      <c r="U103" s="67"/>
      <c r="AB103" s="67"/>
      <c r="AC103" s="67"/>
      <c r="AD103" s="67"/>
      <c r="AE103" s="67"/>
      <c r="BE103" s="67"/>
      <c r="BF103" s="67"/>
      <c r="BG103" s="67"/>
      <c r="BH103" s="67"/>
      <c r="BK103" s="47"/>
      <c r="BL103" s="77"/>
      <c r="BM103" s="56">
        <v>24</v>
      </c>
      <c r="BN103" s="40"/>
      <c r="BO103" s="40"/>
      <c r="BP103" s="40"/>
      <c r="BQ103" s="40"/>
      <c r="BR103" s="40"/>
      <c r="BS103" s="40"/>
      <c r="BT103" s="40"/>
      <c r="BU103" s="40"/>
      <c r="BV103" s="40"/>
      <c r="BW103" s="40"/>
      <c r="BX103" s="40"/>
      <c r="BZ103" s="68" t="b">
        <f>IF(CK72=24,13)</f>
        <v>0</v>
      </c>
      <c r="CA103" s="64"/>
      <c r="CB103" s="64"/>
      <c r="CC103" s="64"/>
      <c r="CD103" s="64"/>
      <c r="CE103" s="256"/>
      <c r="CF103" s="575"/>
      <c r="CG103" s="575"/>
      <c r="CH103" s="582"/>
      <c r="CI103" s="64"/>
      <c r="CJ103" s="64"/>
      <c r="CK103" s="64"/>
      <c r="CL103" s="64"/>
      <c r="CM103" s="64"/>
      <c r="CN103" s="64"/>
      <c r="CO103" s="64"/>
      <c r="CP103" s="64"/>
      <c r="CQ103" s="69"/>
      <c r="CR103" s="70"/>
      <c r="CS103" s="70"/>
      <c r="CT103" s="70"/>
      <c r="CU103" s="60" t="b">
        <f>IF(CK72=24,34)</f>
        <v>0</v>
      </c>
      <c r="CV103" s="70"/>
      <c r="CX103" s="38"/>
      <c r="CY103" s="38"/>
      <c r="CZ103" s="40"/>
      <c r="DA103" s="40"/>
    </row>
    <row r="104" spans="2:105" ht="29" hidden="1" thickBot="1" x14ac:dyDescent="0.35">
      <c r="B104" s="292"/>
      <c r="C104" s="292"/>
      <c r="D104" s="291"/>
      <c r="E104" s="291"/>
      <c r="F104" s="291"/>
      <c r="G104" s="890"/>
      <c r="H104" s="22"/>
      <c r="I104" s="22"/>
      <c r="J104" s="22"/>
      <c r="K104" s="22"/>
      <c r="L104" s="22"/>
      <c r="M104" s="22"/>
      <c r="N104" s="22"/>
      <c r="O104" s="883"/>
      <c r="U104" s="67"/>
      <c r="AB104" s="67"/>
      <c r="AC104" s="67"/>
      <c r="AD104" s="67"/>
      <c r="AE104" s="67"/>
      <c r="BK104" s="47"/>
      <c r="BL104" s="77"/>
      <c r="BM104" s="56">
        <v>23</v>
      </c>
      <c r="BN104" s="40"/>
      <c r="BO104" s="40"/>
      <c r="BP104" s="40"/>
      <c r="BQ104" s="40"/>
      <c r="BR104" s="40"/>
      <c r="BS104" s="40"/>
      <c r="BT104" s="40"/>
      <c r="BU104" s="40"/>
      <c r="BV104" s="40"/>
      <c r="BW104" s="40"/>
      <c r="BX104" s="40"/>
      <c r="BZ104" s="71" t="b">
        <f>IF(CJ72=23,13)</f>
        <v>0</v>
      </c>
      <c r="CA104" s="72"/>
      <c r="CB104" s="72"/>
      <c r="CC104" s="73"/>
      <c r="CD104" s="72"/>
      <c r="CE104" s="575"/>
      <c r="CF104" s="575"/>
      <c r="CG104" s="575"/>
      <c r="CH104" s="583"/>
      <c r="CI104" s="72"/>
      <c r="CJ104" s="72"/>
      <c r="CK104" s="72"/>
      <c r="CL104" s="72"/>
      <c r="CM104" s="72"/>
      <c r="CN104" s="72"/>
      <c r="CO104" s="72"/>
      <c r="CP104" s="72"/>
      <c r="CQ104" s="73"/>
      <c r="CR104" s="74"/>
      <c r="CS104" s="75" t="b">
        <f>IF(CJ72=23,32)</f>
        <v>0</v>
      </c>
      <c r="CT104" s="74"/>
      <c r="CV104" s="38"/>
      <c r="CW104" s="38"/>
      <c r="CX104" s="38"/>
      <c r="CY104" s="38"/>
      <c r="CZ104" s="40"/>
      <c r="DA104" s="40"/>
    </row>
    <row r="105" spans="2:105" ht="29" hidden="1" thickBot="1" x14ac:dyDescent="0.35">
      <c r="B105" s="292"/>
      <c r="C105" s="292"/>
      <c r="D105" s="291"/>
      <c r="E105" s="291"/>
      <c r="F105" s="291"/>
      <c r="G105" s="890"/>
      <c r="H105" s="22"/>
      <c r="I105" s="22"/>
      <c r="J105" s="22"/>
      <c r="K105" s="22"/>
      <c r="L105" s="22"/>
      <c r="M105" s="22"/>
      <c r="N105" s="22"/>
      <c r="O105" s="883"/>
      <c r="U105" s="67"/>
      <c r="AB105" s="67"/>
      <c r="AC105" s="67"/>
      <c r="AD105" s="67"/>
      <c r="AE105" s="67"/>
      <c r="BE105" s="77"/>
      <c r="BF105" s="77"/>
      <c r="BG105" s="77"/>
      <c r="BH105" s="77"/>
      <c r="BK105" s="47"/>
      <c r="BL105" s="77"/>
      <c r="BM105" s="56">
        <v>22</v>
      </c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Z105" s="71" t="b">
        <f>IF(CI72=22,13)</f>
        <v>0</v>
      </c>
      <c r="CA105" s="74"/>
      <c r="CB105" s="74"/>
      <c r="CC105" s="73"/>
      <c r="CD105" s="74"/>
      <c r="CE105" s="95"/>
      <c r="CF105" s="95"/>
      <c r="CG105" s="95"/>
      <c r="CH105" s="581"/>
      <c r="CI105" s="74"/>
      <c r="CJ105" s="74"/>
      <c r="CK105" s="74"/>
      <c r="CL105" s="72"/>
      <c r="CM105" s="72"/>
      <c r="CN105" s="73"/>
      <c r="CO105" s="72"/>
      <c r="CP105" s="72"/>
      <c r="CQ105" s="75" t="b">
        <f>IF(CI72=22,30)</f>
        <v>0</v>
      </c>
      <c r="CR105" s="72"/>
      <c r="CT105" s="40"/>
      <c r="CU105" s="40"/>
      <c r="CV105" s="40"/>
      <c r="CW105" s="40"/>
      <c r="CX105" s="40"/>
      <c r="CY105" s="40"/>
      <c r="CZ105" s="40"/>
      <c r="DA105" s="40"/>
    </row>
    <row r="106" spans="2:105" ht="29" hidden="1" thickBot="1" x14ac:dyDescent="0.35">
      <c r="B106" s="292"/>
      <c r="C106" s="292"/>
      <c r="D106" s="291"/>
      <c r="E106" s="291"/>
      <c r="F106" s="291"/>
      <c r="G106" s="890"/>
      <c r="H106" s="22"/>
      <c r="I106" s="22"/>
      <c r="J106" s="22"/>
      <c r="K106" s="22"/>
      <c r="L106" s="22"/>
      <c r="M106" s="22"/>
      <c r="N106" s="22"/>
      <c r="O106" s="883"/>
      <c r="U106" s="67"/>
      <c r="AB106" s="67"/>
      <c r="AC106" s="67"/>
      <c r="AD106" s="67"/>
      <c r="AE106" s="67"/>
      <c r="BE106" s="77"/>
      <c r="BF106" s="77"/>
      <c r="BG106" s="77"/>
      <c r="BH106" s="77"/>
      <c r="BK106" s="47"/>
      <c r="BL106" s="77"/>
      <c r="BM106" s="56">
        <v>21</v>
      </c>
      <c r="BN106" s="40"/>
      <c r="BO106" s="40"/>
      <c r="BP106" s="40"/>
      <c r="BQ106" s="40"/>
      <c r="BR106" s="40"/>
      <c r="BS106" s="40"/>
      <c r="BT106" s="40"/>
      <c r="BU106" s="40"/>
      <c r="BV106" s="40"/>
      <c r="BW106" s="40"/>
      <c r="BX106" s="40"/>
      <c r="BZ106" s="71" t="b">
        <f>IF(CH72=21,13)</f>
        <v>0</v>
      </c>
      <c r="CA106" s="72"/>
      <c r="CB106" s="72"/>
      <c r="CC106" s="72"/>
      <c r="CD106" s="72"/>
      <c r="CE106" s="575"/>
      <c r="CF106" s="575"/>
      <c r="CG106" s="575"/>
      <c r="CH106" s="583"/>
      <c r="CI106" s="72"/>
      <c r="CJ106" s="72"/>
      <c r="CK106" s="72"/>
      <c r="CL106" s="72"/>
      <c r="CM106" s="72"/>
      <c r="CN106" s="72"/>
      <c r="CO106" s="72"/>
      <c r="CP106" s="75" t="b">
        <f>IF(CH72=21,29)</f>
        <v>0</v>
      </c>
      <c r="CR106" s="38"/>
      <c r="CS106" s="38"/>
      <c r="CT106" s="38"/>
      <c r="CU106" s="38"/>
      <c r="CV106" s="38"/>
      <c r="CW106" s="38"/>
      <c r="CX106" s="38"/>
      <c r="CY106" s="38"/>
      <c r="CZ106" s="40"/>
      <c r="DA106" s="40"/>
    </row>
    <row r="107" spans="2:105" ht="29" hidden="1" thickBot="1" x14ac:dyDescent="0.35">
      <c r="B107" s="292"/>
      <c r="C107" s="292"/>
      <c r="D107" s="291"/>
      <c r="E107" s="291"/>
      <c r="F107" s="291"/>
      <c r="G107" s="890"/>
      <c r="H107" s="22"/>
      <c r="I107" s="22"/>
      <c r="J107" s="22"/>
      <c r="K107" s="22"/>
      <c r="L107" s="22"/>
      <c r="M107" s="22"/>
      <c r="N107" s="22"/>
      <c r="O107" s="883"/>
      <c r="U107" s="67"/>
      <c r="AB107" s="67"/>
      <c r="AC107" s="67"/>
      <c r="AD107" s="67"/>
      <c r="AE107" s="67"/>
      <c r="BE107" s="77"/>
      <c r="BF107" s="77"/>
      <c r="BG107" s="77"/>
      <c r="BH107" s="77"/>
      <c r="BK107" s="47"/>
      <c r="BL107" s="905"/>
      <c r="BM107" s="56">
        <v>20</v>
      </c>
      <c r="BN107" s="40"/>
      <c r="BO107" s="40"/>
      <c r="BP107" s="40"/>
      <c r="BQ107" s="40"/>
      <c r="BR107" s="40"/>
      <c r="BS107" s="40"/>
      <c r="BT107" s="40"/>
      <c r="BU107" s="40"/>
      <c r="BX107" s="82"/>
      <c r="BY107" s="68" t="b">
        <f>IF(CG72=20,12)</f>
        <v>0</v>
      </c>
      <c r="BZ107" s="64"/>
      <c r="CA107" s="64"/>
      <c r="CB107" s="64"/>
      <c r="CC107" s="64"/>
      <c r="CD107" s="64"/>
      <c r="CE107" s="575"/>
      <c r="CF107" s="575"/>
      <c r="CG107" s="575"/>
      <c r="CH107" s="582"/>
      <c r="CI107" s="64"/>
      <c r="CJ107" s="64"/>
      <c r="CK107" s="64"/>
      <c r="CL107" s="64"/>
      <c r="CM107" s="64"/>
      <c r="CN107" s="64"/>
      <c r="CP107" s="60" t="b">
        <f>IF(CG72=20,29)</f>
        <v>0</v>
      </c>
      <c r="CR107" s="38"/>
      <c r="CS107" s="38"/>
      <c r="CT107" s="38"/>
      <c r="CU107" s="38"/>
      <c r="CV107" s="38"/>
      <c r="CW107" s="38"/>
      <c r="CX107" s="38"/>
      <c r="CY107" s="38"/>
      <c r="CZ107" s="40"/>
      <c r="DA107" s="40"/>
    </row>
    <row r="108" spans="2:105" ht="29" hidden="1" thickBot="1" x14ac:dyDescent="0.35">
      <c r="B108" s="292"/>
      <c r="C108" s="292"/>
      <c r="D108" s="291"/>
      <c r="E108" s="291"/>
      <c r="F108" s="291"/>
      <c r="G108" s="890"/>
      <c r="H108" s="22"/>
      <c r="I108" s="22"/>
      <c r="J108" s="22"/>
      <c r="K108" s="22"/>
      <c r="L108" s="22"/>
      <c r="M108" s="22"/>
      <c r="N108" s="22"/>
      <c r="O108" s="883"/>
      <c r="U108" s="67"/>
      <c r="AB108" s="67"/>
      <c r="AC108" s="67"/>
      <c r="AD108" s="67"/>
      <c r="AE108" s="67"/>
      <c r="BE108" s="77"/>
      <c r="BF108" s="77"/>
      <c r="BG108" s="77"/>
      <c r="BH108" s="77"/>
      <c r="BK108" s="47"/>
      <c r="BL108" s="905"/>
      <c r="BM108" s="56">
        <v>19</v>
      </c>
      <c r="BN108" s="40"/>
      <c r="BO108" s="40"/>
      <c r="BP108" s="40"/>
      <c r="BQ108" s="40"/>
      <c r="BR108" s="40"/>
      <c r="BS108" s="40"/>
      <c r="BT108" s="40"/>
      <c r="BU108" s="40"/>
      <c r="BW108" s="68">
        <f>IF(CF72=19,10)</f>
        <v>10</v>
      </c>
      <c r="BX108" s="83"/>
      <c r="BZ108" s="70"/>
      <c r="CA108" s="70"/>
      <c r="CB108" s="69"/>
      <c r="CC108" s="70"/>
      <c r="CD108" s="70"/>
      <c r="CE108" s="95"/>
      <c r="CF108" s="95"/>
      <c r="CG108" s="95"/>
      <c r="CH108" s="584"/>
      <c r="CI108" s="70"/>
      <c r="CJ108" s="70"/>
      <c r="CK108" s="70"/>
      <c r="CL108" s="64"/>
      <c r="CN108" s="84"/>
      <c r="CO108" s="82"/>
      <c r="CP108" s="60">
        <f>IF(CF72=19,29)</f>
        <v>29</v>
      </c>
      <c r="CQ108" s="40"/>
      <c r="CR108" s="40"/>
      <c r="CS108" s="40"/>
      <c r="CT108" s="40"/>
      <c r="CU108" s="40"/>
      <c r="CV108" s="40"/>
      <c r="CW108" s="40"/>
      <c r="CX108" s="40"/>
      <c r="CY108" s="40"/>
      <c r="CZ108" s="40"/>
      <c r="DA108" s="40"/>
    </row>
    <row r="109" spans="2:105" ht="29" hidden="1" thickBot="1" x14ac:dyDescent="0.35">
      <c r="B109" s="292"/>
      <c r="C109" s="292"/>
      <c r="D109" s="291"/>
      <c r="E109" s="291"/>
      <c r="F109" s="291"/>
      <c r="G109" s="890"/>
      <c r="H109" s="22"/>
      <c r="I109" s="22"/>
      <c r="J109" s="22"/>
      <c r="K109" s="22"/>
      <c r="L109" s="22"/>
      <c r="M109" s="22"/>
      <c r="N109" s="22"/>
      <c r="O109" s="883"/>
      <c r="U109" s="67"/>
      <c r="AB109" s="67"/>
      <c r="AC109" s="67"/>
      <c r="AD109" s="67"/>
      <c r="AE109" s="67"/>
      <c r="BE109" s="77"/>
      <c r="BF109" s="77"/>
      <c r="BG109" s="77"/>
      <c r="BH109" s="77"/>
      <c r="BK109" s="47"/>
      <c r="BL109" s="905"/>
      <c r="BM109" s="56">
        <v>18</v>
      </c>
      <c r="BN109" s="38"/>
      <c r="BO109" s="38"/>
      <c r="BP109" s="38"/>
      <c r="BQ109" s="38"/>
      <c r="BR109" s="38"/>
      <c r="BS109" s="38"/>
      <c r="BT109" s="38"/>
      <c r="BU109" s="68" t="b">
        <f>IF(CE72=18,8)</f>
        <v>0</v>
      </c>
      <c r="BX109" s="70"/>
      <c r="BY109" s="70"/>
      <c r="BZ109" s="70"/>
      <c r="CA109" s="70"/>
      <c r="CB109" s="69"/>
      <c r="CC109" s="70"/>
      <c r="CD109" s="70"/>
      <c r="CE109" s="95"/>
      <c r="CF109" s="95"/>
      <c r="CG109" s="95"/>
      <c r="CH109" s="584"/>
      <c r="CI109" s="70"/>
      <c r="CJ109" s="70"/>
      <c r="CK109" s="70"/>
      <c r="CL109" s="64"/>
      <c r="CO109" s="40"/>
      <c r="CP109" s="60" t="b">
        <f>IF(CE72=18,29)</f>
        <v>0</v>
      </c>
      <c r="CQ109" s="40"/>
      <c r="CR109" s="40"/>
      <c r="CS109" s="40"/>
      <c r="CT109" s="40"/>
      <c r="CU109" s="40"/>
      <c r="CV109" s="40"/>
      <c r="CW109" s="40"/>
      <c r="CX109" s="40"/>
      <c r="CY109" s="40"/>
      <c r="CZ109" s="40"/>
      <c r="DA109" s="40"/>
    </row>
    <row r="110" spans="2:105" ht="29" hidden="1" thickBot="1" x14ac:dyDescent="0.35">
      <c r="B110" s="292"/>
      <c r="C110" s="292"/>
      <c r="D110" s="291"/>
      <c r="E110" s="291"/>
      <c r="F110" s="291"/>
      <c r="G110" s="890"/>
      <c r="H110" s="22"/>
      <c r="I110" s="22"/>
      <c r="J110" s="22"/>
      <c r="K110" s="22"/>
      <c r="L110" s="22"/>
      <c r="M110" s="22"/>
      <c r="N110" s="22"/>
      <c r="O110" s="883"/>
      <c r="U110" s="67"/>
      <c r="AB110" s="67"/>
      <c r="AC110" s="67"/>
      <c r="AD110" s="67"/>
      <c r="AE110" s="67"/>
      <c r="BE110" s="81"/>
      <c r="BF110" s="81"/>
      <c r="BG110" s="81"/>
      <c r="BH110" s="81"/>
      <c r="BK110" s="47"/>
      <c r="BL110" s="905"/>
      <c r="BM110" s="56">
        <v>17</v>
      </c>
      <c r="BN110" s="38"/>
      <c r="BO110" s="38"/>
      <c r="BP110" s="38"/>
      <c r="BQ110" s="38"/>
      <c r="BR110" s="38"/>
      <c r="BS110" s="68" t="b">
        <f>IF(CD72=17,6)</f>
        <v>0</v>
      </c>
      <c r="BT110" s="38"/>
      <c r="BV110" s="69"/>
      <c r="BW110" s="69"/>
      <c r="BX110" s="70"/>
      <c r="BY110" s="70"/>
      <c r="BZ110" s="70"/>
      <c r="CA110" s="70"/>
      <c r="CB110" s="70"/>
      <c r="CC110" s="70"/>
      <c r="CD110" s="70"/>
      <c r="CE110" s="95"/>
      <c r="CF110" s="95"/>
      <c r="CG110" s="95"/>
      <c r="CH110" s="580"/>
      <c r="CI110" s="70"/>
      <c r="CJ110" s="70"/>
      <c r="CK110" s="69"/>
      <c r="CL110" s="69"/>
      <c r="CN110" s="40"/>
      <c r="CO110" s="40"/>
      <c r="CP110" s="60" t="b">
        <f>IF(CD72=17,29)</f>
        <v>0</v>
      </c>
      <c r="CQ110" s="40"/>
      <c r="CR110" s="40"/>
      <c r="CS110" s="40"/>
      <c r="CT110" s="40"/>
      <c r="CU110" s="40"/>
      <c r="CV110" s="40"/>
      <c r="CW110" s="40"/>
      <c r="CX110" s="40"/>
      <c r="CY110" s="40"/>
      <c r="CZ110" s="40"/>
      <c r="DA110" s="40"/>
    </row>
    <row r="111" spans="2:105" ht="29" hidden="1" thickBot="1" x14ac:dyDescent="0.35">
      <c r="B111" s="292"/>
      <c r="C111" s="292"/>
      <c r="D111" s="291"/>
      <c r="E111" s="291"/>
      <c r="F111" s="291"/>
      <c r="G111" s="890"/>
      <c r="H111" s="22"/>
      <c r="I111" s="22"/>
      <c r="J111" s="22"/>
      <c r="K111" s="22"/>
      <c r="L111" s="22"/>
      <c r="M111" s="22"/>
      <c r="N111" s="22"/>
      <c r="O111" s="883"/>
      <c r="U111" s="67"/>
      <c r="AB111" s="67"/>
      <c r="AC111" s="67"/>
      <c r="AD111" s="67"/>
      <c r="AE111" s="67"/>
      <c r="BE111" s="81"/>
      <c r="BF111" s="81"/>
      <c r="BG111" s="81"/>
      <c r="BH111" s="81"/>
      <c r="BK111" s="47"/>
      <c r="BL111" s="905"/>
      <c r="BM111" s="56">
        <v>16</v>
      </c>
      <c r="BN111" s="38"/>
      <c r="BO111" s="38"/>
      <c r="BP111" s="38"/>
      <c r="BQ111" s="87" t="b">
        <f>IF(CC72=16,4)</f>
        <v>0</v>
      </c>
      <c r="BR111" s="38"/>
      <c r="BT111" s="88"/>
      <c r="BU111" s="89"/>
      <c r="BV111" s="89"/>
      <c r="BW111" s="88"/>
      <c r="BX111" s="88"/>
      <c r="BY111" s="88"/>
      <c r="BZ111" s="88"/>
      <c r="CA111" s="88"/>
      <c r="CB111" s="88"/>
      <c r="CC111" s="88"/>
      <c r="CD111" s="88"/>
      <c r="CE111" s="95"/>
      <c r="CF111" s="95"/>
      <c r="CG111" s="95"/>
      <c r="CH111" s="585"/>
      <c r="CI111" s="88"/>
      <c r="CJ111" s="89"/>
      <c r="CK111" s="89"/>
      <c r="CL111" s="90"/>
      <c r="CN111" s="40"/>
      <c r="CO111" s="40"/>
      <c r="CP111" s="91" t="b">
        <f>IF(CC72=16,29)</f>
        <v>0</v>
      </c>
      <c r="CQ111" s="40"/>
      <c r="CR111" s="40"/>
      <c r="CS111" s="40"/>
      <c r="CT111" s="40"/>
      <c r="CU111" s="40"/>
      <c r="CV111" s="40"/>
      <c r="CW111" s="40"/>
      <c r="CX111" s="40"/>
      <c r="CY111" s="40"/>
      <c r="CZ111" s="40"/>
      <c r="DA111" s="40"/>
    </row>
    <row r="112" spans="2:105" ht="29" hidden="1" thickBot="1" x14ac:dyDescent="0.35">
      <c r="B112" s="292"/>
      <c r="C112" s="292"/>
      <c r="D112" s="291"/>
      <c r="E112" s="291"/>
      <c r="F112" s="291"/>
      <c r="G112" s="890"/>
      <c r="H112" s="22"/>
      <c r="I112" s="22"/>
      <c r="J112" s="22"/>
      <c r="K112" s="22"/>
      <c r="L112" s="22"/>
      <c r="M112" s="22"/>
      <c r="N112" s="22"/>
      <c r="O112" s="883"/>
      <c r="U112" s="67"/>
      <c r="AB112" s="67"/>
      <c r="AC112" s="67"/>
      <c r="AD112" s="67"/>
      <c r="AE112" s="67"/>
      <c r="BE112" s="81"/>
      <c r="BF112" s="81"/>
      <c r="BG112" s="81"/>
      <c r="BH112" s="81"/>
      <c r="BK112" s="47"/>
      <c r="BL112" s="905"/>
      <c r="BM112" s="56">
        <v>15</v>
      </c>
      <c r="BN112" s="38"/>
      <c r="BO112" s="68" t="b">
        <f>IF(CB72=15,2)</f>
        <v>0</v>
      </c>
      <c r="BP112" s="38"/>
      <c r="BR112" s="70"/>
      <c r="BS112" s="70"/>
      <c r="BT112" s="70"/>
      <c r="BU112" s="69"/>
      <c r="BV112" s="70"/>
      <c r="BW112" s="70"/>
      <c r="BX112" s="69"/>
      <c r="BY112" s="70"/>
      <c r="BZ112" s="70"/>
      <c r="CA112" s="70"/>
      <c r="CB112" s="70"/>
      <c r="CC112" s="70"/>
      <c r="CD112" s="70"/>
      <c r="CE112" s="95"/>
      <c r="CF112" s="256"/>
      <c r="CG112" s="95"/>
      <c r="CH112" s="580"/>
      <c r="CI112" s="69"/>
      <c r="CJ112" s="70"/>
      <c r="CK112" s="70"/>
      <c r="CL112" s="64"/>
      <c r="CN112" s="40"/>
      <c r="CO112" s="40"/>
      <c r="CP112" s="60" t="b">
        <f>IF(CB72=15,29)</f>
        <v>0</v>
      </c>
      <c r="CQ112" s="40"/>
      <c r="CR112" s="40"/>
      <c r="CS112" s="40"/>
      <c r="CT112" s="40"/>
      <c r="CU112" s="40"/>
      <c r="CV112" s="40"/>
      <c r="CW112" s="40"/>
      <c r="CX112" s="40"/>
      <c r="CY112" s="40"/>
      <c r="CZ112" s="40"/>
      <c r="DA112" s="40"/>
    </row>
    <row r="113" spans="2:147" ht="29" hidden="1" thickBot="1" x14ac:dyDescent="0.35">
      <c r="B113" s="292"/>
      <c r="C113" s="292"/>
      <c r="D113" s="291"/>
      <c r="E113" s="291"/>
      <c r="F113" s="291"/>
      <c r="G113" s="890"/>
      <c r="H113" s="22"/>
      <c r="I113" s="22"/>
      <c r="J113" s="22"/>
      <c r="K113" s="22"/>
      <c r="L113" s="22"/>
      <c r="M113" s="22"/>
      <c r="N113" s="22"/>
      <c r="O113" s="883"/>
      <c r="U113" s="67"/>
      <c r="AB113" s="67"/>
      <c r="AC113" s="67"/>
      <c r="AD113" s="67"/>
      <c r="AE113" s="67"/>
      <c r="BE113" s="81"/>
      <c r="BF113" s="81"/>
      <c r="BG113" s="81"/>
      <c r="BH113" s="81"/>
      <c r="BK113" s="47"/>
      <c r="BL113" s="905"/>
      <c r="BM113" s="56">
        <v>14</v>
      </c>
      <c r="BN113" s="38"/>
      <c r="BP113" s="70"/>
      <c r="BQ113" s="70"/>
      <c r="BR113" s="70"/>
      <c r="BS113" s="69"/>
      <c r="BT113" s="70"/>
      <c r="BU113" s="68" t="b">
        <f>IF(CA72=14,8)</f>
        <v>0</v>
      </c>
      <c r="BV113" s="69"/>
      <c r="BW113" s="70"/>
      <c r="BX113" s="70"/>
      <c r="BY113" s="70"/>
      <c r="BZ113" s="70"/>
      <c r="CA113" s="70"/>
      <c r="CB113" s="70"/>
      <c r="CC113" s="70"/>
      <c r="CD113" s="70"/>
      <c r="CE113" s="95"/>
      <c r="CF113" s="256"/>
      <c r="CG113" s="60" t="b">
        <f>IF(CA72=14,20)</f>
        <v>0</v>
      </c>
      <c r="CH113" s="580"/>
      <c r="CI113" s="69"/>
      <c r="CJ113" s="70"/>
      <c r="CK113" s="70"/>
      <c r="CL113" s="64"/>
      <c r="CN113" s="40"/>
      <c r="CO113" s="40"/>
      <c r="CP113" s="40"/>
      <c r="CQ113" s="40"/>
      <c r="CR113" s="40"/>
      <c r="CS113" s="40"/>
      <c r="CT113" s="40"/>
      <c r="CU113" s="40"/>
      <c r="CV113" s="40"/>
      <c r="CW113" s="40"/>
      <c r="CX113" s="40"/>
      <c r="CY113" s="40"/>
      <c r="CZ113" s="40"/>
      <c r="DA113" s="40"/>
      <c r="DJ113" s="1035"/>
      <c r="DK113" s="1035"/>
      <c r="DL113" s="38"/>
      <c r="DM113" s="38"/>
      <c r="DN113" s="39"/>
      <c r="DO113" s="40"/>
      <c r="DP113" s="40"/>
      <c r="DQ113" s="40"/>
      <c r="DR113" s="40"/>
      <c r="DS113" s="40"/>
      <c r="DT113" s="40"/>
      <c r="DU113" s="40"/>
      <c r="DV113" s="40"/>
      <c r="DW113" s="40"/>
      <c r="DX113" s="40"/>
      <c r="DY113" s="40"/>
      <c r="DZ113" s="40"/>
      <c r="EA113" s="40"/>
      <c r="EB113" s="40"/>
      <c r="EC113" s="40"/>
      <c r="ED113" s="40"/>
      <c r="EE113" s="40"/>
      <c r="EF113" s="40"/>
      <c r="EG113" s="40"/>
      <c r="EH113" s="40"/>
      <c r="EI113" s="40"/>
      <c r="EJ113" s="40"/>
      <c r="EK113" s="40"/>
      <c r="EL113" s="40"/>
      <c r="EM113" s="40"/>
      <c r="EN113" s="40"/>
      <c r="EO113" s="40"/>
      <c r="EP113" s="37"/>
      <c r="EQ113" s="37"/>
    </row>
    <row r="114" spans="2:147" ht="29" hidden="1" thickBot="1" x14ac:dyDescent="0.35">
      <c r="B114" s="292"/>
      <c r="C114" s="292"/>
      <c r="D114" s="291"/>
      <c r="E114" s="291"/>
      <c r="F114" s="291"/>
      <c r="G114" s="890"/>
      <c r="H114" s="22"/>
      <c r="I114" s="22"/>
      <c r="J114" s="22"/>
      <c r="K114" s="22"/>
      <c r="L114" s="22"/>
      <c r="M114" s="22"/>
      <c r="N114" s="22"/>
      <c r="O114" s="883"/>
      <c r="U114" s="67"/>
      <c r="AB114" s="67"/>
      <c r="AC114" s="67"/>
      <c r="AD114" s="67"/>
      <c r="AE114" s="67"/>
      <c r="BE114" s="81"/>
      <c r="BF114" s="81"/>
      <c r="BG114" s="81"/>
      <c r="BH114" s="81"/>
      <c r="BK114" s="47"/>
      <c r="BL114" s="905"/>
      <c r="BM114" s="56">
        <v>13</v>
      </c>
      <c r="BN114" s="38"/>
      <c r="BO114" s="38"/>
      <c r="BP114" s="38"/>
      <c r="BR114" s="92"/>
      <c r="BS114" s="71" t="b">
        <f>IF(BZ72=13,6)</f>
        <v>0</v>
      </c>
      <c r="BT114" s="51"/>
      <c r="BU114" s="92"/>
      <c r="BW114" s="74"/>
      <c r="BX114" s="74"/>
      <c r="BY114" s="74"/>
      <c r="BZ114" s="74"/>
      <c r="CA114" s="74"/>
      <c r="CB114" s="74"/>
      <c r="CC114" s="74"/>
      <c r="CE114" s="38"/>
      <c r="CG114" s="74" t="b">
        <f>IF(BZ72=13,20)</f>
        <v>0</v>
      </c>
      <c r="CH114" s="586"/>
      <c r="CJ114" s="38"/>
      <c r="CK114" s="38"/>
      <c r="CL114" s="40"/>
      <c r="CM114" s="40"/>
      <c r="CN114" s="40"/>
      <c r="CO114" s="40"/>
      <c r="CP114" s="40"/>
      <c r="CQ114" s="40"/>
      <c r="CR114" s="40"/>
      <c r="CS114" s="40"/>
      <c r="CT114" s="40"/>
      <c r="CU114" s="40"/>
      <c r="CV114" s="40"/>
      <c r="CW114" s="40"/>
      <c r="CX114" s="40"/>
      <c r="CY114" s="40"/>
      <c r="CZ114" s="40"/>
      <c r="DA114" s="40"/>
      <c r="EN114" s="40"/>
      <c r="EO114" s="40"/>
    </row>
    <row r="115" spans="2:147" ht="29" hidden="1" thickBot="1" x14ac:dyDescent="0.35">
      <c r="C115" s="292"/>
      <c r="G115" s="890"/>
      <c r="H115" s="22"/>
      <c r="I115" s="22"/>
      <c r="J115" s="22"/>
      <c r="K115" s="22"/>
      <c r="L115" s="22"/>
      <c r="M115" s="22"/>
      <c r="N115" s="22"/>
      <c r="O115" s="883"/>
      <c r="U115" s="67"/>
      <c r="AB115" s="67"/>
      <c r="AC115" s="67"/>
      <c r="AD115" s="67"/>
      <c r="AE115" s="67"/>
      <c r="BE115" s="81"/>
      <c r="BF115" s="81"/>
      <c r="BG115" s="81"/>
      <c r="BH115" s="81"/>
      <c r="BK115" s="47"/>
      <c r="BL115" s="905"/>
      <c r="BM115" s="56">
        <v>12</v>
      </c>
      <c r="BN115" s="38"/>
      <c r="BP115" s="83"/>
      <c r="BQ115" s="68" t="b">
        <f>IF(BY72=12,4)</f>
        <v>0</v>
      </c>
      <c r="BR115" s="84"/>
      <c r="BS115" s="83"/>
      <c r="BU115" s="70"/>
      <c r="BV115" s="70"/>
      <c r="BW115" s="70"/>
      <c r="BX115" s="70"/>
      <c r="BY115" s="70"/>
      <c r="BZ115" s="70"/>
      <c r="CA115" s="70"/>
      <c r="CB115" s="70"/>
      <c r="CC115" s="70"/>
      <c r="CE115" s="38"/>
      <c r="CG115" s="70" t="b">
        <f>IF(BY72=12,20)</f>
        <v>0</v>
      </c>
      <c r="CH115" s="587"/>
      <c r="CJ115" s="38"/>
      <c r="CK115" s="38"/>
      <c r="CL115" s="40"/>
      <c r="CM115" s="40"/>
      <c r="CN115" s="40"/>
      <c r="CO115" s="40"/>
      <c r="CP115" s="40"/>
      <c r="CQ115" s="40"/>
      <c r="CR115" s="40"/>
      <c r="CS115" s="40"/>
      <c r="CT115" s="40"/>
      <c r="CU115" s="40"/>
      <c r="CV115" s="40"/>
      <c r="CW115" s="40"/>
      <c r="CX115" s="40"/>
      <c r="CY115" s="40"/>
      <c r="CZ115" s="40"/>
      <c r="DA115" s="40"/>
      <c r="EN115" s="40"/>
      <c r="EO115" s="40"/>
    </row>
    <row r="116" spans="2:147" ht="29" hidden="1" thickBot="1" x14ac:dyDescent="0.35">
      <c r="B116" s="1017"/>
      <c r="C116" s="1017"/>
      <c r="D116" s="1017"/>
      <c r="E116" s="1017"/>
      <c r="G116" s="890"/>
      <c r="H116" s="22"/>
      <c r="I116" s="22"/>
      <c r="J116" s="22"/>
      <c r="K116" s="22"/>
      <c r="L116" s="22"/>
      <c r="M116" s="22"/>
      <c r="N116" s="22"/>
      <c r="O116" s="883"/>
      <c r="U116" s="67"/>
      <c r="AB116" s="67"/>
      <c r="AC116" s="67"/>
      <c r="AD116" s="67"/>
      <c r="AE116" s="67"/>
      <c r="BE116" s="81"/>
      <c r="BF116" s="81"/>
      <c r="BG116" s="81"/>
      <c r="BH116" s="81"/>
      <c r="BK116" s="47"/>
      <c r="BL116" s="905"/>
      <c r="BM116" s="56">
        <v>11</v>
      </c>
      <c r="BO116" s="68" t="b">
        <f>IF(BX72=11,2)</f>
        <v>0</v>
      </c>
      <c r="BP116" s="51"/>
      <c r="BQ116" s="92"/>
      <c r="BS116" s="70"/>
      <c r="BT116" s="70"/>
      <c r="BU116" s="70"/>
      <c r="BV116" s="70"/>
      <c r="BW116" s="70"/>
      <c r="BX116" s="70"/>
      <c r="BY116" s="70"/>
      <c r="BZ116" s="70"/>
      <c r="CA116" s="70"/>
      <c r="CB116" s="70"/>
      <c r="CC116" s="70"/>
      <c r="CE116" s="38"/>
      <c r="CG116" s="70" t="b">
        <f>IF(BX72=11,20)</f>
        <v>0</v>
      </c>
      <c r="CH116" s="588"/>
      <c r="CI116" s="38"/>
      <c r="CJ116" s="38"/>
      <c r="CK116" s="38"/>
      <c r="CL116" s="40"/>
      <c r="CM116" s="40"/>
      <c r="CN116" s="40"/>
      <c r="CO116" s="40"/>
      <c r="CP116" s="40"/>
      <c r="CQ116" s="40"/>
      <c r="CR116" s="40"/>
      <c r="CS116" s="40"/>
      <c r="CT116" s="40"/>
      <c r="CU116" s="40"/>
      <c r="CV116" s="40"/>
      <c r="CW116" s="40"/>
      <c r="CX116" s="40"/>
      <c r="CY116" s="40"/>
      <c r="CZ116" s="40"/>
      <c r="DA116" s="40"/>
      <c r="EN116" s="40"/>
      <c r="EO116" s="40"/>
    </row>
    <row r="117" spans="2:147" ht="29" hidden="1" thickBot="1" x14ac:dyDescent="0.35">
      <c r="B117" s="237"/>
      <c r="C117" s="294"/>
      <c r="D117" s="237"/>
      <c r="E117" s="237"/>
      <c r="F117" s="291"/>
      <c r="G117" s="890"/>
      <c r="H117" s="22"/>
      <c r="I117" s="22"/>
      <c r="J117" s="22"/>
      <c r="K117" s="22"/>
      <c r="L117" s="22"/>
      <c r="M117" s="22"/>
      <c r="N117" s="22"/>
      <c r="O117" s="883"/>
      <c r="U117" s="67"/>
      <c r="AB117" s="67"/>
      <c r="AC117" s="67"/>
      <c r="AD117" s="67"/>
      <c r="AE117" s="67"/>
      <c r="BE117" s="81"/>
      <c r="BF117" s="81"/>
      <c r="BG117" s="81"/>
      <c r="BH117" s="81"/>
      <c r="BK117" s="47"/>
      <c r="BL117" s="905"/>
      <c r="BM117" s="56">
        <v>10</v>
      </c>
      <c r="BN117" s="68" t="b">
        <f>IF(BW72=10,1)</f>
        <v>0</v>
      </c>
      <c r="BO117" s="92"/>
      <c r="BQ117" s="70"/>
      <c r="BR117" s="70"/>
      <c r="BS117" s="70"/>
      <c r="BT117" s="70"/>
      <c r="BU117" s="70"/>
      <c r="BV117" s="70"/>
      <c r="BW117" s="70"/>
      <c r="BX117" s="70"/>
      <c r="BY117" s="70"/>
      <c r="BZ117" s="70"/>
      <c r="CA117" s="70"/>
      <c r="CB117" s="70"/>
      <c r="CC117" s="70"/>
      <c r="CE117" s="38"/>
      <c r="CF117" s="70" t="b">
        <f>IF(BW72=10,19)</f>
        <v>0</v>
      </c>
      <c r="CG117" s="38"/>
      <c r="CH117" s="589"/>
      <c r="CI117" s="38"/>
      <c r="CJ117" s="38"/>
      <c r="CK117" s="38"/>
      <c r="CL117" s="40"/>
      <c r="CM117" s="40"/>
      <c r="CN117" s="40"/>
      <c r="CO117" s="40"/>
      <c r="CP117" s="40"/>
      <c r="CQ117" s="40"/>
      <c r="CR117" s="40"/>
      <c r="CS117" s="40"/>
      <c r="CT117" s="40"/>
      <c r="CU117" s="40"/>
      <c r="CV117" s="40"/>
      <c r="CW117" s="40"/>
      <c r="CX117" s="40"/>
      <c r="CY117" s="40"/>
      <c r="CZ117" s="40"/>
      <c r="DA117" s="40"/>
      <c r="EN117" s="40"/>
      <c r="EO117" s="40"/>
    </row>
    <row r="118" spans="2:147" ht="29" hidden="1" thickBot="1" x14ac:dyDescent="0.35">
      <c r="B118" s="295"/>
      <c r="C118" s="294"/>
      <c r="D118" s="296"/>
      <c r="E118" s="242"/>
      <c r="F118" s="291"/>
      <c r="G118" s="890"/>
      <c r="H118" s="22"/>
      <c r="I118" s="22"/>
      <c r="J118" s="22"/>
      <c r="K118" s="22"/>
      <c r="L118" s="22"/>
      <c r="M118" s="22"/>
      <c r="N118" s="22"/>
      <c r="O118" s="883"/>
      <c r="U118" s="67"/>
      <c r="AB118" s="67"/>
      <c r="AC118" s="67"/>
      <c r="AD118" s="67"/>
      <c r="AE118" s="67"/>
      <c r="BE118" s="81"/>
      <c r="BF118" s="81"/>
      <c r="BG118" s="81"/>
      <c r="BH118" s="81"/>
      <c r="BK118" s="47"/>
      <c r="BL118" s="905"/>
      <c r="BM118" s="56">
        <v>9</v>
      </c>
      <c r="BN118" s="68" t="b">
        <f>IF(BV72=9,1)</f>
        <v>0</v>
      </c>
      <c r="BO118" s="70"/>
      <c r="BP118" s="70"/>
      <c r="BQ118" s="70"/>
      <c r="BR118" s="70"/>
      <c r="BS118" s="70"/>
      <c r="BT118" s="70"/>
      <c r="BU118" s="70"/>
      <c r="BV118" s="70"/>
      <c r="BW118" s="70"/>
      <c r="BX118" s="70"/>
      <c r="BY118" s="70"/>
      <c r="BZ118" s="70"/>
      <c r="CA118" s="70"/>
      <c r="CB118" s="70"/>
      <c r="CC118" s="70"/>
      <c r="CD118" s="70" t="b">
        <f>IF(BV72=9,17)</f>
        <v>0</v>
      </c>
      <c r="CE118" s="38"/>
      <c r="CF118" s="38"/>
      <c r="CG118" s="38"/>
      <c r="CH118" s="589"/>
      <c r="CI118" s="38"/>
      <c r="CJ118" s="38"/>
      <c r="CK118" s="38"/>
      <c r="CL118" s="40"/>
      <c r="CM118" s="40"/>
      <c r="CN118" s="40"/>
      <c r="CO118" s="40"/>
      <c r="CP118" s="40"/>
      <c r="CQ118" s="40"/>
      <c r="CR118" s="40"/>
      <c r="CS118" s="40"/>
      <c r="CT118" s="40"/>
      <c r="CU118" s="40"/>
      <c r="CV118" s="40"/>
      <c r="CW118" s="40"/>
      <c r="CX118" s="40"/>
      <c r="CY118" s="40"/>
      <c r="CZ118" s="40"/>
      <c r="DA118" s="40"/>
      <c r="DJ118" s="62"/>
      <c r="DK118" s="62"/>
      <c r="DL118" s="62"/>
      <c r="DM118" s="62"/>
      <c r="DN118" s="62"/>
      <c r="DO118" s="63"/>
      <c r="DP118" s="62"/>
      <c r="DQ118" s="62"/>
      <c r="DR118" s="62"/>
      <c r="DS118" s="62"/>
      <c r="DT118" s="62"/>
      <c r="DU118" s="62"/>
      <c r="DV118" s="62"/>
      <c r="DW118" s="62"/>
      <c r="DX118" s="62"/>
      <c r="DY118" s="62"/>
      <c r="DZ118" s="62"/>
      <c r="EA118" s="62"/>
      <c r="EB118" s="62"/>
      <c r="EC118" s="62"/>
      <c r="ED118" s="62"/>
      <c r="EE118" s="62"/>
      <c r="EF118" s="62"/>
      <c r="EG118" s="63"/>
      <c r="EH118" s="40"/>
      <c r="EI118" s="40"/>
      <c r="EJ118" s="40"/>
      <c r="EK118" s="40"/>
      <c r="EL118" s="40"/>
      <c r="EM118" s="40"/>
      <c r="EN118" s="40"/>
      <c r="EO118" s="40"/>
    </row>
    <row r="119" spans="2:147" ht="29" hidden="1" thickBot="1" x14ac:dyDescent="0.35">
      <c r="B119" s="294"/>
      <c r="C119" s="294"/>
      <c r="D119" s="47"/>
      <c r="E119" s="47"/>
      <c r="F119" s="291"/>
      <c r="G119" s="890"/>
      <c r="H119" s="22"/>
      <c r="I119" s="22"/>
      <c r="J119" s="22"/>
      <c r="K119" s="22"/>
      <c r="L119" s="22"/>
      <c r="M119" s="22"/>
      <c r="N119" s="22"/>
      <c r="O119" s="883"/>
      <c r="U119" s="67"/>
      <c r="AB119" s="67"/>
      <c r="AC119" s="67"/>
      <c r="AD119" s="67"/>
      <c r="AE119" s="67"/>
      <c r="BE119" s="81"/>
      <c r="BF119" s="81"/>
      <c r="BG119" s="81"/>
      <c r="BH119" s="81"/>
      <c r="BK119" s="47"/>
      <c r="BL119" s="905"/>
      <c r="BM119" s="56">
        <v>8</v>
      </c>
      <c r="BN119" s="68" t="b">
        <f>IF(BU72=8,1)</f>
        <v>0</v>
      </c>
      <c r="BO119" s="70"/>
      <c r="BP119" s="69"/>
      <c r="BQ119" s="70"/>
      <c r="BR119" s="70"/>
      <c r="BS119" s="70"/>
      <c r="BT119" s="70"/>
      <c r="BU119" s="70"/>
      <c r="BV119" s="70"/>
      <c r="BW119" s="70"/>
      <c r="BX119" s="70"/>
      <c r="BY119" s="70"/>
      <c r="BZ119" s="69"/>
      <c r="CA119" s="70"/>
      <c r="CB119" s="60" t="b">
        <f>IF(BU72=8,15)</f>
        <v>0</v>
      </c>
      <c r="CC119" s="38"/>
      <c r="CD119" s="38"/>
      <c r="CE119" s="38"/>
      <c r="CF119" s="38"/>
      <c r="CG119" s="38"/>
      <c r="CH119" s="589"/>
      <c r="CI119" s="38"/>
      <c r="CJ119" s="38"/>
      <c r="CK119" s="38"/>
      <c r="CL119" s="40"/>
      <c r="CM119" s="40"/>
      <c r="CN119" s="40"/>
      <c r="CO119" s="40"/>
      <c r="CP119" s="40"/>
      <c r="CQ119" s="40"/>
      <c r="CR119" s="40"/>
      <c r="CS119" s="40"/>
      <c r="CT119" s="40"/>
      <c r="CU119" s="40"/>
      <c r="CV119" s="40"/>
      <c r="CW119" s="40"/>
      <c r="CX119" s="40"/>
      <c r="CY119" s="40"/>
      <c r="CZ119" s="40"/>
      <c r="DA119" s="40"/>
      <c r="DJ119" s="62"/>
      <c r="DK119" s="62"/>
      <c r="DL119" s="62"/>
      <c r="DM119" s="62"/>
      <c r="DN119" s="62"/>
      <c r="DO119" s="63"/>
      <c r="DP119" s="62"/>
      <c r="DQ119" s="62"/>
      <c r="DR119" s="62"/>
      <c r="DS119" s="62"/>
      <c r="DT119" s="62"/>
      <c r="DU119" s="62"/>
      <c r="DV119" s="62"/>
      <c r="DW119" s="62"/>
      <c r="DX119" s="62"/>
      <c r="DY119" s="62"/>
      <c r="DZ119" s="62"/>
      <c r="EA119" s="62"/>
      <c r="EB119" s="62"/>
      <c r="EC119" s="62"/>
      <c r="ED119" s="62"/>
      <c r="EE119" s="62"/>
      <c r="EF119" s="62"/>
      <c r="EG119" s="63"/>
      <c r="EH119" s="40"/>
      <c r="EI119" s="40"/>
      <c r="EJ119" s="40"/>
      <c r="EK119" s="40"/>
      <c r="EL119" s="40"/>
      <c r="EM119" s="40"/>
      <c r="EN119" s="40"/>
      <c r="EO119" s="40"/>
    </row>
    <row r="120" spans="2:147" ht="29" hidden="1" thickBot="1" x14ac:dyDescent="0.35">
      <c r="B120" s="237"/>
      <c r="C120" s="294"/>
      <c r="D120" s="237"/>
      <c r="E120" s="7"/>
      <c r="F120" s="291"/>
      <c r="G120" s="890"/>
      <c r="H120" s="22"/>
      <c r="I120" s="22"/>
      <c r="J120" s="22"/>
      <c r="K120" s="22"/>
      <c r="L120" s="22"/>
      <c r="M120" s="22"/>
      <c r="N120" s="22"/>
      <c r="O120" s="883"/>
      <c r="U120" s="67"/>
      <c r="AB120" s="67"/>
      <c r="AC120" s="67"/>
      <c r="AD120" s="67"/>
      <c r="AE120" s="67"/>
      <c r="BE120" s="81"/>
      <c r="BF120" s="81"/>
      <c r="BG120" s="81"/>
      <c r="BH120" s="81"/>
      <c r="BK120" s="47"/>
      <c r="BL120" s="905"/>
      <c r="BM120" s="56">
        <v>7</v>
      </c>
      <c r="BN120" s="68" t="b">
        <f>IF(BT72=7,1)</f>
        <v>0</v>
      </c>
      <c r="BO120" s="69"/>
      <c r="BP120" s="70"/>
      <c r="BQ120" s="70"/>
      <c r="BR120" s="70"/>
      <c r="BS120" s="70"/>
      <c r="BT120" s="70"/>
      <c r="BU120" s="70"/>
      <c r="BV120" s="70"/>
      <c r="BW120" s="70"/>
      <c r="BX120" s="69"/>
      <c r="BY120" s="69"/>
      <c r="BZ120" s="60" t="b">
        <f>IF(BT72=7,13)</f>
        <v>0</v>
      </c>
      <c r="CA120" s="38"/>
      <c r="CB120" s="38"/>
      <c r="CC120" s="38"/>
      <c r="CD120" s="38"/>
      <c r="CE120" s="38"/>
      <c r="CF120" s="38"/>
      <c r="CG120" s="38"/>
      <c r="CH120" s="589"/>
      <c r="CI120" s="38"/>
      <c r="CJ120" s="38"/>
      <c r="CK120" s="38"/>
      <c r="CL120" s="40"/>
      <c r="CM120" s="40"/>
      <c r="CN120" s="40"/>
      <c r="CO120" s="40"/>
      <c r="CP120" s="40"/>
      <c r="CQ120" s="40"/>
      <c r="CR120" s="40"/>
      <c r="CS120" s="40"/>
      <c r="CT120" s="40"/>
      <c r="CU120" s="40"/>
      <c r="CV120" s="40"/>
      <c r="CW120" s="40"/>
      <c r="CX120" s="40"/>
      <c r="CY120" s="40"/>
      <c r="CZ120" s="40"/>
      <c r="DA120" s="40"/>
      <c r="EN120" s="40"/>
      <c r="EO120" s="40"/>
    </row>
    <row r="121" spans="2:147" ht="29" hidden="1" thickBot="1" x14ac:dyDescent="0.35">
      <c r="B121" s="292"/>
      <c r="C121" s="292"/>
      <c r="F121" s="291"/>
      <c r="G121" s="890"/>
      <c r="H121" s="22"/>
      <c r="I121" s="22"/>
      <c r="J121" s="22"/>
      <c r="K121" s="22"/>
      <c r="L121" s="22"/>
      <c r="M121" s="22"/>
      <c r="N121" s="22"/>
      <c r="O121" s="883"/>
      <c r="U121" s="67"/>
      <c r="AB121" s="67"/>
      <c r="AC121" s="67"/>
      <c r="AD121" s="67"/>
      <c r="AE121" s="67"/>
      <c r="BF121" s="81"/>
      <c r="BG121" s="81"/>
      <c r="BH121" s="81"/>
      <c r="BK121" s="47"/>
      <c r="BL121" s="905"/>
      <c r="BM121" s="56">
        <v>6</v>
      </c>
      <c r="BN121" s="71" t="b">
        <f>IF(BS72=6,1)</f>
        <v>0</v>
      </c>
      <c r="BO121" s="74"/>
      <c r="BP121" s="74"/>
      <c r="BQ121" s="74"/>
      <c r="BR121" s="74"/>
      <c r="BS121" s="74"/>
      <c r="BT121" s="74"/>
      <c r="BU121" s="74"/>
      <c r="BV121" s="74"/>
      <c r="BW121" s="74"/>
      <c r="BX121" s="75" t="b">
        <f>IF(BS72=6,11)</f>
        <v>0</v>
      </c>
      <c r="BY121" s="38"/>
      <c r="BZ121" s="38"/>
      <c r="CA121" s="38"/>
      <c r="CB121" s="38"/>
      <c r="CC121" s="38"/>
      <c r="CD121" s="38"/>
      <c r="CE121" s="38"/>
      <c r="CF121" s="38"/>
      <c r="CG121" s="38"/>
      <c r="CH121" s="589"/>
      <c r="CI121" s="38"/>
      <c r="CJ121" s="38"/>
      <c r="CK121" s="38"/>
      <c r="CL121" s="40"/>
      <c r="CM121" s="40"/>
      <c r="CN121" s="40"/>
      <c r="CO121" s="40"/>
      <c r="CP121" s="40"/>
      <c r="CQ121" s="40"/>
      <c r="CR121" s="40"/>
      <c r="CS121" s="40"/>
      <c r="CT121" s="40"/>
      <c r="CU121" s="40"/>
      <c r="CV121" s="40"/>
      <c r="CW121" s="40"/>
      <c r="CX121" s="40"/>
      <c r="CY121" s="40"/>
      <c r="CZ121" s="40"/>
      <c r="DA121" s="40"/>
      <c r="EN121" s="40"/>
      <c r="EO121" s="40"/>
    </row>
    <row r="122" spans="2:147" ht="29" hidden="1" thickBot="1" x14ac:dyDescent="0.35">
      <c r="B122" s="292"/>
      <c r="C122" s="292"/>
      <c r="G122" s="890"/>
      <c r="H122" s="22"/>
      <c r="I122" s="22"/>
      <c r="J122" s="22"/>
      <c r="K122" s="22"/>
      <c r="L122" s="22"/>
      <c r="M122" s="22"/>
      <c r="N122" s="22"/>
      <c r="O122" s="883"/>
      <c r="U122" s="67"/>
      <c r="AB122" s="67"/>
      <c r="AC122" s="67"/>
      <c r="AD122" s="67"/>
      <c r="AE122" s="67"/>
      <c r="BE122" s="81"/>
      <c r="BF122" s="81"/>
      <c r="BG122" s="81"/>
      <c r="BH122" s="81"/>
      <c r="BK122" s="47"/>
      <c r="BL122" s="905"/>
      <c r="BM122" s="56">
        <v>5</v>
      </c>
      <c r="BN122" s="71" t="b">
        <f>IF(BR72=5,1)</f>
        <v>0</v>
      </c>
      <c r="BO122" s="73"/>
      <c r="BP122" s="74"/>
      <c r="BQ122" s="74"/>
      <c r="BR122" s="74"/>
      <c r="BS122" s="74"/>
      <c r="BT122" s="74"/>
      <c r="BU122" s="73"/>
      <c r="BV122" s="75" t="b">
        <f>IF(BR72=5,9)</f>
        <v>0</v>
      </c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589"/>
      <c r="CI122" s="38"/>
      <c r="CJ122" s="38"/>
      <c r="CK122" s="38"/>
      <c r="CL122" s="40"/>
      <c r="CM122" s="40"/>
      <c r="CN122" s="40"/>
      <c r="CO122" s="40"/>
      <c r="CP122" s="40"/>
      <c r="CQ122" s="40"/>
      <c r="CR122" s="40"/>
      <c r="CS122" s="40"/>
      <c r="CT122" s="40"/>
      <c r="CU122" s="40"/>
      <c r="CV122" s="40"/>
      <c r="CW122" s="40"/>
      <c r="CX122" s="40"/>
      <c r="CY122" s="40"/>
      <c r="CZ122" s="40"/>
      <c r="DA122" s="40"/>
      <c r="EN122" s="40"/>
      <c r="EO122" s="40"/>
    </row>
    <row r="123" spans="2:147" ht="29" hidden="1" thickBot="1" x14ac:dyDescent="0.35">
      <c r="B123" s="292"/>
      <c r="C123" s="292"/>
      <c r="G123" s="890"/>
      <c r="H123" s="22"/>
      <c r="I123" s="22"/>
      <c r="J123" s="22"/>
      <c r="K123" s="22"/>
      <c r="L123" s="22"/>
      <c r="M123" s="22"/>
      <c r="N123" s="22"/>
      <c r="O123" s="883"/>
      <c r="U123" s="67"/>
      <c r="AB123" s="67"/>
      <c r="AC123" s="67"/>
      <c r="AD123" s="67"/>
      <c r="AE123" s="67"/>
      <c r="BF123" s="81"/>
      <c r="BG123" s="81"/>
      <c r="BH123" s="81"/>
      <c r="BK123" s="47"/>
      <c r="BL123" s="905"/>
      <c r="BM123" s="56">
        <v>4</v>
      </c>
      <c r="BN123" s="71" t="b">
        <f>IF(BQ72=4,1)</f>
        <v>0</v>
      </c>
      <c r="BO123" s="74"/>
      <c r="BP123" s="74"/>
      <c r="BQ123" s="74"/>
      <c r="BR123" s="74"/>
      <c r="BS123" s="74"/>
      <c r="BT123" s="75" t="b">
        <f>IF(BQ72=4,7)</f>
        <v>0</v>
      </c>
      <c r="BU123" s="38"/>
      <c r="BV123" s="93"/>
      <c r="BW123" s="93"/>
      <c r="BX123" s="38"/>
      <c r="BY123" s="93"/>
      <c r="BZ123" s="38"/>
      <c r="CA123" s="38"/>
      <c r="CB123" s="38"/>
      <c r="CC123" s="38"/>
      <c r="CD123" s="38"/>
      <c r="CE123" s="38"/>
      <c r="CF123" s="38"/>
      <c r="CG123" s="38"/>
      <c r="CH123" s="589"/>
      <c r="CI123" s="38"/>
      <c r="CJ123" s="38"/>
      <c r="CK123" s="38"/>
      <c r="CL123" s="40"/>
      <c r="CM123" s="40"/>
      <c r="CN123" s="40"/>
      <c r="CO123" s="40"/>
      <c r="CP123" s="40"/>
      <c r="CQ123" s="40"/>
      <c r="CR123" s="40"/>
      <c r="CS123" s="40"/>
      <c r="CT123" s="40"/>
      <c r="CU123" s="40"/>
      <c r="CV123" s="40"/>
      <c r="CW123" s="40"/>
      <c r="CX123" s="40"/>
      <c r="CY123" s="40"/>
      <c r="CZ123" s="40"/>
      <c r="DA123" s="40"/>
      <c r="EN123" s="40"/>
      <c r="EO123" s="40"/>
    </row>
    <row r="124" spans="2:147" ht="79.5" hidden="1" customHeight="1" thickBot="1" x14ac:dyDescent="0.35">
      <c r="C124" s="67"/>
      <c r="G124" s="890"/>
      <c r="H124" s="22"/>
      <c r="I124" s="837" t="s">
        <v>193</v>
      </c>
      <c r="J124" s="837" t="s">
        <v>194</v>
      </c>
      <c r="K124" s="838" t="s">
        <v>195</v>
      </c>
      <c r="L124" s="839" t="s">
        <v>196</v>
      </c>
      <c r="M124" s="840" t="s">
        <v>197</v>
      </c>
      <c r="N124" s="22"/>
      <c r="O124" s="883"/>
      <c r="U124" s="67"/>
      <c r="AB124" s="67"/>
      <c r="AC124" s="67"/>
      <c r="AD124" s="67"/>
      <c r="AE124" s="67"/>
      <c r="BF124" s="81"/>
      <c r="BG124" s="81"/>
      <c r="BH124" s="81"/>
      <c r="BK124" s="47"/>
      <c r="BL124" s="905"/>
      <c r="BM124" s="56">
        <v>3</v>
      </c>
      <c r="BN124" s="71" t="b">
        <f>IF(BP72=3,1)</f>
        <v>0</v>
      </c>
      <c r="BO124" s="74"/>
      <c r="BP124" s="74"/>
      <c r="BQ124" s="74"/>
      <c r="BR124" s="75" t="b">
        <f>IF(BP72=3,5)</f>
        <v>0</v>
      </c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589"/>
      <c r="CI124" s="38"/>
      <c r="CJ124" s="38"/>
      <c r="CK124" s="38"/>
      <c r="CL124" s="40"/>
      <c r="CM124" s="40"/>
      <c r="CN124" s="40"/>
      <c r="CO124" s="40"/>
      <c r="CP124" s="40"/>
      <c r="CQ124" s="40"/>
      <c r="CR124" s="40"/>
      <c r="CS124" s="40"/>
      <c r="CT124" s="40"/>
      <c r="CU124" s="40"/>
      <c r="CV124" s="40"/>
      <c r="CW124" s="40"/>
      <c r="CX124" s="40"/>
      <c r="CY124" s="40"/>
      <c r="CZ124" s="40"/>
      <c r="DA124" s="40"/>
      <c r="EN124" s="40"/>
      <c r="EO124" s="40"/>
    </row>
    <row r="125" spans="2:147" ht="66" hidden="1" thickBot="1" x14ac:dyDescent="0.35">
      <c r="B125" s="297"/>
      <c r="C125" s="297"/>
      <c r="D125" s="298"/>
      <c r="E125" s="298"/>
      <c r="F125" s="298"/>
      <c r="G125" s="890"/>
      <c r="H125" s="22"/>
      <c r="I125" s="836" t="s">
        <v>198</v>
      </c>
      <c r="J125" s="841" t="s">
        <v>199</v>
      </c>
      <c r="K125" s="842" t="s">
        <v>200</v>
      </c>
      <c r="L125" s="843" t="s">
        <v>200</v>
      </c>
      <c r="M125" s="844" t="s">
        <v>200</v>
      </c>
      <c r="N125" s="22"/>
      <c r="O125" s="883"/>
      <c r="BE125" s="81"/>
      <c r="BF125" s="81"/>
      <c r="BG125" s="81"/>
      <c r="BH125" s="81"/>
      <c r="BK125" s="47"/>
      <c r="BL125" s="905"/>
      <c r="BM125" s="56">
        <v>2</v>
      </c>
      <c r="BN125" s="94" t="b">
        <f>IF(BO72=2,1)</f>
        <v>0</v>
      </c>
      <c r="BO125" s="95"/>
      <c r="BP125" s="96" t="b">
        <f>IF(BO72=2,3)</f>
        <v>0</v>
      </c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591"/>
      <c r="CI125" s="38"/>
      <c r="CJ125" s="38"/>
      <c r="CK125" s="38"/>
      <c r="CL125" s="40"/>
      <c r="CM125" s="40"/>
      <c r="CN125" s="40"/>
      <c r="CO125" s="40"/>
      <c r="CP125" s="40"/>
      <c r="CQ125" s="40"/>
      <c r="CR125" s="40"/>
      <c r="CS125" s="40"/>
      <c r="CT125" s="40"/>
      <c r="CU125" s="40"/>
      <c r="CV125" s="40"/>
      <c r="CW125" s="40"/>
      <c r="CX125" s="40"/>
      <c r="CY125" s="40"/>
      <c r="CZ125" s="40"/>
      <c r="DA125" s="40"/>
      <c r="EN125" s="40"/>
      <c r="EO125" s="40"/>
    </row>
    <row r="126" spans="2:147" ht="54" hidden="1" customHeight="1" thickBot="1" x14ac:dyDescent="0.35">
      <c r="G126" s="890"/>
      <c r="H126" s="926" t="s">
        <v>201</v>
      </c>
      <c r="I126" s="919">
        <f>+MIN(K31:L32)</f>
        <v>53.079345760976054</v>
      </c>
      <c r="J126" s="919">
        <f>+MIN(J37:K38)</f>
        <v>79.311222722779405</v>
      </c>
      <c r="K126" s="921">
        <f>+MIN(J43:L44)</f>
        <v>113.06042884990252</v>
      </c>
      <c r="L126" s="922">
        <f>+MIN(J49:L50)</f>
        <v>35.087719298245609</v>
      </c>
      <c r="M126" s="923">
        <f>+MIN(J55:L56)</f>
        <v>125.73099415204678</v>
      </c>
      <c r="N126" s="22"/>
      <c r="O126" s="883"/>
      <c r="BF126" s="81"/>
      <c r="BG126" s="81"/>
      <c r="BH126" s="81"/>
      <c r="BK126" s="47"/>
      <c r="BL126" s="905"/>
      <c r="BM126" s="97"/>
      <c r="BN126" s="98">
        <f t="shared" ref="BN126:DA126" si="3">SUM(BN87:BN125)</f>
        <v>0</v>
      </c>
      <c r="BO126" s="98">
        <f t="shared" si="3"/>
        <v>0</v>
      </c>
      <c r="BP126" s="98">
        <f t="shared" si="3"/>
        <v>0</v>
      </c>
      <c r="BQ126" s="98">
        <f t="shared" si="3"/>
        <v>0</v>
      </c>
      <c r="BR126" s="98">
        <f t="shared" si="3"/>
        <v>0</v>
      </c>
      <c r="BS126" s="98">
        <f t="shared" si="3"/>
        <v>0</v>
      </c>
      <c r="BT126" s="98">
        <f t="shared" si="3"/>
        <v>0</v>
      </c>
      <c r="BU126" s="98">
        <f t="shared" si="3"/>
        <v>0</v>
      </c>
      <c r="BV126" s="98">
        <f t="shared" si="3"/>
        <v>0</v>
      </c>
      <c r="BW126" s="98">
        <f t="shared" si="3"/>
        <v>10</v>
      </c>
      <c r="BX126" s="98">
        <f t="shared" si="3"/>
        <v>0</v>
      </c>
      <c r="BY126" s="98">
        <f t="shared" si="3"/>
        <v>0</v>
      </c>
      <c r="BZ126" s="98">
        <f t="shared" si="3"/>
        <v>0</v>
      </c>
      <c r="CA126" s="98">
        <f t="shared" si="3"/>
        <v>0</v>
      </c>
      <c r="CB126" s="98">
        <f t="shared" si="3"/>
        <v>0</v>
      </c>
      <c r="CC126" s="98">
        <f t="shared" si="3"/>
        <v>0</v>
      </c>
      <c r="CD126" s="98">
        <f t="shared" si="3"/>
        <v>0</v>
      </c>
      <c r="CE126" s="98">
        <f t="shared" si="3"/>
        <v>0</v>
      </c>
      <c r="CF126" s="98">
        <f t="shared" si="3"/>
        <v>0</v>
      </c>
      <c r="CG126" s="909">
        <f t="shared" si="3"/>
        <v>0</v>
      </c>
      <c r="CH126" s="914">
        <f t="shared" si="3"/>
        <v>0</v>
      </c>
      <c r="CI126" s="910">
        <f t="shared" si="3"/>
        <v>0</v>
      </c>
      <c r="CJ126" s="98">
        <f t="shared" si="3"/>
        <v>0</v>
      </c>
      <c r="CK126" s="98">
        <f t="shared" si="3"/>
        <v>0</v>
      </c>
      <c r="CL126" s="98">
        <f t="shared" si="3"/>
        <v>0</v>
      </c>
      <c r="CM126" s="98">
        <f t="shared" si="3"/>
        <v>0</v>
      </c>
      <c r="CN126" s="98">
        <f t="shared" si="3"/>
        <v>0</v>
      </c>
      <c r="CO126" s="98">
        <f t="shared" si="3"/>
        <v>0</v>
      </c>
      <c r="CP126" s="98">
        <f t="shared" si="3"/>
        <v>29</v>
      </c>
      <c r="CQ126" s="98">
        <f t="shared" si="3"/>
        <v>0</v>
      </c>
      <c r="CR126" s="98">
        <f t="shared" si="3"/>
        <v>0</v>
      </c>
      <c r="CS126" s="98">
        <f t="shared" si="3"/>
        <v>0</v>
      </c>
      <c r="CT126" s="98">
        <f t="shared" si="3"/>
        <v>0</v>
      </c>
      <c r="CU126" s="98">
        <f t="shared" si="3"/>
        <v>0</v>
      </c>
      <c r="CV126" s="98">
        <f t="shared" si="3"/>
        <v>0</v>
      </c>
      <c r="CW126" s="98">
        <f t="shared" si="3"/>
        <v>0</v>
      </c>
      <c r="CX126" s="98">
        <f t="shared" si="3"/>
        <v>0</v>
      </c>
      <c r="CY126" s="98">
        <f t="shared" si="3"/>
        <v>0</v>
      </c>
      <c r="CZ126" s="98">
        <f t="shared" si="3"/>
        <v>0</v>
      </c>
      <c r="DA126" s="98">
        <f t="shared" si="3"/>
        <v>0</v>
      </c>
      <c r="DB126" s="98">
        <f>SUM(DB87:DB125)</f>
        <v>0</v>
      </c>
      <c r="EN126" s="40"/>
      <c r="EO126" s="40"/>
    </row>
    <row r="127" spans="2:147" ht="134.25" customHeight="1" thickBot="1" x14ac:dyDescent="0.35">
      <c r="B127"/>
      <c r="G127" s="845"/>
      <c r="H127" s="77"/>
      <c r="I127" s="77"/>
      <c r="J127" s="77"/>
      <c r="K127" s="77"/>
      <c r="L127" s="77"/>
      <c r="M127" s="77"/>
      <c r="N127" s="77"/>
      <c r="O127" s="846"/>
      <c r="BE127" s="81"/>
      <c r="BF127" s="81"/>
      <c r="BG127" s="81"/>
      <c r="BH127" s="81"/>
      <c r="BK127" s="47"/>
      <c r="BL127" s="905"/>
      <c r="BM127" s="574"/>
      <c r="BN127" s="99"/>
      <c r="BO127" s="99"/>
      <c r="BP127" s="99"/>
      <c r="BQ127" s="99"/>
      <c r="BR127" s="99"/>
      <c r="BS127" s="99"/>
      <c r="BT127" s="99"/>
      <c r="BU127" s="99"/>
      <c r="BV127" s="99"/>
      <c r="BW127" s="99"/>
      <c r="BX127" s="99"/>
      <c r="BY127" s="99"/>
      <c r="BZ127" s="99"/>
      <c r="CA127" s="99"/>
      <c r="CB127" s="99"/>
      <c r="CC127" s="99"/>
      <c r="CD127" s="99"/>
      <c r="CE127" s="99"/>
      <c r="CF127" s="99"/>
      <c r="CG127" s="99"/>
      <c r="CH127" s="99"/>
      <c r="CI127" s="99"/>
      <c r="CJ127" s="99"/>
      <c r="CK127" s="99"/>
      <c r="CL127" s="99"/>
      <c r="CM127" s="99"/>
      <c r="CN127" s="99"/>
      <c r="CO127" s="99"/>
      <c r="CP127" s="99"/>
      <c r="CQ127" s="99"/>
      <c r="CR127" s="99"/>
      <c r="CS127" s="99"/>
      <c r="CT127" s="99"/>
      <c r="CU127" s="99"/>
      <c r="CV127" s="99"/>
      <c r="CW127" s="99"/>
      <c r="CX127" s="99"/>
      <c r="CY127" s="40"/>
      <c r="CZ127" s="40"/>
      <c r="DA127" s="40"/>
      <c r="EN127" s="40"/>
      <c r="EO127" s="40"/>
    </row>
    <row r="128" spans="2:147" ht="52.5" customHeight="1" thickBot="1" x14ac:dyDescent="0.35">
      <c r="B128" s="297"/>
      <c r="C128" s="297"/>
      <c r="D128" s="298"/>
      <c r="E128" s="298"/>
      <c r="F128" s="298"/>
      <c r="G128" s="890"/>
      <c r="H128" s="122"/>
      <c r="I128" s="122"/>
      <c r="J128" s="122"/>
      <c r="K128" s="122"/>
      <c r="L128" s="122"/>
      <c r="M128" s="122"/>
      <c r="N128" s="122"/>
      <c r="O128" s="847"/>
      <c r="BE128" s="81"/>
      <c r="BF128" s="81"/>
      <c r="BG128" s="81"/>
      <c r="BH128" s="81"/>
      <c r="BK128" s="47"/>
      <c r="BL128" s="906" t="s">
        <v>110</v>
      </c>
      <c r="BM128" s="875" t="s">
        <v>164</v>
      </c>
      <c r="BN128" s="600" t="str">
        <f>IF(BN126=1,20,"")</f>
        <v/>
      </c>
      <c r="BO128" s="601" t="str">
        <f>IF(BO126=2,19,"")</f>
        <v/>
      </c>
      <c r="BP128" s="601" t="str">
        <f>IF(BP126=3,18,"")</f>
        <v/>
      </c>
      <c r="BQ128" s="601" t="str">
        <f>IF(BQ126=4,17,"")</f>
        <v/>
      </c>
      <c r="BR128" s="601" t="str">
        <f>IF(BR126=5,16,"")</f>
        <v/>
      </c>
      <c r="BS128" s="601" t="str">
        <f>IF(BS126=6,15,"")</f>
        <v/>
      </c>
      <c r="BT128" s="601" t="str">
        <f>IF(BT126=7,14,"")</f>
        <v/>
      </c>
      <c r="BU128" s="601" t="str">
        <f>IF(BU126=8,13,"")</f>
        <v/>
      </c>
      <c r="BV128" s="601" t="str">
        <f>IF(BV126=9,12,"")</f>
        <v/>
      </c>
      <c r="BW128" s="601">
        <f>IF(BW126=10,11,"")</f>
        <v>11</v>
      </c>
      <c r="BX128" s="601" t="str">
        <f>IF(BX126=11,10,"")</f>
        <v/>
      </c>
      <c r="BY128" s="601" t="str">
        <f>IF(BY126=12,9,"")</f>
        <v/>
      </c>
      <c r="BZ128" s="918" t="str">
        <f>IF(BZ126=13,"8 ADS-N","")</f>
        <v/>
      </c>
      <c r="CA128" s="601" t="str">
        <f>IF(CA126=14,7,"")</f>
        <v/>
      </c>
      <c r="CB128" s="601" t="str">
        <f>IF(CB126=15,6,"")</f>
        <v/>
      </c>
      <c r="CC128" s="601" t="str">
        <f>IF(CC126=16,5,"")</f>
        <v/>
      </c>
      <c r="CD128" s="601" t="str">
        <f>IF(CD126=17,4,"")</f>
        <v/>
      </c>
      <c r="CE128" s="601" t="str">
        <f>IF(CE126=18,3,"")</f>
        <v/>
      </c>
      <c r="CF128" s="601" t="str">
        <f>IF(CF126=19,2,"")</f>
        <v/>
      </c>
      <c r="CG128" s="601" t="str">
        <f>IF(CG126=20,1,"")</f>
        <v/>
      </c>
      <c r="CH128" s="602"/>
      <c r="CI128" s="603" t="str">
        <f>IF(CI126=22,1,"")</f>
        <v/>
      </c>
      <c r="CJ128" s="603" t="str">
        <f>IF(CJ126=23,2,"")</f>
        <v/>
      </c>
      <c r="CK128" s="603" t="str">
        <f>IF(CK126=24,3,"")</f>
        <v/>
      </c>
      <c r="CL128" s="603" t="str">
        <f>IF(CL126=25,4,"")</f>
        <v/>
      </c>
      <c r="CM128" s="603" t="str">
        <f>IF(CM126=26,5,"")</f>
        <v/>
      </c>
      <c r="CN128" s="603" t="str">
        <f>IF(CN126=27,6,"")</f>
        <v/>
      </c>
      <c r="CO128" s="603" t="str">
        <f>IF(CO126=28,7,"")</f>
        <v/>
      </c>
      <c r="CP128" s="918" t="str">
        <f>IF(CP126=29,"8  ADS-N ","")</f>
        <v xml:space="preserve">8  ADS-N </v>
      </c>
      <c r="CQ128" s="603" t="str">
        <f>IF(CQ126=30,9,"")</f>
        <v/>
      </c>
      <c r="CR128" s="603" t="str">
        <f>IF(CR126=31,10,"")</f>
        <v/>
      </c>
      <c r="CS128" s="603" t="str">
        <f>IF(CS126=32,11,"")</f>
        <v/>
      </c>
      <c r="CT128" s="603" t="str">
        <f>IF(CT126=33,12,"")</f>
        <v/>
      </c>
      <c r="CU128" s="603" t="str">
        <f>IF(CU126=34,13,"")</f>
        <v/>
      </c>
      <c r="CV128" s="603" t="str">
        <f>IF(CV126=35,14,"")</f>
        <v/>
      </c>
      <c r="CW128" s="603" t="str">
        <f>IF(CW126=36,15,"")</f>
        <v/>
      </c>
      <c r="CX128" s="603" t="str">
        <f>IF(CX126=37,16,"")</f>
        <v/>
      </c>
      <c r="CY128" s="603" t="str">
        <f>IF(CY126=38,17,"")</f>
        <v/>
      </c>
      <c r="CZ128" s="603" t="str">
        <f>IF(CZ126=39,18,"")</f>
        <v/>
      </c>
      <c r="DA128" s="603" t="str">
        <f>IF(DA126=40,19,"")</f>
        <v/>
      </c>
      <c r="DB128" s="604" t="str">
        <f>IF(DB126=41,20,"")</f>
        <v/>
      </c>
      <c r="EN128" s="40"/>
      <c r="EO128" s="40"/>
    </row>
    <row r="129" spans="2:145" ht="40.5" customHeight="1" thickBot="1" x14ac:dyDescent="0.35">
      <c r="B129" s="297"/>
      <c r="C129" s="297"/>
      <c r="D129" s="298"/>
      <c r="E129" s="298"/>
      <c r="F129" s="298"/>
      <c r="G129" s="890"/>
      <c r="H129" s="22"/>
      <c r="I129" s="22"/>
      <c r="J129" s="22"/>
      <c r="K129" s="22"/>
      <c r="L129" s="22"/>
      <c r="M129" s="22"/>
      <c r="N129" s="22"/>
      <c r="O129" s="883"/>
      <c r="BE129" s="81"/>
      <c r="BF129" s="81"/>
      <c r="BG129" s="81"/>
      <c r="BH129" s="81"/>
      <c r="BI129" s="746">
        <v>6</v>
      </c>
      <c r="BJ129" s="958" t="b">
        <f>AND(BL129&gt;=10,$AZ$142&gt;=10,$BA$142&gt;=10,$AZ$163&gt;=10,$BA$163&gt;=10)</f>
        <v>1</v>
      </c>
      <c r="BK129" s="873" t="str">
        <f>IF(BJ129=TRUE,"O K","OVERLOAD")</f>
        <v>O K</v>
      </c>
      <c r="BL129" s="957">
        <f>SUM(I132:M132)</f>
        <v>113.06042884990252</v>
      </c>
      <c r="BM129" s="786" t="s">
        <v>92</v>
      </c>
      <c r="BN129" s="780">
        <v>-10</v>
      </c>
      <c r="BO129" s="780">
        <v>-9</v>
      </c>
      <c r="BP129" s="780">
        <v>-8</v>
      </c>
      <c r="BQ129" s="780">
        <v>-7</v>
      </c>
      <c r="BR129" s="780">
        <v>-6</v>
      </c>
      <c r="BS129" s="780">
        <v>-5</v>
      </c>
      <c r="BT129" s="780">
        <v>-4</v>
      </c>
      <c r="BU129" s="780">
        <v>-3</v>
      </c>
      <c r="BV129" s="780">
        <v>-2</v>
      </c>
      <c r="BW129" s="780">
        <v>-1</v>
      </c>
      <c r="BX129" s="780">
        <v>0</v>
      </c>
      <c r="BY129" s="780">
        <v>1</v>
      </c>
      <c r="BZ129" s="780">
        <v>2</v>
      </c>
      <c r="CA129" s="780">
        <v>3</v>
      </c>
      <c r="CB129" s="780">
        <v>4</v>
      </c>
      <c r="CC129" s="780">
        <v>5</v>
      </c>
      <c r="CD129" s="780">
        <v>6</v>
      </c>
      <c r="CE129" s="780">
        <v>7</v>
      </c>
      <c r="CF129" s="780">
        <v>8</v>
      </c>
      <c r="CG129" s="780">
        <v>9</v>
      </c>
      <c r="CH129" s="780">
        <v>10</v>
      </c>
      <c r="CI129" s="780">
        <v>11</v>
      </c>
      <c r="CJ129" s="780">
        <v>12</v>
      </c>
      <c r="CK129" s="780">
        <v>13</v>
      </c>
      <c r="CL129" s="780">
        <v>14</v>
      </c>
      <c r="CM129" s="780">
        <v>15</v>
      </c>
      <c r="CN129" s="780">
        <v>16</v>
      </c>
      <c r="CO129" s="780">
        <v>17</v>
      </c>
      <c r="CP129" s="780">
        <v>18</v>
      </c>
      <c r="CQ129" s="780">
        <v>19</v>
      </c>
      <c r="CR129" s="780">
        <v>20</v>
      </c>
      <c r="CS129" s="780">
        <v>21</v>
      </c>
      <c r="CT129" s="780">
        <v>22</v>
      </c>
      <c r="CU129" s="780">
        <v>23</v>
      </c>
      <c r="CV129" s="780">
        <v>24</v>
      </c>
      <c r="CW129" s="780">
        <v>25</v>
      </c>
      <c r="CX129" s="780">
        <v>26</v>
      </c>
      <c r="CY129" s="780">
        <v>27</v>
      </c>
      <c r="CZ129" s="780">
        <v>28</v>
      </c>
      <c r="DA129" s="780">
        <v>29</v>
      </c>
      <c r="DB129" s="780">
        <v>30</v>
      </c>
      <c r="EN129" s="40"/>
      <c r="EO129" s="40"/>
    </row>
    <row r="130" spans="2:145" hidden="1" x14ac:dyDescent="0.3">
      <c r="G130" s="890"/>
      <c r="H130" s="22"/>
      <c r="I130" s="848" t="s">
        <v>188</v>
      </c>
      <c r="J130" s="848" t="s">
        <v>183</v>
      </c>
      <c r="K130" s="872" t="s">
        <v>223</v>
      </c>
      <c r="L130" s="872" t="s">
        <v>223</v>
      </c>
      <c r="M130" s="22"/>
      <c r="N130" s="22"/>
      <c r="O130" s="883"/>
      <c r="BJ130" s="747"/>
      <c r="BK130" s="81"/>
      <c r="BL130" s="905"/>
      <c r="BM130" s="40"/>
      <c r="BN130" s="120">
        <v>1</v>
      </c>
      <c r="BO130" s="120">
        <v>2</v>
      </c>
      <c r="BP130" s="120">
        <v>3</v>
      </c>
      <c r="BQ130" s="120">
        <v>4</v>
      </c>
      <c r="BR130" s="120">
        <v>5</v>
      </c>
      <c r="BS130" s="120">
        <v>6</v>
      </c>
      <c r="BT130" s="120">
        <v>7</v>
      </c>
      <c r="BU130" s="120">
        <v>8</v>
      </c>
      <c r="BV130" s="120">
        <v>9</v>
      </c>
      <c r="BW130" s="120">
        <v>10</v>
      </c>
      <c r="BX130" s="120">
        <v>11</v>
      </c>
      <c r="BY130" s="120">
        <v>12</v>
      </c>
      <c r="BZ130" s="120">
        <v>13</v>
      </c>
      <c r="CA130" s="120">
        <v>14</v>
      </c>
      <c r="CB130" s="120">
        <v>15</v>
      </c>
      <c r="CC130" s="120">
        <v>16</v>
      </c>
      <c r="CD130" s="120">
        <v>17</v>
      </c>
      <c r="CE130" s="120">
        <v>18</v>
      </c>
      <c r="CF130" s="120">
        <v>19</v>
      </c>
      <c r="CG130" s="120">
        <v>20</v>
      </c>
      <c r="CH130" s="576">
        <v>21</v>
      </c>
      <c r="CI130" s="120">
        <v>22</v>
      </c>
      <c r="CJ130" s="120">
        <v>23</v>
      </c>
      <c r="CK130" s="120">
        <v>24</v>
      </c>
      <c r="CL130" s="120">
        <v>25</v>
      </c>
      <c r="CM130" s="120">
        <v>26</v>
      </c>
      <c r="CN130" s="120">
        <v>27</v>
      </c>
      <c r="CO130" s="120">
        <v>28</v>
      </c>
      <c r="CP130" s="120">
        <v>29</v>
      </c>
      <c r="CQ130" s="120">
        <v>30</v>
      </c>
      <c r="CR130" s="120">
        <v>31</v>
      </c>
      <c r="CS130" s="120">
        <v>32</v>
      </c>
      <c r="CT130" s="120">
        <v>33</v>
      </c>
      <c r="CU130" s="120">
        <v>34</v>
      </c>
      <c r="CV130" s="120">
        <v>35</v>
      </c>
      <c r="CW130" s="120">
        <v>36</v>
      </c>
      <c r="CX130" s="120">
        <v>37</v>
      </c>
      <c r="CY130" s="120">
        <v>38</v>
      </c>
      <c r="CZ130" s="120">
        <v>39</v>
      </c>
      <c r="DA130" s="120">
        <v>40</v>
      </c>
      <c r="DB130" s="120">
        <v>41</v>
      </c>
      <c r="EN130" s="40"/>
      <c r="EO130" s="40"/>
    </row>
    <row r="131" spans="2:145" ht="56" hidden="1" customHeight="1" x14ac:dyDescent="0.3">
      <c r="G131" s="849"/>
      <c r="H131" s="130"/>
      <c r="I131" s="924">
        <f>COUNTIF(CI126:DB126,"&gt;0")</f>
        <v>1</v>
      </c>
      <c r="J131" s="924">
        <f>COUNTIF(BN126:CG126,"&gt;0")</f>
        <v>1</v>
      </c>
      <c r="K131" s="924" t="b">
        <f>AND(IF(SUM(BN128:BY128)&gt;0,1,0),IF(CP128="8  ADS-N ",1,0))</f>
        <v>1</v>
      </c>
      <c r="L131" s="924" t="b">
        <f>AND(IF(SUM(CQ128:DB128)&gt;0,1,0),IF(BZ128="8 ADS-N",1,0))</f>
        <v>0</v>
      </c>
      <c r="M131" s="924" t="b">
        <f>AND(IF(CP128="8  ADS-N ",1,0),IF(BZ128="8 ADS-N",1,0))</f>
        <v>0</v>
      </c>
      <c r="N131" s="130"/>
      <c r="O131" s="850"/>
      <c r="BJ131" s="747"/>
      <c r="BK131" s="81"/>
      <c r="BL131" s="905"/>
      <c r="BM131" s="38"/>
      <c r="BN131" s="38"/>
      <c r="BO131" s="38"/>
      <c r="BP131" s="38"/>
      <c r="BQ131" s="38"/>
      <c r="BR131" s="38"/>
      <c r="BS131" s="123"/>
      <c r="BT131" s="123"/>
      <c r="BU131" s="123"/>
      <c r="BV131" s="123"/>
      <c r="BW131" s="123"/>
      <c r="BX131" s="123"/>
      <c r="BY131" s="123"/>
      <c r="BZ131" s="123"/>
      <c r="CA131" s="123"/>
      <c r="CB131" s="123"/>
      <c r="CC131" s="123"/>
      <c r="CD131" s="123"/>
      <c r="CE131" s="123"/>
      <c r="CF131" s="123"/>
      <c r="CG131" s="40"/>
      <c r="CH131" s="40"/>
      <c r="CI131" s="40"/>
      <c r="CJ131" s="40"/>
      <c r="CK131" s="40"/>
      <c r="CL131" s="40"/>
      <c r="CM131" s="40"/>
      <c r="CN131" s="40"/>
      <c r="CO131" s="40"/>
      <c r="CP131" s="40"/>
      <c r="CQ131" s="40"/>
      <c r="CR131" s="40"/>
      <c r="CS131" s="40"/>
      <c r="CT131" s="40"/>
      <c r="CU131" s="40"/>
      <c r="CV131" s="40"/>
      <c r="CW131" s="40"/>
      <c r="CX131" s="40"/>
      <c r="CY131" s="40"/>
      <c r="CZ131" s="40"/>
      <c r="DA131" s="40"/>
      <c r="EN131" s="40"/>
      <c r="EO131" s="40"/>
    </row>
    <row r="132" spans="2:145" ht="45" hidden="1" customHeight="1" thickBot="1" x14ac:dyDescent="0.35">
      <c r="G132" s="851"/>
      <c r="H132" s="852"/>
      <c r="I132" s="925">
        <f>IF(I131=2,I126,0)</f>
        <v>0</v>
      </c>
      <c r="J132" s="925">
        <f>IF(J131=2,J126,0)</f>
        <v>0</v>
      </c>
      <c r="K132" s="925">
        <f t="shared" ref="K132:M132" si="4">IF(K131=TRUE,K126,0)</f>
        <v>113.06042884990252</v>
      </c>
      <c r="L132" s="925">
        <f t="shared" si="4"/>
        <v>0</v>
      </c>
      <c r="M132" s="925">
        <f t="shared" si="4"/>
        <v>0</v>
      </c>
      <c r="N132" s="852"/>
      <c r="O132" s="853"/>
      <c r="BJ132" s="747"/>
      <c r="BK132" s="81"/>
      <c r="BL132" s="905"/>
      <c r="BM132" s="77"/>
      <c r="BN132" s="77"/>
      <c r="BO132" s="77"/>
      <c r="BP132" s="77"/>
      <c r="BQ132" s="77"/>
      <c r="BR132" s="77"/>
      <c r="BS132" s="124"/>
      <c r="BT132" s="124"/>
      <c r="BU132" s="124"/>
      <c r="BV132" s="124"/>
      <c r="BW132" s="124"/>
      <c r="BX132" s="124"/>
      <c r="BY132" s="124"/>
      <c r="BZ132" s="124"/>
      <c r="CA132" s="124"/>
      <c r="CB132" s="124"/>
      <c r="CC132" s="124"/>
      <c r="CD132" s="124"/>
      <c r="CE132" s="124"/>
      <c r="CF132" s="124"/>
      <c r="EN132" s="40"/>
      <c r="EO132" s="40"/>
    </row>
    <row r="133" spans="2:145" ht="51" customHeight="1" thickBot="1" x14ac:dyDescent="0.35">
      <c r="B133" s="299"/>
      <c r="D133" s="300" t="str">
        <f>IF(BJ134&gt;0," ","change the angle of frame or of cabinets")</f>
        <v xml:space="preserve"> </v>
      </c>
      <c r="E133" s="129"/>
      <c r="F133" s="129"/>
      <c r="G133" s="129"/>
      <c r="BE133" s="81"/>
      <c r="BF133" s="81"/>
      <c r="BG133" s="81"/>
      <c r="BH133" s="81"/>
      <c r="BI133" s="81"/>
      <c r="BJ133" s="748" t="s">
        <v>55</v>
      </c>
      <c r="BK133" s="110"/>
      <c r="BL133" s="905"/>
      <c r="BM133" s="27"/>
      <c r="BP133" s="77"/>
      <c r="BQ133" s="77"/>
      <c r="BR133" s="77"/>
      <c r="BS133" s="124"/>
      <c r="BT133" s="124"/>
      <c r="BU133" s="124"/>
      <c r="BV133" s="124"/>
      <c r="BW133" s="124"/>
      <c r="BX133" s="124"/>
      <c r="BY133" s="124"/>
      <c r="BZ133" s="124"/>
      <c r="CA133" s="124"/>
      <c r="CB133" s="124"/>
      <c r="CC133" s="124"/>
      <c r="CD133" s="124"/>
      <c r="CE133" s="124"/>
      <c r="CF133" s="124"/>
      <c r="CO133" s="27"/>
      <c r="DD133" s="125" t="s">
        <v>54</v>
      </c>
    </row>
    <row r="134" spans="2:145" ht="51" customHeight="1" thickBot="1" x14ac:dyDescent="0.35">
      <c r="B134" s="1012" t="s">
        <v>119</v>
      </c>
      <c r="D134" s="300" t="str">
        <f>IF(DD134&lt;0," ","change the angle of frame or of cabinets")</f>
        <v xml:space="preserve"> </v>
      </c>
      <c r="E134" s="129"/>
      <c r="F134" s="129"/>
      <c r="G134" s="129"/>
      <c r="V134" s="301"/>
      <c r="W134" s="301"/>
      <c r="X134" s="301"/>
      <c r="Y134" s="301"/>
      <c r="Z134" s="301"/>
      <c r="AA134" s="301"/>
      <c r="AF134" s="293"/>
      <c r="AG134" s="293"/>
      <c r="AH134" s="293"/>
      <c r="AI134" s="293"/>
      <c r="AJ134" s="293"/>
      <c r="AK134" s="293"/>
      <c r="AL134" s="293"/>
      <c r="AM134" s="293"/>
      <c r="AN134" s="293"/>
      <c r="AO134" s="293"/>
      <c r="AP134" s="293"/>
      <c r="AQ134" s="293"/>
      <c r="AR134" s="293"/>
      <c r="AS134" s="293"/>
      <c r="AT134" s="293"/>
      <c r="AU134" s="293"/>
      <c r="AV134" s="293"/>
      <c r="AW134" s="293"/>
      <c r="AX134" s="293"/>
      <c r="AY134" s="293"/>
      <c r="AZ134" s="293"/>
      <c r="BA134" s="293"/>
      <c r="BB134" s="85"/>
      <c r="BE134" s="81"/>
      <c r="BF134" s="81"/>
      <c r="BG134" s="81"/>
      <c r="BH134" s="81"/>
      <c r="BI134" s="81"/>
      <c r="BJ134" s="748">
        <f>-+CG176</f>
        <v>515.61662355000055</v>
      </c>
      <c r="BK134" s="110"/>
      <c r="BL134" s="905"/>
      <c r="BM134" s="27"/>
      <c r="BP134" s="77"/>
      <c r="BQ134" s="77"/>
      <c r="BR134" s="77"/>
      <c r="BS134" s="124"/>
      <c r="BT134" s="124"/>
      <c r="BU134" s="124"/>
      <c r="BV134" s="124"/>
      <c r="BW134" s="124"/>
      <c r="BX134" s="124"/>
      <c r="BY134" s="124"/>
      <c r="BZ134" s="124"/>
      <c r="CA134" s="124"/>
      <c r="CB134" s="124"/>
      <c r="CC134" s="124"/>
      <c r="CD134" s="124"/>
      <c r="CE134" s="124"/>
      <c r="CF134" s="124"/>
      <c r="CM134" s="133"/>
      <c r="CO134" s="27"/>
      <c r="DD134" s="748">
        <f>+-CG216</f>
        <v>-604.38337644999945</v>
      </c>
    </row>
    <row r="135" spans="2:145" ht="51" customHeight="1" thickBot="1" x14ac:dyDescent="0.35">
      <c r="B135" s="1013"/>
      <c r="C135" s="134"/>
      <c r="D135" s="300" t="str">
        <f>IF(BJ134&gt;(+COS(($B$136*-1)*3.14159265358979/180)*294)," ","USE EXBAR-N AT THE FRONT")</f>
        <v xml:space="preserve"> </v>
      </c>
      <c r="E135" s="129"/>
      <c r="F135" s="129"/>
      <c r="G135" s="129"/>
      <c r="BE135" s="81"/>
      <c r="BF135" s="81"/>
      <c r="BG135" s="81"/>
      <c r="BH135" s="81"/>
      <c r="BI135" s="81"/>
      <c r="BJ135" s="747"/>
      <c r="BK135" s="81"/>
      <c r="BL135" s="905"/>
      <c r="BM135" s="77"/>
      <c r="BN135" s="77"/>
      <c r="BO135" s="77"/>
      <c r="BP135" s="77"/>
      <c r="BQ135" s="77"/>
      <c r="BR135" s="77"/>
      <c r="BS135" s="124"/>
      <c r="BT135" s="124"/>
      <c r="BU135" s="124"/>
      <c r="BV135" s="124"/>
      <c r="BW135" s="124"/>
      <c r="BX135" s="124"/>
      <c r="BY135" s="124"/>
      <c r="BZ135" s="124"/>
      <c r="CA135" s="124"/>
      <c r="CB135" s="124"/>
      <c r="CC135" s="124"/>
      <c r="CD135" s="124"/>
      <c r="CE135" s="124"/>
      <c r="CF135" s="124"/>
    </row>
    <row r="136" spans="2:145" ht="51" customHeight="1" thickBot="1" x14ac:dyDescent="0.55000000000000004">
      <c r="B136" s="3">
        <v>0</v>
      </c>
      <c r="C136" s="134"/>
      <c r="D136" s="243" t="str">
        <f>IF(DD134&lt;-(+COS(($B$136*-1)*3.14159265358979/180)*266)," ","USE EXBAR-N AT THE BACK")</f>
        <v xml:space="preserve"> </v>
      </c>
      <c r="E136" s="129"/>
      <c r="F136" s="129"/>
      <c r="G136" s="129"/>
      <c r="AK136" s="468" t="s">
        <v>106</v>
      </c>
      <c r="AL136" s="486"/>
      <c r="AM136" s="486"/>
      <c r="AN136" s="486"/>
      <c r="AO136" s="469" t="s">
        <v>107</v>
      </c>
      <c r="BE136" s="81"/>
      <c r="BF136" s="81"/>
      <c r="BG136" s="81"/>
      <c r="BH136" s="81"/>
      <c r="BJ136" s="749"/>
      <c r="BK136" s="135"/>
      <c r="BL136" s="135"/>
      <c r="BM136" s="77"/>
      <c r="BN136" s="77"/>
      <c r="BO136" s="77"/>
      <c r="BP136" s="77"/>
      <c r="BQ136" s="77"/>
      <c r="BR136" s="77"/>
      <c r="BS136" s="124"/>
      <c r="BT136" s="124"/>
      <c r="BU136" s="124"/>
      <c r="BV136" s="124"/>
      <c r="BW136" s="124"/>
      <c r="BX136" s="124"/>
      <c r="BY136" s="124"/>
      <c r="BZ136" s="124"/>
      <c r="CA136" s="124"/>
      <c r="CB136" s="124"/>
      <c r="CC136" s="124"/>
      <c r="CD136" s="124"/>
      <c r="CE136" s="124"/>
      <c r="CF136" s="124"/>
    </row>
    <row r="137" spans="2:145" ht="16.5" customHeight="1" thickBot="1" x14ac:dyDescent="0.55000000000000004">
      <c r="AK137" s="488" t="s">
        <v>87</v>
      </c>
      <c r="AL137" s="485" t="s">
        <v>88</v>
      </c>
      <c r="AM137" s="485" t="s">
        <v>89</v>
      </c>
      <c r="AN137" s="623" t="s">
        <v>108</v>
      </c>
      <c r="AO137" s="490" t="s">
        <v>91</v>
      </c>
      <c r="BE137" s="81"/>
      <c r="BF137" s="81"/>
      <c r="BG137" s="81"/>
      <c r="BH137" s="81"/>
      <c r="BJ137" s="749"/>
      <c r="BK137" s="135"/>
      <c r="BL137" s="135"/>
      <c r="BM137" s="77"/>
      <c r="BN137" s="77"/>
      <c r="BO137" s="77"/>
      <c r="BP137" s="77"/>
      <c r="BQ137" s="77"/>
      <c r="BR137" s="77"/>
      <c r="BS137" s="124"/>
      <c r="BT137" s="124"/>
      <c r="BU137" s="124"/>
      <c r="BV137" s="124"/>
      <c r="BW137" s="124"/>
      <c r="BX137" s="124"/>
      <c r="BY137" s="124"/>
      <c r="BZ137" s="124"/>
      <c r="CA137" s="124"/>
      <c r="CB137" s="124"/>
      <c r="CC137" s="124"/>
      <c r="CD137" s="124"/>
      <c r="CE137" s="124"/>
      <c r="CF137" s="124"/>
    </row>
    <row r="138" spans="2:145" ht="71.25" customHeight="1" thickBot="1" x14ac:dyDescent="0.55000000000000004">
      <c r="B138" s="302" t="s">
        <v>30</v>
      </c>
      <c r="C138" s="303"/>
      <c r="D138" s="17"/>
      <c r="E138" s="17"/>
      <c r="F138" s="17"/>
      <c r="G138" s="17"/>
      <c r="T138" s="110"/>
      <c r="AK138" s="437">
        <v>3.3679226</v>
      </c>
      <c r="AL138" s="485">
        <f>+$B$136-AK138</f>
        <v>-3.3679226</v>
      </c>
      <c r="AM138" s="491">
        <f>COS(AL138*3.14159265358979/180)</f>
        <v>0.99827287452202351</v>
      </c>
      <c r="AN138" s="625">
        <f>+AM138*273.3307633</f>
        <v>272.85868677478982</v>
      </c>
      <c r="AO138" s="471">
        <f>+((AO142*AQ142)+(AN138*9.4))/(AQ142+9.4)</f>
        <v>215.61664572851495</v>
      </c>
      <c r="BE138" s="81"/>
      <c r="BF138" s="81"/>
      <c r="BG138" s="81"/>
      <c r="BH138" s="81"/>
      <c r="BJ138" s="749"/>
      <c r="BK138" s="135"/>
      <c r="BL138" s="135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7"/>
      <c r="CC138" s="77"/>
      <c r="CD138" s="77"/>
      <c r="CE138" s="77"/>
      <c r="CF138" s="77"/>
      <c r="CG138" s="77"/>
      <c r="CH138" s="77"/>
      <c r="CI138" s="77"/>
      <c r="CJ138" s="77"/>
      <c r="CK138" s="77"/>
      <c r="CL138" s="77"/>
      <c r="CM138" s="77"/>
      <c r="CN138" s="77"/>
      <c r="CO138" s="77"/>
      <c r="CP138" s="77"/>
      <c r="CQ138" s="77"/>
      <c r="CR138" s="77"/>
      <c r="CS138" s="77"/>
      <c r="CT138" s="77"/>
      <c r="CU138" s="77"/>
      <c r="CV138" s="77"/>
      <c r="CW138" s="77"/>
      <c r="CX138" s="77"/>
    </row>
    <row r="139" spans="2:145" ht="48" customHeight="1" thickBot="1" x14ac:dyDescent="0.55000000000000004">
      <c r="B139" s="11">
        <v>1</v>
      </c>
      <c r="C139" s="137"/>
      <c r="D139" s="304" t="s">
        <v>120</v>
      </c>
      <c r="E139" s="234"/>
      <c r="F139" s="234"/>
      <c r="G139" s="234"/>
      <c r="H139" s="244" t="s">
        <v>62</v>
      </c>
      <c r="I139" s="244" t="s">
        <v>63</v>
      </c>
      <c r="J139" s="244" t="s">
        <v>64</v>
      </c>
      <c r="K139"/>
      <c r="L139"/>
      <c r="M139"/>
      <c r="N139"/>
      <c r="O139"/>
      <c r="P139" s="244" t="s">
        <v>65</v>
      </c>
      <c r="Q139" s="244" t="s">
        <v>66</v>
      </c>
      <c r="R139" s="234"/>
      <c r="S139" s="244" t="s">
        <v>67</v>
      </c>
      <c r="T139" s="305"/>
      <c r="W139" s="1016" t="s">
        <v>68</v>
      </c>
      <c r="X139" s="1016"/>
      <c r="Y139" s="1016"/>
      <c r="Z139" s="1016"/>
      <c r="AA139" s="1016"/>
      <c r="AY139" s="306"/>
      <c r="AZ139" s="1014" t="s">
        <v>50</v>
      </c>
      <c r="BA139" s="1015"/>
      <c r="BE139" s="81"/>
      <c r="BF139" s="81"/>
      <c r="BG139" s="81"/>
      <c r="BH139" s="81"/>
      <c r="BJ139" s="749"/>
      <c r="BK139" s="135"/>
      <c r="BL139" s="135"/>
    </row>
    <row r="140" spans="2:145" ht="35" hidden="1" thickBot="1" x14ac:dyDescent="0.55000000000000004">
      <c r="C140" s="307"/>
      <c r="D140" s="308" t="s">
        <v>13</v>
      </c>
      <c r="H140" s="257" t="s">
        <v>4</v>
      </c>
      <c r="I140" s="257" t="s">
        <v>1</v>
      </c>
      <c r="J140" s="278" t="s">
        <v>60</v>
      </c>
      <c r="K140" s="226" t="s">
        <v>2</v>
      </c>
      <c r="L140" s="226" t="s">
        <v>3</v>
      </c>
      <c r="M140" s="226" t="s">
        <v>8</v>
      </c>
      <c r="N140" s="226" t="s">
        <v>5</v>
      </c>
      <c r="O140" s="226" t="s">
        <v>6</v>
      </c>
      <c r="P140" s="226" t="s">
        <v>7</v>
      </c>
      <c r="Q140" s="226" t="s">
        <v>9</v>
      </c>
      <c r="R140" s="257" t="s">
        <v>10</v>
      </c>
      <c r="S140" s="226" t="s">
        <v>11</v>
      </c>
      <c r="T140" s="309" t="s">
        <v>12</v>
      </c>
      <c r="W140" s="660" t="s">
        <v>133</v>
      </c>
      <c r="X140" s="226" t="s">
        <v>69</v>
      </c>
      <c r="Y140" s="660" t="s">
        <v>134</v>
      </c>
      <c r="Z140" s="310" t="s">
        <v>70</v>
      </c>
      <c r="AA140" s="310" t="s">
        <v>71</v>
      </c>
      <c r="AC140" s="226" t="s">
        <v>72</v>
      </c>
      <c r="AD140" s="226"/>
      <c r="AE140" s="226"/>
      <c r="AF140" s="311"/>
      <c r="AG140" s="311"/>
      <c r="AH140" s="311"/>
      <c r="AI140" s="311"/>
      <c r="AJ140" s="311"/>
      <c r="AK140" s="311"/>
      <c r="AL140" s="311"/>
      <c r="AM140" s="311"/>
      <c r="AN140" s="311"/>
      <c r="AO140" s="311"/>
      <c r="AP140" s="311"/>
      <c r="AQ140" s="311"/>
      <c r="AR140" s="311"/>
      <c r="AS140" s="311"/>
      <c r="AT140" s="311" t="s">
        <v>82</v>
      </c>
      <c r="AU140" s="311"/>
      <c r="AV140" s="311"/>
      <c r="AW140" s="311"/>
      <c r="AX140" s="306"/>
      <c r="AY140" s="306"/>
      <c r="AZ140" s="311"/>
      <c r="BA140" s="311"/>
      <c r="BB140" s="151"/>
      <c r="BE140" s="81"/>
      <c r="BF140" s="81"/>
      <c r="BG140" s="81"/>
      <c r="BH140" s="81"/>
      <c r="BJ140" s="749"/>
      <c r="BK140" s="135"/>
      <c r="BL140" s="135"/>
    </row>
    <row r="141" spans="2:145" ht="52.5" customHeight="1" thickBot="1" x14ac:dyDescent="0.55000000000000004">
      <c r="B141" s="312"/>
      <c r="C141" s="313"/>
      <c r="D141" s="250" t="s">
        <v>22</v>
      </c>
      <c r="E141" s="679"/>
      <c r="F141" s="234"/>
      <c r="G141" s="160"/>
      <c r="H141" s="257"/>
      <c r="I141" s="257"/>
      <c r="J141" s="278"/>
      <c r="K141" s="226"/>
      <c r="L141" s="226"/>
      <c r="M141" s="226"/>
      <c r="N141" s="226"/>
      <c r="O141" s="226"/>
      <c r="P141" s="226"/>
      <c r="Q141" s="226"/>
      <c r="R141" s="257"/>
      <c r="S141" s="226"/>
      <c r="T141" s="309"/>
      <c r="V141" s="311"/>
      <c r="W141" s="311"/>
      <c r="X141" s="311"/>
      <c r="Y141" s="311"/>
      <c r="Z141" s="311"/>
      <c r="AA141" s="311"/>
      <c r="AB141" s="311"/>
      <c r="AC141" s="314">
        <f>SUM(AC142:AC153)</f>
        <v>236.60761114734083</v>
      </c>
      <c r="AD141" s="315"/>
      <c r="AE141" s="315"/>
      <c r="AF141" s="311" t="s">
        <v>38</v>
      </c>
      <c r="AG141" s="316" t="s">
        <v>31</v>
      </c>
      <c r="AH141" s="316"/>
      <c r="AI141" s="266" t="s">
        <v>124</v>
      </c>
      <c r="AJ141" s="317" t="s">
        <v>32</v>
      </c>
      <c r="AK141" s="268" t="s">
        <v>33</v>
      </c>
      <c r="AL141" s="269" t="s">
        <v>125</v>
      </c>
      <c r="AM141" s="318" t="s">
        <v>34</v>
      </c>
      <c r="AN141" s="268" t="s">
        <v>35</v>
      </c>
      <c r="AO141" s="319" t="s">
        <v>47</v>
      </c>
      <c r="AP141" s="268" t="s">
        <v>135</v>
      </c>
      <c r="AQ141" s="319" t="s">
        <v>83</v>
      </c>
      <c r="AR141" s="311" t="s">
        <v>46</v>
      </c>
      <c r="AS141" s="311" t="s">
        <v>39</v>
      </c>
      <c r="AT141" s="319" t="s">
        <v>49</v>
      </c>
      <c r="AU141" s="311" t="s">
        <v>48</v>
      </c>
      <c r="AV141" s="320" t="s">
        <v>41</v>
      </c>
      <c r="AW141" s="320" t="s">
        <v>42</v>
      </c>
      <c r="AX141" s="321" t="s">
        <v>23</v>
      </c>
      <c r="AY141" s="321" t="s">
        <v>24</v>
      </c>
      <c r="AZ141" s="322" t="s">
        <v>23</v>
      </c>
      <c r="BA141" s="322" t="s">
        <v>24</v>
      </c>
      <c r="BC141" s="196"/>
      <c r="BE141" s="81"/>
      <c r="BF141" s="81"/>
      <c r="BG141" s="81"/>
      <c r="BH141" s="81"/>
      <c r="BJ141" s="749"/>
      <c r="BK141" s="135"/>
      <c r="BL141" s="135"/>
    </row>
    <row r="142" spans="2:145" ht="27.75" customHeight="1" thickBot="1" x14ac:dyDescent="0.55000000000000004">
      <c r="B142" s="175">
        <v>1</v>
      </c>
      <c r="C142" s="176">
        <f>+(B136*-1)+D142</f>
        <v>0</v>
      </c>
      <c r="D142" s="10">
        <v>0</v>
      </c>
      <c r="E142" s="323" t="s">
        <v>123</v>
      </c>
      <c r="F142" s="200"/>
      <c r="G142" s="200"/>
      <c r="H142" s="915">
        <v>316.69135080000001</v>
      </c>
      <c r="I142" s="915">
        <v>41.658166299999998</v>
      </c>
      <c r="J142" s="877">
        <f>+I142-C142</f>
        <v>41.658166299999998</v>
      </c>
      <c r="K142" s="916"/>
      <c r="L142" s="916"/>
      <c r="M142" s="916"/>
      <c r="N142" s="916"/>
      <c r="O142" s="916"/>
      <c r="P142" s="877">
        <f>COS(J142*3.14159265358979/180)</f>
        <v>0.74712369172584558</v>
      </c>
      <c r="Q142" s="877">
        <f>+P142*H142</f>
        <v>236.60761114734083</v>
      </c>
      <c r="R142" s="917">
        <v>236.60761120000001</v>
      </c>
      <c r="S142" s="877">
        <f>+Q142</f>
        <v>236.60761114734083</v>
      </c>
      <c r="T142" s="200">
        <f t="shared" ref="T142:T153" si="5">+S142</f>
        <v>236.60761114734083</v>
      </c>
      <c r="U142" s="200"/>
      <c r="V142" s="200">
        <f t="shared" ref="V142:V153" si="6">IF(B142&lt;($B$139+1),T142,0)</f>
        <v>236.60761114734083</v>
      </c>
      <c r="W142" s="662">
        <v>41.658166299999998</v>
      </c>
      <c r="X142" s="200">
        <f>+W142+AH154</f>
        <v>41.658166299999998</v>
      </c>
      <c r="Y142" s="662">
        <v>316.69135080000001</v>
      </c>
      <c r="Z142" s="324">
        <f>+COS(X142*3.14159265358979/180)*Y142</f>
        <v>236.60761114734083</v>
      </c>
      <c r="AA142" s="325">
        <f>+AC141-Z142</f>
        <v>0</v>
      </c>
      <c r="AB142" s="200"/>
      <c r="AC142" s="326">
        <f>IF(AD142=1,AF142)</f>
        <v>236.60761114734083</v>
      </c>
      <c r="AD142" s="326">
        <f t="shared" ref="AD142:AD153" si="7">MAX(AE$142:AE$153)</f>
        <v>1</v>
      </c>
      <c r="AE142" s="326">
        <f>IF(V142=0,0,1)</f>
        <v>1</v>
      </c>
      <c r="AF142" s="327">
        <f>SUM(V142:V153)/($B$139)</f>
        <v>236.60761114734083</v>
      </c>
      <c r="AG142" s="328">
        <f>+D142+C142</f>
        <v>0</v>
      </c>
      <c r="AH142" s="329">
        <f t="shared" ref="AH142:AH153" si="8">IF(B142&lt;($B$139+1),AG142)</f>
        <v>0</v>
      </c>
      <c r="AI142" s="281">
        <f>48.3418337+AG142</f>
        <v>48.341833700000002</v>
      </c>
      <c r="AJ142" s="330">
        <f>SIN(AI142*3.14159265358979/180)</f>
        <v>0.74712369172584447</v>
      </c>
      <c r="AK142" s="283">
        <f t="shared" ref="AK142:AK153" si="9">+AJ142*316.6913508</f>
        <v>236.60761114734046</v>
      </c>
      <c r="AL142" s="281">
        <f>55.9091199-AG142</f>
        <v>55.9091199</v>
      </c>
      <c r="AM142" s="331">
        <f>SIN(AL142*3.14159265358979/180)</f>
        <v>0.82814956232072179</v>
      </c>
      <c r="AN142" s="283">
        <f>+AM142*375.5484699</f>
        <v>311.01030097790175</v>
      </c>
      <c r="AO142" s="332">
        <f t="shared" ref="AO142:AO153" si="10">+((AF142*AP142)+($AP$163*($AF$163+$AA$142)))/AQ142</f>
        <v>204.63551948698466</v>
      </c>
      <c r="AP142" s="283">
        <f>33*B139</f>
        <v>33</v>
      </c>
      <c r="AQ142" s="332">
        <f>+AP142+$AP$163+1</f>
        <v>49</v>
      </c>
      <c r="AR142" s="333">
        <f>+AN142+AK142</f>
        <v>547.61791212524224</v>
      </c>
      <c r="AS142" s="334">
        <f>+V142-AN142</f>
        <v>-74.402689830560917</v>
      </c>
      <c r="AT142" s="335">
        <f>+AO142-AS142</f>
        <v>279.03820931754558</v>
      </c>
      <c r="AU142" s="334">
        <f>+AF142-AS142</f>
        <v>311.01030097790175</v>
      </c>
      <c r="AV142" s="336">
        <f>+((AR142-AT142)/AR142)*AQ142</f>
        <v>24.032094542896001</v>
      </c>
      <c r="AW142" s="336">
        <f>+(AT142/AR142)*AQ142</f>
        <v>24.967905457103999</v>
      </c>
      <c r="AX142" s="337">
        <f t="shared" ref="AX142:AX153" si="11">2*$C$18/AV142</f>
        <v>249.66612832228674</v>
      </c>
      <c r="AY142" s="337">
        <f t="shared" ref="AY142:AY153" si="12">2*$D$18/AW142</f>
        <v>240.30850366316363</v>
      </c>
      <c r="AZ142" s="338">
        <f>ABS(AX142)</f>
        <v>249.66612832228674</v>
      </c>
      <c r="BA142" s="338">
        <f>ABS(AY142)</f>
        <v>240.30850366316363</v>
      </c>
      <c r="BB142" s="51"/>
      <c r="BC142" s="196"/>
      <c r="BE142" s="81"/>
      <c r="BF142" s="81"/>
      <c r="BG142" s="81"/>
      <c r="BH142" s="81"/>
      <c r="BJ142" s="749"/>
      <c r="BK142" s="135"/>
      <c r="BL142" s="135"/>
    </row>
    <row r="143" spans="2:145" ht="25" customHeight="1" thickBot="1" x14ac:dyDescent="0.55000000000000004">
      <c r="B143" s="197">
        <v>2</v>
      </c>
      <c r="C143" s="198"/>
      <c r="D143" s="10">
        <v>0</v>
      </c>
      <c r="E143" s="177" t="s">
        <v>123</v>
      </c>
      <c r="F143" s="178"/>
      <c r="G143" s="178"/>
      <c r="H143" s="659">
        <v>375.54846989999999</v>
      </c>
      <c r="I143" s="659">
        <v>68.183381800000006</v>
      </c>
      <c r="J143" s="178">
        <f>+I143+D143</f>
        <v>68.183381800000006</v>
      </c>
      <c r="K143" s="178">
        <f t="shared" ref="K143:K153" si="13">+J143/2</f>
        <v>34.091690900000003</v>
      </c>
      <c r="L143" s="178">
        <f t="shared" ref="L143:L153" si="14">SIN(K143*3.14159265358979/180)</f>
        <v>0.56051890240384605</v>
      </c>
      <c r="M143" s="178">
        <f t="shared" ref="M143:M153" si="15">+L143*H143</f>
        <v>210.50201614779181</v>
      </c>
      <c r="N143" s="178">
        <f t="shared" ref="N143:N153" si="16">+M143*2</f>
        <v>421.00403229558361</v>
      </c>
      <c r="O143" s="178">
        <f>+C142+(D143/2)</f>
        <v>0</v>
      </c>
      <c r="P143" s="178">
        <f t="shared" ref="P143:P153" si="17">SIN(O143*3.14159265358979/180)</f>
        <v>0</v>
      </c>
      <c r="Q143" s="178">
        <f t="shared" ref="Q143:Q153" si="18">+P143*N143</f>
        <v>0</v>
      </c>
      <c r="R143" s="178">
        <f t="shared" ref="R143:R153" si="19">+T142</f>
        <v>236.60761114734083</v>
      </c>
      <c r="S143" s="178">
        <f>+R143+Q143</f>
        <v>236.60761114734083</v>
      </c>
      <c r="T143" s="178">
        <f t="shared" si="5"/>
        <v>236.60761114734083</v>
      </c>
      <c r="U143" s="178"/>
      <c r="V143" s="178">
        <f t="shared" si="6"/>
        <v>0</v>
      </c>
      <c r="W143" s="178"/>
      <c r="X143" s="178"/>
      <c r="Y143" s="178"/>
      <c r="Z143" s="178"/>
      <c r="AA143" s="178"/>
      <c r="AB143" s="178"/>
      <c r="AC143" s="326" t="b">
        <f>IF(AD143=2,AF143)</f>
        <v>0</v>
      </c>
      <c r="AD143" s="326">
        <f t="shared" si="7"/>
        <v>1</v>
      </c>
      <c r="AE143" s="326">
        <f>IF(V143=0,0,2)</f>
        <v>0</v>
      </c>
      <c r="AF143" s="327" t="e">
        <f>SUM(V143:V153)/($B$139-B142)</f>
        <v>#DIV/0!</v>
      </c>
      <c r="AG143" s="339">
        <f>SUM(D143)+$C$142</f>
        <v>0</v>
      </c>
      <c r="AH143" s="329" t="b">
        <f t="shared" si="8"/>
        <v>0</v>
      </c>
      <c r="AI143" s="281">
        <f t="shared" ref="AI143:AI153" si="20">48.3418337+AG143</f>
        <v>48.341833700000002</v>
      </c>
      <c r="AJ143" s="330">
        <f>SIN(AI143*3.14159265358979/180)</f>
        <v>0.74712369172584447</v>
      </c>
      <c r="AK143" s="283">
        <f t="shared" si="9"/>
        <v>236.60761114734046</v>
      </c>
      <c r="AL143" s="281">
        <f t="shared" ref="AL143:AL153" si="21">55.9091199-AG143</f>
        <v>55.9091199</v>
      </c>
      <c r="AM143" s="331">
        <f t="shared" ref="AM143:AM153" si="22">SIN(AL143*3.14159265358979/180)</f>
        <v>0.82814956232072179</v>
      </c>
      <c r="AN143" s="283">
        <f t="shared" ref="AN143:AN153" si="23">+AM143*375.5484699</f>
        <v>311.01030097790175</v>
      </c>
      <c r="AO143" s="332" t="e">
        <f t="shared" si="10"/>
        <v>#DIV/0!</v>
      </c>
      <c r="AP143" s="283">
        <f>33*($B$139-B142)</f>
        <v>0</v>
      </c>
      <c r="AQ143" s="332">
        <f>+AP143+$AP$163+1</f>
        <v>16</v>
      </c>
      <c r="AR143" s="333">
        <f t="shared" ref="AR143:AR153" si="24">+AN143+AK143</f>
        <v>547.61791212524224</v>
      </c>
      <c r="AS143" s="334">
        <f>+V143-AN143</f>
        <v>-311.01030097790175</v>
      </c>
      <c r="AT143" s="335" t="e">
        <f t="shared" ref="AT143:AT153" si="25">+AO143-AS143</f>
        <v>#DIV/0!</v>
      </c>
      <c r="AU143" s="334" t="e">
        <f>+AF143-AS143</f>
        <v>#DIV/0!</v>
      </c>
      <c r="AV143" s="336" t="e">
        <f t="shared" ref="AV143:AV153" si="26">+((AR143-AT143)/AR143)*AQ143</f>
        <v>#DIV/0!</v>
      </c>
      <c r="AW143" s="336" t="e">
        <f t="shared" ref="AW143:AW153" si="27">+(AT143/AR143)*AQ143</f>
        <v>#DIV/0!</v>
      </c>
      <c r="AX143" s="337" t="e">
        <f t="shared" si="11"/>
        <v>#DIV/0!</v>
      </c>
      <c r="AY143" s="337" t="e">
        <f t="shared" si="12"/>
        <v>#DIV/0!</v>
      </c>
      <c r="AZ143" s="340" t="e">
        <f t="shared" ref="AZ143:BA153" si="28">ABS(AX143)</f>
        <v>#DIV/0!</v>
      </c>
      <c r="BA143" s="340" t="e">
        <f t="shared" si="28"/>
        <v>#DIV/0!</v>
      </c>
      <c r="BC143" s="196"/>
      <c r="BE143" s="81"/>
      <c r="BF143" s="81"/>
      <c r="BG143" s="81"/>
      <c r="BH143" s="81"/>
      <c r="BJ143" s="749"/>
      <c r="BK143" s="135"/>
      <c r="BL143" s="135"/>
    </row>
    <row r="144" spans="2:145" ht="25" customHeight="1" thickBot="1" x14ac:dyDescent="0.55000000000000004">
      <c r="B144" s="197">
        <v>3</v>
      </c>
      <c r="C144" s="198"/>
      <c r="D144" s="10">
        <v>0</v>
      </c>
      <c r="E144" s="177" t="s">
        <v>123</v>
      </c>
      <c r="F144" s="178"/>
      <c r="G144" s="178"/>
      <c r="H144" s="659">
        <v>375.54846989999999</v>
      </c>
      <c r="I144" s="659">
        <v>68.183381800000006</v>
      </c>
      <c r="J144" s="178">
        <f t="shared" ref="J144:J153" si="29">+I144+D144</f>
        <v>68.183381800000006</v>
      </c>
      <c r="K144" s="178">
        <f t="shared" si="13"/>
        <v>34.091690900000003</v>
      </c>
      <c r="L144" s="178">
        <f t="shared" si="14"/>
        <v>0.56051890240384605</v>
      </c>
      <c r="M144" s="178">
        <f t="shared" si="15"/>
        <v>210.50201614779181</v>
      </c>
      <c r="N144" s="178">
        <f t="shared" si="16"/>
        <v>421.00403229558361</v>
      </c>
      <c r="O144" s="178">
        <f>+C142+D143+(D144/2)</f>
        <v>0</v>
      </c>
      <c r="P144" s="178">
        <f t="shared" si="17"/>
        <v>0</v>
      </c>
      <c r="Q144" s="178">
        <f t="shared" si="18"/>
        <v>0</v>
      </c>
      <c r="R144" s="178">
        <f t="shared" si="19"/>
        <v>236.60761114734083</v>
      </c>
      <c r="S144" s="178">
        <f t="shared" ref="S144:S153" si="30">+S143+Q144</f>
        <v>236.60761114734083</v>
      </c>
      <c r="T144" s="178">
        <f t="shared" si="5"/>
        <v>236.60761114734083</v>
      </c>
      <c r="U144" s="178"/>
      <c r="V144" s="178">
        <f t="shared" si="6"/>
        <v>0</v>
      </c>
      <c r="W144" s="178"/>
      <c r="X144" s="178"/>
      <c r="Y144" s="178"/>
      <c r="Z144" s="178"/>
      <c r="AA144" s="178"/>
      <c r="AB144" s="178"/>
      <c r="AC144" s="326" t="b">
        <f>IF(AD144=3,AF144)</f>
        <v>0</v>
      </c>
      <c r="AD144" s="326">
        <f t="shared" si="7"/>
        <v>1</v>
      </c>
      <c r="AE144" s="326">
        <f>IF(V144=0,0,3)</f>
        <v>0</v>
      </c>
      <c r="AF144" s="327">
        <f>SUM(V144:V153)/($B$139-B143)</f>
        <v>0</v>
      </c>
      <c r="AG144" s="339">
        <f>SUM(D143:D144)+$C$142</f>
        <v>0</v>
      </c>
      <c r="AH144" s="329" t="b">
        <f t="shared" si="8"/>
        <v>0</v>
      </c>
      <c r="AI144" s="281">
        <f t="shared" si="20"/>
        <v>48.341833700000002</v>
      </c>
      <c r="AJ144" s="330">
        <f t="shared" ref="AJ144:AJ153" si="31">SIN(AI144*3.14159265358979/180)</f>
        <v>0.74712369172584447</v>
      </c>
      <c r="AK144" s="283">
        <f t="shared" si="9"/>
        <v>236.60761114734046</v>
      </c>
      <c r="AL144" s="281">
        <f t="shared" si="21"/>
        <v>55.9091199</v>
      </c>
      <c r="AM144" s="331">
        <f t="shared" si="22"/>
        <v>0.82814956232072179</v>
      </c>
      <c r="AN144" s="283">
        <f t="shared" si="23"/>
        <v>311.01030097790175</v>
      </c>
      <c r="AO144" s="332">
        <f t="shared" si="10"/>
        <v>-130.53466394117646</v>
      </c>
      <c r="AP144" s="283">
        <f t="shared" ref="AP144:AP153" si="32">33*($B$139-B143)</f>
        <v>-33</v>
      </c>
      <c r="AQ144" s="332">
        <f t="shared" ref="AQ144:AQ153" si="33">+AP144+$AP$163+1</f>
        <v>-17</v>
      </c>
      <c r="AR144" s="333">
        <f t="shared" si="24"/>
        <v>547.61791212524224</v>
      </c>
      <c r="AS144" s="334">
        <f>+V144-AN144</f>
        <v>-311.01030097790175</v>
      </c>
      <c r="AT144" s="335">
        <f t="shared" si="25"/>
        <v>180.47563703672529</v>
      </c>
      <c r="AU144" s="334">
        <f>+AF144-AS144</f>
        <v>311.01030097790175</v>
      </c>
      <c r="AV144" s="336">
        <f t="shared" si="26"/>
        <v>-11.397396867977818</v>
      </c>
      <c r="AW144" s="336">
        <f t="shared" si="27"/>
        <v>-5.6026031320221819</v>
      </c>
      <c r="AX144" s="337">
        <f t="shared" si="11"/>
        <v>-526.43599845659753</v>
      </c>
      <c r="AY144" s="337">
        <f t="shared" si="12"/>
        <v>-1070.9307546176992</v>
      </c>
      <c r="AZ144" s="340">
        <f t="shared" si="28"/>
        <v>526.43599845659753</v>
      </c>
      <c r="BA144" s="340">
        <f t="shared" si="28"/>
        <v>1070.9307546176992</v>
      </c>
      <c r="BC144" s="196"/>
      <c r="BE144" s="81"/>
      <c r="BF144" s="81"/>
      <c r="BG144" s="81"/>
      <c r="BH144" s="81"/>
      <c r="BJ144" s="749"/>
      <c r="BK144" s="135"/>
      <c r="BL144" s="135"/>
    </row>
    <row r="145" spans="2:112" ht="25" customHeight="1" thickBot="1" x14ac:dyDescent="0.55000000000000004">
      <c r="B145" s="197">
        <v>4</v>
      </c>
      <c r="C145" s="198"/>
      <c r="D145" s="10">
        <v>0</v>
      </c>
      <c r="E145" s="177" t="s">
        <v>123</v>
      </c>
      <c r="F145" s="178"/>
      <c r="G145" s="178"/>
      <c r="H145" s="659">
        <v>375.54846989999999</v>
      </c>
      <c r="I145" s="659">
        <v>68.183381800000006</v>
      </c>
      <c r="J145" s="178">
        <f t="shared" si="29"/>
        <v>68.183381800000006</v>
      </c>
      <c r="K145" s="178">
        <f t="shared" si="13"/>
        <v>34.091690900000003</v>
      </c>
      <c r="L145" s="178">
        <f t="shared" si="14"/>
        <v>0.56051890240384605</v>
      </c>
      <c r="M145" s="178">
        <f t="shared" si="15"/>
        <v>210.50201614779181</v>
      </c>
      <c r="N145" s="178">
        <f t="shared" si="16"/>
        <v>421.00403229558361</v>
      </c>
      <c r="O145" s="178">
        <f>+C142+D143+D144+(D145/2)</f>
        <v>0</v>
      </c>
      <c r="P145" s="178">
        <f t="shared" si="17"/>
        <v>0</v>
      </c>
      <c r="Q145" s="178">
        <f t="shared" si="18"/>
        <v>0</v>
      </c>
      <c r="R145" s="178">
        <f t="shared" si="19"/>
        <v>236.60761114734083</v>
      </c>
      <c r="S145" s="178">
        <f t="shared" si="30"/>
        <v>236.60761114734083</v>
      </c>
      <c r="T145" s="178">
        <f t="shared" si="5"/>
        <v>236.60761114734083</v>
      </c>
      <c r="U145" s="178"/>
      <c r="V145" s="178">
        <f t="shared" si="6"/>
        <v>0</v>
      </c>
      <c r="W145" s="178"/>
      <c r="X145" s="178"/>
      <c r="Y145" s="178"/>
      <c r="Z145" s="178"/>
      <c r="AA145" s="178"/>
      <c r="AB145" s="178"/>
      <c r="AC145" s="326" t="b">
        <f>IF(AD145=4,AF145)</f>
        <v>0</v>
      </c>
      <c r="AD145" s="326">
        <f t="shared" si="7"/>
        <v>1</v>
      </c>
      <c r="AE145" s="326">
        <f>IF(V145=0,0,4)</f>
        <v>0</v>
      </c>
      <c r="AF145" s="327">
        <f>SUM(V145:V153)/($B$139-B144)</f>
        <v>0</v>
      </c>
      <c r="AG145" s="339">
        <f>SUM(D143:D145)+$C$142</f>
        <v>0</v>
      </c>
      <c r="AH145" s="329" t="b">
        <f t="shared" si="8"/>
        <v>0</v>
      </c>
      <c r="AI145" s="281">
        <f t="shared" si="20"/>
        <v>48.341833700000002</v>
      </c>
      <c r="AJ145" s="330">
        <f t="shared" si="31"/>
        <v>0.74712369172584447</v>
      </c>
      <c r="AK145" s="283">
        <f t="shared" si="9"/>
        <v>236.60761114734046</v>
      </c>
      <c r="AL145" s="281">
        <f t="shared" si="21"/>
        <v>55.9091199</v>
      </c>
      <c r="AM145" s="331">
        <f t="shared" si="22"/>
        <v>0.82814956232072179</v>
      </c>
      <c r="AN145" s="283">
        <f t="shared" si="23"/>
        <v>311.01030097790175</v>
      </c>
      <c r="AO145" s="332">
        <f t="shared" si="10"/>
        <v>-44.381785739999998</v>
      </c>
      <c r="AP145" s="283">
        <f t="shared" si="32"/>
        <v>-66</v>
      </c>
      <c r="AQ145" s="332">
        <f t="shared" si="33"/>
        <v>-50</v>
      </c>
      <c r="AR145" s="333">
        <f t="shared" si="24"/>
        <v>547.61791212524224</v>
      </c>
      <c r="AS145" s="334">
        <f>+V145-AN145</f>
        <v>-311.01030097790175</v>
      </c>
      <c r="AT145" s="335">
        <f t="shared" si="25"/>
        <v>266.62851523790175</v>
      </c>
      <c r="AU145" s="334">
        <f t="shared" ref="AU145:AU153" si="34">+AF145-AS145</f>
        <v>311.01030097790175</v>
      </c>
      <c r="AV145" s="336">
        <f t="shared" si="26"/>
        <v>-25.655606826012402</v>
      </c>
      <c r="AW145" s="336">
        <f t="shared" si="27"/>
        <v>-24.344393173987598</v>
      </c>
      <c r="AX145" s="337">
        <f t="shared" si="11"/>
        <v>-233.86700773401927</v>
      </c>
      <c r="AY145" s="337">
        <f t="shared" si="12"/>
        <v>-246.46332143579997</v>
      </c>
      <c r="AZ145" s="340">
        <f t="shared" si="28"/>
        <v>233.86700773401927</v>
      </c>
      <c r="BA145" s="340">
        <f t="shared" si="28"/>
        <v>246.46332143579997</v>
      </c>
      <c r="BC145" s="196"/>
      <c r="BE145" s="81"/>
      <c r="BF145" s="81"/>
      <c r="BG145" s="81"/>
      <c r="BH145" s="81"/>
      <c r="BJ145" s="749"/>
      <c r="BK145" s="135"/>
      <c r="BL145" s="135"/>
    </row>
    <row r="146" spans="2:112" ht="25" customHeight="1" thickBot="1" x14ac:dyDescent="0.55000000000000004">
      <c r="B146" s="197">
        <v>5</v>
      </c>
      <c r="C146" s="198"/>
      <c r="D146" s="10">
        <v>0</v>
      </c>
      <c r="E146" s="177" t="s">
        <v>123</v>
      </c>
      <c r="F146" s="178"/>
      <c r="G146" s="178"/>
      <c r="H146" s="659">
        <v>375.54846989999999</v>
      </c>
      <c r="I146" s="659">
        <v>68.183381800000006</v>
      </c>
      <c r="J146" s="178">
        <f t="shared" si="29"/>
        <v>68.183381800000006</v>
      </c>
      <c r="K146" s="178">
        <f t="shared" si="13"/>
        <v>34.091690900000003</v>
      </c>
      <c r="L146" s="178">
        <f t="shared" si="14"/>
        <v>0.56051890240384605</v>
      </c>
      <c r="M146" s="178">
        <f t="shared" si="15"/>
        <v>210.50201614779181</v>
      </c>
      <c r="N146" s="178">
        <f t="shared" si="16"/>
        <v>421.00403229558361</v>
      </c>
      <c r="O146" s="178">
        <f>+C142+D143+D144+D145+(D146/2)</f>
        <v>0</v>
      </c>
      <c r="P146" s="178">
        <f t="shared" si="17"/>
        <v>0</v>
      </c>
      <c r="Q146" s="178">
        <f t="shared" si="18"/>
        <v>0</v>
      </c>
      <c r="R146" s="178">
        <f t="shared" si="19"/>
        <v>236.60761114734083</v>
      </c>
      <c r="S146" s="178">
        <f t="shared" si="30"/>
        <v>236.60761114734083</v>
      </c>
      <c r="T146" s="178">
        <f t="shared" si="5"/>
        <v>236.60761114734083</v>
      </c>
      <c r="U146" s="178"/>
      <c r="V146" s="178">
        <f t="shared" si="6"/>
        <v>0</v>
      </c>
      <c r="W146" s="178"/>
      <c r="X146" s="178"/>
      <c r="Y146" s="178"/>
      <c r="Z146" s="178"/>
      <c r="AA146" s="178"/>
      <c r="AB146" s="178"/>
      <c r="AC146" s="326" t="b">
        <f>IF(AD146=5,AF146)</f>
        <v>0</v>
      </c>
      <c r="AD146" s="326">
        <f t="shared" si="7"/>
        <v>1</v>
      </c>
      <c r="AE146" s="326">
        <f>IF(V146=0,0,5)</f>
        <v>0</v>
      </c>
      <c r="AF146" s="327">
        <f>SUM(V146:V153)/($B$139-B145)</f>
        <v>0</v>
      </c>
      <c r="AG146" s="339">
        <f>SUM(D143:D146)+$C$142</f>
        <v>0</v>
      </c>
      <c r="AH146" s="329" t="b">
        <f t="shared" si="8"/>
        <v>0</v>
      </c>
      <c r="AI146" s="281">
        <f t="shared" si="20"/>
        <v>48.341833700000002</v>
      </c>
      <c r="AJ146" s="330">
        <f t="shared" si="31"/>
        <v>0.74712369172584447</v>
      </c>
      <c r="AK146" s="283">
        <f t="shared" si="9"/>
        <v>236.60761114734046</v>
      </c>
      <c r="AL146" s="281">
        <f t="shared" si="21"/>
        <v>55.9091199</v>
      </c>
      <c r="AM146" s="331">
        <f t="shared" si="22"/>
        <v>0.82814956232072179</v>
      </c>
      <c r="AN146" s="283">
        <f t="shared" si="23"/>
        <v>311.01030097790175</v>
      </c>
      <c r="AO146" s="332">
        <f t="shared" si="10"/>
        <v>-26.736015506024092</v>
      </c>
      <c r="AP146" s="283">
        <f t="shared" si="32"/>
        <v>-99</v>
      </c>
      <c r="AQ146" s="332">
        <f t="shared" si="33"/>
        <v>-83</v>
      </c>
      <c r="AR146" s="333">
        <f t="shared" si="24"/>
        <v>547.61791212524224</v>
      </c>
      <c r="AS146" s="334">
        <f t="shared" ref="AS146:AS153" si="35">+V146-AN146</f>
        <v>-311.01030097790175</v>
      </c>
      <c r="AT146" s="335">
        <f t="shared" si="25"/>
        <v>284.27428547187765</v>
      </c>
      <c r="AU146" s="334">
        <f t="shared" si="34"/>
        <v>311.01030097790175</v>
      </c>
      <c r="AV146" s="336">
        <f t="shared" si="26"/>
        <v>-39.913816784046986</v>
      </c>
      <c r="AW146" s="336">
        <f t="shared" si="27"/>
        <v>-43.086183215953014</v>
      </c>
      <c r="AX146" s="337">
        <f t="shared" si="11"/>
        <v>-150.32388489587191</v>
      </c>
      <c r="AY146" s="337">
        <f t="shared" si="12"/>
        <v>-139.25577881724391</v>
      </c>
      <c r="AZ146" s="340">
        <f t="shared" si="28"/>
        <v>150.32388489587191</v>
      </c>
      <c r="BA146" s="340">
        <f t="shared" si="28"/>
        <v>139.25577881724391</v>
      </c>
      <c r="BC146" s="196"/>
      <c r="BE146" s="81"/>
      <c r="BF146" s="81"/>
      <c r="BG146" s="81"/>
      <c r="BH146" s="81"/>
      <c r="BJ146" s="749"/>
      <c r="BK146" s="135"/>
      <c r="BL146" s="135"/>
    </row>
    <row r="147" spans="2:112" ht="25" customHeight="1" thickBot="1" x14ac:dyDescent="0.35">
      <c r="B147" s="197">
        <v>6</v>
      </c>
      <c r="C147" s="198"/>
      <c r="D147" s="10">
        <v>0</v>
      </c>
      <c r="E147" s="177" t="s">
        <v>123</v>
      </c>
      <c r="F147" s="178"/>
      <c r="G147" s="178"/>
      <c r="H147" s="659">
        <v>375.54846989999999</v>
      </c>
      <c r="I147" s="659">
        <v>68.183381800000006</v>
      </c>
      <c r="J147" s="178">
        <f t="shared" si="29"/>
        <v>68.183381800000006</v>
      </c>
      <c r="K147" s="178">
        <f t="shared" si="13"/>
        <v>34.091690900000003</v>
      </c>
      <c r="L147" s="178">
        <f t="shared" si="14"/>
        <v>0.56051890240384605</v>
      </c>
      <c r="M147" s="178">
        <f t="shared" si="15"/>
        <v>210.50201614779181</v>
      </c>
      <c r="N147" s="178">
        <f t="shared" si="16"/>
        <v>421.00403229558361</v>
      </c>
      <c r="O147" s="178">
        <f>+C142+D143+D144+D145+D146+(D147/2)</f>
        <v>0</v>
      </c>
      <c r="P147" s="178">
        <f t="shared" si="17"/>
        <v>0</v>
      </c>
      <c r="Q147" s="178">
        <f t="shared" si="18"/>
        <v>0</v>
      </c>
      <c r="R147" s="178">
        <f t="shared" si="19"/>
        <v>236.60761114734083</v>
      </c>
      <c r="S147" s="178">
        <f t="shared" si="30"/>
        <v>236.60761114734083</v>
      </c>
      <c r="T147" s="178">
        <f t="shared" si="5"/>
        <v>236.60761114734083</v>
      </c>
      <c r="U147" s="178"/>
      <c r="V147" s="178">
        <f t="shared" si="6"/>
        <v>0</v>
      </c>
      <c r="W147" s="178"/>
      <c r="X147" s="178"/>
      <c r="Y147" s="178"/>
      <c r="Z147" s="178"/>
      <c r="AA147" s="178"/>
      <c r="AB147" s="178"/>
      <c r="AC147" s="326" t="b">
        <f>IF(AD147=6,AF147)</f>
        <v>0</v>
      </c>
      <c r="AD147" s="326">
        <f t="shared" si="7"/>
        <v>1</v>
      </c>
      <c r="AE147" s="326">
        <f>IF(V147=0,0,6)</f>
        <v>0</v>
      </c>
      <c r="AF147" s="327">
        <f>SUM(V147:V153)/($B$139-B146)</f>
        <v>0</v>
      </c>
      <c r="AG147" s="339">
        <f>SUM(D143:D147)+$C$142</f>
        <v>0</v>
      </c>
      <c r="AH147" s="329" t="b">
        <f t="shared" si="8"/>
        <v>0</v>
      </c>
      <c r="AI147" s="281">
        <f t="shared" si="20"/>
        <v>48.341833700000002</v>
      </c>
      <c r="AJ147" s="330">
        <f t="shared" si="31"/>
        <v>0.74712369172584447</v>
      </c>
      <c r="AK147" s="283">
        <f t="shared" si="9"/>
        <v>236.60761114734046</v>
      </c>
      <c r="AL147" s="281">
        <f t="shared" si="21"/>
        <v>55.9091199</v>
      </c>
      <c r="AM147" s="331">
        <f t="shared" si="22"/>
        <v>0.82814956232072179</v>
      </c>
      <c r="AN147" s="283">
        <f t="shared" si="23"/>
        <v>311.01030097790175</v>
      </c>
      <c r="AO147" s="332">
        <f t="shared" si="10"/>
        <v>-19.130080060344827</v>
      </c>
      <c r="AP147" s="283">
        <f t="shared" si="32"/>
        <v>-132</v>
      </c>
      <c r="AQ147" s="332">
        <f t="shared" si="33"/>
        <v>-116</v>
      </c>
      <c r="AR147" s="333">
        <f t="shared" si="24"/>
        <v>547.61791212524224</v>
      </c>
      <c r="AS147" s="334">
        <f t="shared" si="35"/>
        <v>-311.01030097790175</v>
      </c>
      <c r="AT147" s="335">
        <f t="shared" si="25"/>
        <v>291.88022091755693</v>
      </c>
      <c r="AU147" s="334">
        <f t="shared" si="34"/>
        <v>311.01030097790175</v>
      </c>
      <c r="AV147" s="336">
        <f t="shared" si="26"/>
        <v>-54.172026742081563</v>
      </c>
      <c r="AW147" s="336">
        <f t="shared" si="27"/>
        <v>-61.827973257918437</v>
      </c>
      <c r="AX147" s="337">
        <f t="shared" si="11"/>
        <v>-110.75827065814983</v>
      </c>
      <c r="AY147" s="337">
        <f t="shared" si="12"/>
        <v>-97.043452726012944</v>
      </c>
      <c r="AZ147" s="340">
        <f t="shared" si="28"/>
        <v>110.75827065814983</v>
      </c>
      <c r="BA147" s="340">
        <f t="shared" si="28"/>
        <v>97.043452726012944</v>
      </c>
      <c r="BC147" s="196"/>
      <c r="BE147" s="81"/>
      <c r="BF147" s="81"/>
      <c r="BG147" s="81"/>
      <c r="BH147" s="81"/>
    </row>
    <row r="148" spans="2:112" ht="25" customHeight="1" thickBot="1" x14ac:dyDescent="0.35">
      <c r="B148" s="197">
        <v>7</v>
      </c>
      <c r="C148" s="198"/>
      <c r="D148" s="10">
        <v>0</v>
      </c>
      <c r="E148" s="177" t="s">
        <v>123</v>
      </c>
      <c r="F148" s="178"/>
      <c r="G148" s="178"/>
      <c r="H148" s="659">
        <v>375.54846989999999</v>
      </c>
      <c r="I148" s="659">
        <v>68.183381800000006</v>
      </c>
      <c r="J148" s="178">
        <f t="shared" si="29"/>
        <v>68.183381800000006</v>
      </c>
      <c r="K148" s="178">
        <f t="shared" si="13"/>
        <v>34.091690900000003</v>
      </c>
      <c r="L148" s="178">
        <f t="shared" si="14"/>
        <v>0.56051890240384605</v>
      </c>
      <c r="M148" s="178">
        <f t="shared" si="15"/>
        <v>210.50201614779181</v>
      </c>
      <c r="N148" s="178">
        <f t="shared" si="16"/>
        <v>421.00403229558361</v>
      </c>
      <c r="O148" s="178">
        <f>+C142+D143+D144+D145+D146+D147+(D148/2)</f>
        <v>0</v>
      </c>
      <c r="P148" s="178">
        <f t="shared" si="17"/>
        <v>0</v>
      </c>
      <c r="Q148" s="178">
        <f t="shared" si="18"/>
        <v>0</v>
      </c>
      <c r="R148" s="178">
        <f t="shared" si="19"/>
        <v>236.60761114734083</v>
      </c>
      <c r="S148" s="178">
        <f t="shared" si="30"/>
        <v>236.60761114734083</v>
      </c>
      <c r="T148" s="178">
        <f t="shared" si="5"/>
        <v>236.60761114734083</v>
      </c>
      <c r="U148" s="178"/>
      <c r="V148" s="178">
        <f t="shared" si="6"/>
        <v>0</v>
      </c>
      <c r="W148" s="178"/>
      <c r="X148" s="178"/>
      <c r="Y148" s="178"/>
      <c r="Z148" s="178"/>
      <c r="AA148" s="178"/>
      <c r="AB148" s="178"/>
      <c r="AC148" s="326" t="b">
        <f>IF(AD148=7,AF148)</f>
        <v>0</v>
      </c>
      <c r="AD148" s="326">
        <f t="shared" si="7"/>
        <v>1</v>
      </c>
      <c r="AE148" s="326">
        <f>IF(V148=0,0,7)</f>
        <v>0</v>
      </c>
      <c r="AF148" s="327">
        <f>SUM(V148:V153)/($B$139-B147)</f>
        <v>0</v>
      </c>
      <c r="AG148" s="339">
        <f>SUM(D143:D148)+$C$142</f>
        <v>0</v>
      </c>
      <c r="AH148" s="329" t="b">
        <f t="shared" si="8"/>
        <v>0</v>
      </c>
      <c r="AI148" s="281">
        <f t="shared" si="20"/>
        <v>48.341833700000002</v>
      </c>
      <c r="AJ148" s="330">
        <f t="shared" si="31"/>
        <v>0.74712369172584447</v>
      </c>
      <c r="AK148" s="283">
        <f t="shared" si="9"/>
        <v>236.60761114734046</v>
      </c>
      <c r="AL148" s="281">
        <f t="shared" si="21"/>
        <v>55.9091199</v>
      </c>
      <c r="AM148" s="331">
        <f t="shared" si="22"/>
        <v>0.82814956232072179</v>
      </c>
      <c r="AN148" s="283">
        <f t="shared" si="23"/>
        <v>311.01030097790175</v>
      </c>
      <c r="AO148" s="332">
        <f t="shared" si="10"/>
        <v>-14.893216691275166</v>
      </c>
      <c r="AP148" s="283">
        <f t="shared" si="32"/>
        <v>-165</v>
      </c>
      <c r="AQ148" s="332">
        <f t="shared" si="33"/>
        <v>-149</v>
      </c>
      <c r="AR148" s="333">
        <f t="shared" si="24"/>
        <v>547.61791212524224</v>
      </c>
      <c r="AS148" s="334">
        <f t="shared" si="35"/>
        <v>-311.01030097790175</v>
      </c>
      <c r="AT148" s="335">
        <f t="shared" si="25"/>
        <v>296.11708428662661</v>
      </c>
      <c r="AU148" s="334">
        <f t="shared" si="34"/>
        <v>311.01030097790175</v>
      </c>
      <c r="AV148" s="336">
        <f t="shared" si="26"/>
        <v>-68.43023670011614</v>
      </c>
      <c r="AW148" s="336">
        <f t="shared" si="27"/>
        <v>-80.56976329988386</v>
      </c>
      <c r="AX148" s="337">
        <f t="shared" si="11"/>
        <v>-87.68053844814213</v>
      </c>
      <c r="AY148" s="337">
        <f t="shared" si="12"/>
        <v>-74.469624264226297</v>
      </c>
      <c r="AZ148" s="340">
        <f t="shared" si="28"/>
        <v>87.68053844814213</v>
      </c>
      <c r="BA148" s="340">
        <f t="shared" si="28"/>
        <v>74.469624264226297</v>
      </c>
      <c r="BC148" s="196"/>
      <c r="BE148" s="81"/>
      <c r="BF148" s="81"/>
      <c r="BG148" s="81"/>
      <c r="BH148" s="81"/>
    </row>
    <row r="149" spans="2:112" ht="25" customHeight="1" thickBot="1" x14ac:dyDescent="0.35">
      <c r="B149" s="197">
        <v>8</v>
      </c>
      <c r="C149" s="198"/>
      <c r="D149" s="10">
        <v>0</v>
      </c>
      <c r="E149" s="177" t="s">
        <v>123</v>
      </c>
      <c r="F149" s="178"/>
      <c r="G149" s="178"/>
      <c r="H149" s="659">
        <v>375.54846989999999</v>
      </c>
      <c r="I149" s="659">
        <v>68.183381800000006</v>
      </c>
      <c r="J149" s="178">
        <f t="shared" si="29"/>
        <v>68.183381800000006</v>
      </c>
      <c r="K149" s="178">
        <f t="shared" si="13"/>
        <v>34.091690900000003</v>
      </c>
      <c r="L149" s="178">
        <f t="shared" si="14"/>
        <v>0.56051890240384605</v>
      </c>
      <c r="M149" s="178">
        <f t="shared" si="15"/>
        <v>210.50201614779181</v>
      </c>
      <c r="N149" s="178">
        <f t="shared" si="16"/>
        <v>421.00403229558361</v>
      </c>
      <c r="O149" s="178">
        <f>+C142+D143+D144+D145+D146+D147+D148+(D149/2)</f>
        <v>0</v>
      </c>
      <c r="P149" s="178">
        <f t="shared" si="17"/>
        <v>0</v>
      </c>
      <c r="Q149" s="178">
        <f t="shared" si="18"/>
        <v>0</v>
      </c>
      <c r="R149" s="178">
        <f t="shared" si="19"/>
        <v>236.60761114734083</v>
      </c>
      <c r="S149" s="178">
        <f t="shared" si="30"/>
        <v>236.60761114734083</v>
      </c>
      <c r="T149" s="178">
        <f t="shared" si="5"/>
        <v>236.60761114734083</v>
      </c>
      <c r="U149" s="178"/>
      <c r="V149" s="178">
        <f t="shared" si="6"/>
        <v>0</v>
      </c>
      <c r="W149" s="178"/>
      <c r="X149" s="178"/>
      <c r="Y149" s="178"/>
      <c r="Z149" s="178"/>
      <c r="AA149" s="178"/>
      <c r="AB149" s="178"/>
      <c r="AC149" s="326" t="b">
        <f>IF(AD149=8,AF149)</f>
        <v>0</v>
      </c>
      <c r="AD149" s="326">
        <f t="shared" si="7"/>
        <v>1</v>
      </c>
      <c r="AE149" s="326">
        <f>IF(V149=0,0,8)</f>
        <v>0</v>
      </c>
      <c r="AF149" s="327">
        <f>SUM(V149:V153)/($B$139-B148)</f>
        <v>0</v>
      </c>
      <c r="AG149" s="339">
        <f>SUM(D143:D149)+$C$142</f>
        <v>0</v>
      </c>
      <c r="AH149" s="329" t="b">
        <f t="shared" si="8"/>
        <v>0</v>
      </c>
      <c r="AI149" s="281">
        <f t="shared" si="20"/>
        <v>48.341833700000002</v>
      </c>
      <c r="AJ149" s="330">
        <f t="shared" si="31"/>
        <v>0.74712369172584447</v>
      </c>
      <c r="AK149" s="283">
        <f t="shared" si="9"/>
        <v>236.60761114734046</v>
      </c>
      <c r="AL149" s="281">
        <f t="shared" si="21"/>
        <v>55.9091199</v>
      </c>
      <c r="AM149" s="331">
        <f t="shared" si="22"/>
        <v>0.82814956232072179</v>
      </c>
      <c r="AN149" s="283">
        <f t="shared" si="23"/>
        <v>311.01030097790175</v>
      </c>
      <c r="AO149" s="332">
        <f t="shared" si="10"/>
        <v>-12.19279828021978</v>
      </c>
      <c r="AP149" s="283">
        <f t="shared" si="32"/>
        <v>-198</v>
      </c>
      <c r="AQ149" s="332">
        <f t="shared" si="33"/>
        <v>-182</v>
      </c>
      <c r="AR149" s="333">
        <f t="shared" si="24"/>
        <v>547.61791212524224</v>
      </c>
      <c r="AS149" s="334">
        <f t="shared" si="35"/>
        <v>-311.01030097790175</v>
      </c>
      <c r="AT149" s="335">
        <f t="shared" si="25"/>
        <v>298.81750269768196</v>
      </c>
      <c r="AU149" s="334">
        <f t="shared" si="34"/>
        <v>311.01030097790175</v>
      </c>
      <c r="AV149" s="336">
        <f t="shared" si="26"/>
        <v>-82.688446658150738</v>
      </c>
      <c r="AW149" s="336">
        <f t="shared" si="27"/>
        <v>-99.311553341849248</v>
      </c>
      <c r="AX149" s="337">
        <f t="shared" si="11"/>
        <v>-72.561527546951083</v>
      </c>
      <c r="AY149" s="337">
        <f t="shared" si="12"/>
        <v>-60.415931461134832</v>
      </c>
      <c r="AZ149" s="340">
        <f t="shared" si="28"/>
        <v>72.561527546951083</v>
      </c>
      <c r="BA149" s="340">
        <f t="shared" si="28"/>
        <v>60.415931461134832</v>
      </c>
      <c r="BC149" s="196"/>
      <c r="BE149" s="81"/>
      <c r="BF149" s="81"/>
      <c r="BG149" s="81"/>
      <c r="BH149" s="81"/>
    </row>
    <row r="150" spans="2:112" ht="25" customHeight="1" thickBot="1" x14ac:dyDescent="0.35">
      <c r="B150" s="197">
        <v>9</v>
      </c>
      <c r="C150" s="198"/>
      <c r="D150" s="10">
        <v>0</v>
      </c>
      <c r="E150" s="177" t="s">
        <v>123</v>
      </c>
      <c r="F150" s="178"/>
      <c r="G150" s="178"/>
      <c r="H150" s="659">
        <v>375.54846989999999</v>
      </c>
      <c r="I150" s="659">
        <v>68.183381800000006</v>
      </c>
      <c r="J150" s="178">
        <f t="shared" si="29"/>
        <v>68.183381800000006</v>
      </c>
      <c r="K150" s="178">
        <f t="shared" si="13"/>
        <v>34.091690900000003</v>
      </c>
      <c r="L150" s="178">
        <f t="shared" si="14"/>
        <v>0.56051890240384605</v>
      </c>
      <c r="M150" s="178">
        <f t="shared" si="15"/>
        <v>210.50201614779181</v>
      </c>
      <c r="N150" s="178">
        <f t="shared" si="16"/>
        <v>421.00403229558361</v>
      </c>
      <c r="O150" s="178">
        <f>+C142+D143+D144+D145+D146+D147+D148+D149+(D150/2)</f>
        <v>0</v>
      </c>
      <c r="P150" s="178">
        <f t="shared" si="17"/>
        <v>0</v>
      </c>
      <c r="Q150" s="178">
        <f t="shared" si="18"/>
        <v>0</v>
      </c>
      <c r="R150" s="178">
        <f t="shared" si="19"/>
        <v>236.60761114734083</v>
      </c>
      <c r="S150" s="178">
        <f t="shared" si="30"/>
        <v>236.60761114734083</v>
      </c>
      <c r="T150" s="178">
        <f t="shared" si="5"/>
        <v>236.60761114734083</v>
      </c>
      <c r="U150" s="178"/>
      <c r="V150" s="178">
        <f t="shared" si="6"/>
        <v>0</v>
      </c>
      <c r="W150" s="178"/>
      <c r="X150" s="178"/>
      <c r="Y150" s="178"/>
      <c r="Z150" s="178"/>
      <c r="AA150" s="178"/>
      <c r="AB150" s="178"/>
      <c r="AC150" s="326" t="b">
        <f>IF(AD150=9,AF150)</f>
        <v>0</v>
      </c>
      <c r="AD150" s="326">
        <f t="shared" si="7"/>
        <v>1</v>
      </c>
      <c r="AE150" s="326">
        <f>IF(V150=0,0,9)</f>
        <v>0</v>
      </c>
      <c r="AF150" s="327">
        <f>SUM(V150:V153)/($B$139-B149)</f>
        <v>0</v>
      </c>
      <c r="AG150" s="339">
        <f>SUM(D143:D150)+$C$142</f>
        <v>0</v>
      </c>
      <c r="AH150" s="329" t="b">
        <f t="shared" si="8"/>
        <v>0</v>
      </c>
      <c r="AI150" s="281">
        <f t="shared" si="20"/>
        <v>48.341833700000002</v>
      </c>
      <c r="AJ150" s="330">
        <f t="shared" si="31"/>
        <v>0.74712369172584447</v>
      </c>
      <c r="AK150" s="283">
        <f t="shared" si="9"/>
        <v>236.60761114734046</v>
      </c>
      <c r="AL150" s="281">
        <f t="shared" si="21"/>
        <v>55.9091199</v>
      </c>
      <c r="AM150" s="331">
        <f t="shared" si="22"/>
        <v>0.82814956232072179</v>
      </c>
      <c r="AN150" s="283">
        <f t="shared" si="23"/>
        <v>311.01030097790175</v>
      </c>
      <c r="AO150" s="332">
        <f t="shared" si="10"/>
        <v>-10.321345520930231</v>
      </c>
      <c r="AP150" s="283">
        <f t="shared" si="32"/>
        <v>-231</v>
      </c>
      <c r="AQ150" s="332">
        <f t="shared" si="33"/>
        <v>-215</v>
      </c>
      <c r="AR150" s="333">
        <f t="shared" si="24"/>
        <v>547.61791212524224</v>
      </c>
      <c r="AS150" s="334">
        <f t="shared" si="35"/>
        <v>-311.01030097790175</v>
      </c>
      <c r="AT150" s="335">
        <f t="shared" si="25"/>
        <v>300.68895545697154</v>
      </c>
      <c r="AU150" s="334">
        <f t="shared" si="34"/>
        <v>311.01030097790175</v>
      </c>
      <c r="AV150" s="336">
        <f t="shared" si="26"/>
        <v>-96.946656616185308</v>
      </c>
      <c r="AW150" s="336">
        <f t="shared" si="27"/>
        <v>-118.05334338381471</v>
      </c>
      <c r="AX150" s="337">
        <f t="shared" si="11"/>
        <v>-61.889705219584606</v>
      </c>
      <c r="AY150" s="337">
        <f t="shared" si="12"/>
        <v>-50.824481781026876</v>
      </c>
      <c r="AZ150" s="340">
        <f t="shared" si="28"/>
        <v>61.889705219584606</v>
      </c>
      <c r="BA150" s="340">
        <f t="shared" si="28"/>
        <v>50.824481781026876</v>
      </c>
      <c r="BC150" s="196"/>
      <c r="BE150" s="81"/>
      <c r="BF150" s="81"/>
      <c r="BG150" s="81"/>
      <c r="BH150" s="81"/>
    </row>
    <row r="151" spans="2:112" ht="25" customHeight="1" thickBot="1" x14ac:dyDescent="0.35">
      <c r="B151" s="197">
        <v>10</v>
      </c>
      <c r="C151" s="198"/>
      <c r="D151" s="10">
        <v>0</v>
      </c>
      <c r="E151" s="177" t="s">
        <v>123</v>
      </c>
      <c r="F151" s="178"/>
      <c r="G151" s="178"/>
      <c r="H151" s="659">
        <v>375.54846989999999</v>
      </c>
      <c r="I151" s="659">
        <v>68.183381800000006</v>
      </c>
      <c r="J151" s="178">
        <f t="shared" si="29"/>
        <v>68.183381800000006</v>
      </c>
      <c r="K151" s="178">
        <f t="shared" si="13"/>
        <v>34.091690900000003</v>
      </c>
      <c r="L151" s="178">
        <f t="shared" si="14"/>
        <v>0.56051890240384605</v>
      </c>
      <c r="M151" s="178">
        <f t="shared" si="15"/>
        <v>210.50201614779181</v>
      </c>
      <c r="N151" s="178">
        <f t="shared" si="16"/>
        <v>421.00403229558361</v>
      </c>
      <c r="O151" s="178">
        <f>+C142+D143+D144+D145+D146+D147+D148+D149+D150+(D151/2)</f>
        <v>0</v>
      </c>
      <c r="P151" s="178">
        <f t="shared" si="17"/>
        <v>0</v>
      </c>
      <c r="Q151" s="178">
        <f t="shared" si="18"/>
        <v>0</v>
      </c>
      <c r="R151" s="178">
        <f t="shared" si="19"/>
        <v>236.60761114734083</v>
      </c>
      <c r="S151" s="178">
        <f t="shared" si="30"/>
        <v>236.60761114734083</v>
      </c>
      <c r="T151" s="178">
        <f t="shared" si="5"/>
        <v>236.60761114734083</v>
      </c>
      <c r="U151" s="178"/>
      <c r="V151" s="178">
        <f t="shared" si="6"/>
        <v>0</v>
      </c>
      <c r="W151" s="178"/>
      <c r="X151" s="178"/>
      <c r="Y151" s="178"/>
      <c r="Z151" s="178"/>
      <c r="AA151" s="178"/>
      <c r="AB151" s="178"/>
      <c r="AC151" s="326" t="b">
        <f>IF(AD151=10,AF151)</f>
        <v>0</v>
      </c>
      <c r="AD151" s="326">
        <f t="shared" si="7"/>
        <v>1</v>
      </c>
      <c r="AE151" s="326">
        <f>IF(V151=0,0,10)</f>
        <v>0</v>
      </c>
      <c r="AF151" s="327">
        <f>SUM(V151:V153)/($B$139-B150)</f>
        <v>0</v>
      </c>
      <c r="AG151" s="339">
        <f>SUM(D143:D151)+$C$142</f>
        <v>0</v>
      </c>
      <c r="AH151" s="329" t="b">
        <f t="shared" si="8"/>
        <v>0</v>
      </c>
      <c r="AI151" s="281">
        <f t="shared" si="20"/>
        <v>48.341833700000002</v>
      </c>
      <c r="AJ151" s="330">
        <f t="shared" si="31"/>
        <v>0.74712369172584447</v>
      </c>
      <c r="AK151" s="283">
        <f t="shared" si="9"/>
        <v>236.60761114734046</v>
      </c>
      <c r="AL151" s="281">
        <f t="shared" si="21"/>
        <v>55.9091199</v>
      </c>
      <c r="AM151" s="331">
        <f t="shared" si="22"/>
        <v>0.82814956232072179</v>
      </c>
      <c r="AN151" s="283">
        <f t="shared" si="23"/>
        <v>311.01030097790175</v>
      </c>
      <c r="AO151" s="332">
        <f t="shared" si="10"/>
        <v>-8.9479406733870963</v>
      </c>
      <c r="AP151" s="283">
        <f t="shared" si="32"/>
        <v>-264</v>
      </c>
      <c r="AQ151" s="332">
        <f t="shared" si="33"/>
        <v>-248</v>
      </c>
      <c r="AR151" s="333">
        <f t="shared" si="24"/>
        <v>547.61791212524224</v>
      </c>
      <c r="AS151" s="334">
        <f t="shared" si="35"/>
        <v>-311.01030097790175</v>
      </c>
      <c r="AT151" s="335">
        <f t="shared" si="25"/>
        <v>302.06236030451464</v>
      </c>
      <c r="AU151" s="334">
        <f t="shared" si="34"/>
        <v>311.01030097790175</v>
      </c>
      <c r="AV151" s="336">
        <f t="shared" si="26"/>
        <v>-111.20486657421991</v>
      </c>
      <c r="AW151" s="336">
        <f t="shared" si="27"/>
        <v>-136.79513342578011</v>
      </c>
      <c r="AX151" s="337">
        <f t="shared" si="11"/>
        <v>-53.954473260354156</v>
      </c>
      <c r="AY151" s="337">
        <f t="shared" si="12"/>
        <v>-43.861209457830412</v>
      </c>
      <c r="AZ151" s="340">
        <f t="shared" si="28"/>
        <v>53.954473260354156</v>
      </c>
      <c r="BA151" s="340">
        <f t="shared" si="28"/>
        <v>43.861209457830412</v>
      </c>
      <c r="BC151" s="196"/>
      <c r="BE151" s="81"/>
      <c r="BF151" s="81"/>
      <c r="BG151" s="81"/>
      <c r="BH151" s="81"/>
    </row>
    <row r="152" spans="2:112" ht="25" customHeight="1" thickBot="1" x14ac:dyDescent="0.35">
      <c r="B152" s="197">
        <v>11</v>
      </c>
      <c r="C152" s="198"/>
      <c r="D152" s="10">
        <v>0</v>
      </c>
      <c r="E152" s="177" t="s">
        <v>123</v>
      </c>
      <c r="F152" s="178"/>
      <c r="G152" s="178"/>
      <c r="H152" s="659">
        <v>375.54846989999999</v>
      </c>
      <c r="I152" s="659">
        <v>68.183381800000006</v>
      </c>
      <c r="J152" s="178">
        <f t="shared" si="29"/>
        <v>68.183381800000006</v>
      </c>
      <c r="K152" s="178">
        <f t="shared" si="13"/>
        <v>34.091690900000003</v>
      </c>
      <c r="L152" s="178">
        <f t="shared" si="14"/>
        <v>0.56051890240384605</v>
      </c>
      <c r="M152" s="178">
        <f t="shared" si="15"/>
        <v>210.50201614779181</v>
      </c>
      <c r="N152" s="178">
        <f t="shared" si="16"/>
        <v>421.00403229558361</v>
      </c>
      <c r="O152" s="178">
        <f>+C142+D143+D144+D145+D146+D147+D148+D149+D150+D151+(D152/2)</f>
        <v>0</v>
      </c>
      <c r="P152" s="178">
        <f t="shared" si="17"/>
        <v>0</v>
      </c>
      <c r="Q152" s="178">
        <f t="shared" si="18"/>
        <v>0</v>
      </c>
      <c r="R152" s="178">
        <f t="shared" si="19"/>
        <v>236.60761114734083</v>
      </c>
      <c r="S152" s="178">
        <f t="shared" si="30"/>
        <v>236.60761114734083</v>
      </c>
      <c r="T152" s="178">
        <f t="shared" si="5"/>
        <v>236.60761114734083</v>
      </c>
      <c r="U152" s="178"/>
      <c r="V152" s="178">
        <f t="shared" si="6"/>
        <v>0</v>
      </c>
      <c r="W152" s="178"/>
      <c r="X152" s="178"/>
      <c r="Y152" s="178"/>
      <c r="Z152" s="178"/>
      <c r="AA152" s="178"/>
      <c r="AB152" s="178"/>
      <c r="AC152" s="326" t="b">
        <f>IF(AD152=11,AF152)</f>
        <v>0</v>
      </c>
      <c r="AD152" s="326">
        <f t="shared" si="7"/>
        <v>1</v>
      </c>
      <c r="AE152" s="326">
        <f>IF(V152=0,0,11)</f>
        <v>0</v>
      </c>
      <c r="AF152" s="327">
        <f>SUM(V152:V153)/($B$139-B151)</f>
        <v>0</v>
      </c>
      <c r="AG152" s="339">
        <f>SUM(D143:D152)+$C$142</f>
        <v>0</v>
      </c>
      <c r="AH152" s="329" t="b">
        <f t="shared" si="8"/>
        <v>0</v>
      </c>
      <c r="AI152" s="281">
        <f t="shared" si="20"/>
        <v>48.341833700000002</v>
      </c>
      <c r="AJ152" s="330">
        <f t="shared" si="31"/>
        <v>0.74712369172584447</v>
      </c>
      <c r="AK152" s="283">
        <f t="shared" si="9"/>
        <v>236.60761114734046</v>
      </c>
      <c r="AL152" s="281">
        <f t="shared" si="21"/>
        <v>55.9091199</v>
      </c>
      <c r="AM152" s="331">
        <f t="shared" si="22"/>
        <v>0.82814956232072179</v>
      </c>
      <c r="AN152" s="283">
        <f t="shared" si="23"/>
        <v>311.01030097790175</v>
      </c>
      <c r="AO152" s="332">
        <f t="shared" si="10"/>
        <v>-7.8971149003558709</v>
      </c>
      <c r="AP152" s="283">
        <f t="shared" si="32"/>
        <v>-297</v>
      </c>
      <c r="AQ152" s="332">
        <f t="shared" si="33"/>
        <v>-281</v>
      </c>
      <c r="AR152" s="333">
        <f t="shared" si="24"/>
        <v>547.61791212524224</v>
      </c>
      <c r="AS152" s="334">
        <f t="shared" si="35"/>
        <v>-311.01030097790175</v>
      </c>
      <c r="AT152" s="335">
        <f t="shared" si="25"/>
        <v>303.11318607754589</v>
      </c>
      <c r="AU152" s="334">
        <f t="shared" si="34"/>
        <v>311.01030097790175</v>
      </c>
      <c r="AV152" s="336">
        <f t="shared" si="26"/>
        <v>-125.46307653225448</v>
      </c>
      <c r="AW152" s="336">
        <f t="shared" si="27"/>
        <v>-155.53692346774554</v>
      </c>
      <c r="AX152" s="337">
        <f t="shared" si="11"/>
        <v>-47.822834939469217</v>
      </c>
      <c r="AY152" s="337">
        <f t="shared" si="12"/>
        <v>-38.576049122151048</v>
      </c>
      <c r="AZ152" s="340">
        <f t="shared" si="28"/>
        <v>47.822834939469217</v>
      </c>
      <c r="BA152" s="340">
        <f t="shared" si="28"/>
        <v>38.576049122151048</v>
      </c>
      <c r="BC152" s="196"/>
      <c r="BE152" s="81"/>
      <c r="BF152" s="81"/>
      <c r="BG152" s="81"/>
      <c r="BH152" s="81"/>
    </row>
    <row r="153" spans="2:112" ht="25" customHeight="1" thickBot="1" x14ac:dyDescent="0.35">
      <c r="B153" s="197">
        <v>12</v>
      </c>
      <c r="C153" s="198"/>
      <c r="D153" s="10">
        <v>0</v>
      </c>
      <c r="E153" s="177" t="s">
        <v>123</v>
      </c>
      <c r="F153" s="178"/>
      <c r="G153" s="178"/>
      <c r="H153" s="659">
        <v>375.54846989999999</v>
      </c>
      <c r="I153" s="659">
        <v>68.183381800000006</v>
      </c>
      <c r="J153" s="178">
        <f t="shared" si="29"/>
        <v>68.183381800000006</v>
      </c>
      <c r="K153" s="178">
        <f t="shared" si="13"/>
        <v>34.091690900000003</v>
      </c>
      <c r="L153" s="178">
        <f t="shared" si="14"/>
        <v>0.56051890240384605</v>
      </c>
      <c r="M153" s="178">
        <f t="shared" si="15"/>
        <v>210.50201614779181</v>
      </c>
      <c r="N153" s="178">
        <f t="shared" si="16"/>
        <v>421.00403229558361</v>
      </c>
      <c r="O153" s="178">
        <f>+C142+D143+D144+D145+D146+D147+D148+D149+D150+D151+D152+(D153/2)</f>
        <v>0</v>
      </c>
      <c r="P153" s="178">
        <f t="shared" si="17"/>
        <v>0</v>
      </c>
      <c r="Q153" s="178">
        <f t="shared" si="18"/>
        <v>0</v>
      </c>
      <c r="R153" s="178">
        <f t="shared" si="19"/>
        <v>236.60761114734083</v>
      </c>
      <c r="S153" s="178">
        <f t="shared" si="30"/>
        <v>236.60761114734083</v>
      </c>
      <c r="T153" s="178">
        <f t="shared" si="5"/>
        <v>236.60761114734083</v>
      </c>
      <c r="U153" s="178"/>
      <c r="V153" s="178">
        <f t="shared" si="6"/>
        <v>0</v>
      </c>
      <c r="W153" s="178"/>
      <c r="X153" s="178"/>
      <c r="Y153" s="178"/>
      <c r="Z153" s="178"/>
      <c r="AA153" s="178"/>
      <c r="AB153" s="178"/>
      <c r="AC153" s="326" t="b">
        <f>IF(AD153=12,AF153)</f>
        <v>0</v>
      </c>
      <c r="AD153" s="326">
        <f t="shared" si="7"/>
        <v>1</v>
      </c>
      <c r="AE153" s="326">
        <f>IF(V153=0,0,12)</f>
        <v>0</v>
      </c>
      <c r="AF153" s="327">
        <f>SUM(V153)/($B$139-B152)</f>
        <v>0</v>
      </c>
      <c r="AG153" s="339">
        <f>SUM(D143:D153)+$C$142</f>
        <v>0</v>
      </c>
      <c r="AH153" s="329" t="b">
        <f t="shared" si="8"/>
        <v>0</v>
      </c>
      <c r="AI153" s="281">
        <f t="shared" si="20"/>
        <v>48.341833700000002</v>
      </c>
      <c r="AJ153" s="330">
        <f t="shared" si="31"/>
        <v>0.74712369172584447</v>
      </c>
      <c r="AK153" s="283">
        <f t="shared" si="9"/>
        <v>236.60761114734046</v>
      </c>
      <c r="AL153" s="281">
        <f t="shared" si="21"/>
        <v>55.9091199</v>
      </c>
      <c r="AM153" s="331">
        <f t="shared" si="22"/>
        <v>0.82814956232072179</v>
      </c>
      <c r="AN153" s="283">
        <f t="shared" si="23"/>
        <v>311.01030097790175</v>
      </c>
      <c r="AO153" s="332">
        <f t="shared" si="10"/>
        <v>-7.0671633343949036</v>
      </c>
      <c r="AP153" s="283">
        <f t="shared" si="32"/>
        <v>-330</v>
      </c>
      <c r="AQ153" s="332">
        <f t="shared" si="33"/>
        <v>-314</v>
      </c>
      <c r="AR153" s="333">
        <f t="shared" si="24"/>
        <v>547.61791212524224</v>
      </c>
      <c r="AS153" s="334">
        <f t="shared" si="35"/>
        <v>-311.01030097790175</v>
      </c>
      <c r="AT153" s="335">
        <f t="shared" si="25"/>
        <v>303.94313764350687</v>
      </c>
      <c r="AU153" s="334">
        <f t="shared" si="34"/>
        <v>311.01030097790175</v>
      </c>
      <c r="AV153" s="336">
        <f t="shared" si="26"/>
        <v>-139.72128649028906</v>
      </c>
      <c r="AW153" s="336">
        <f t="shared" si="27"/>
        <v>-174.27871350971097</v>
      </c>
      <c r="AX153" s="337">
        <f t="shared" si="11"/>
        <v>-42.942633515022877</v>
      </c>
      <c r="AY153" s="337">
        <f t="shared" si="12"/>
        <v>-34.427612409852188</v>
      </c>
      <c r="AZ153" s="340">
        <f t="shared" si="28"/>
        <v>42.942633515022877</v>
      </c>
      <c r="BA153" s="340">
        <f t="shared" si="28"/>
        <v>34.427612409852188</v>
      </c>
      <c r="BC153" s="196"/>
      <c r="BE153" s="81"/>
      <c r="BF153" s="81"/>
      <c r="BG153" s="81"/>
      <c r="BH153" s="81"/>
      <c r="CO153" s="667"/>
      <c r="CP153" s="667"/>
      <c r="CQ153" s="667"/>
      <c r="CR153" s="667"/>
      <c r="CS153" s="667"/>
      <c r="CT153" s="667"/>
      <c r="CU153" s="667"/>
      <c r="CV153" s="667"/>
      <c r="CW153" s="667"/>
      <c r="CX153" s="667"/>
      <c r="CY153" s="667"/>
      <c r="CZ153" s="667"/>
      <c r="DA153" s="667"/>
      <c r="DB153" s="667"/>
      <c r="DC153" s="667"/>
      <c r="DD153" s="667"/>
    </row>
    <row r="154" spans="2:112" ht="29" hidden="1" thickBot="1" x14ac:dyDescent="0.35">
      <c r="U154" s="196"/>
      <c r="AG154" s="341" t="s">
        <v>61</v>
      </c>
      <c r="AH154" s="342">
        <f>MAX(AH142:AH153)</f>
        <v>0</v>
      </c>
      <c r="BC154" s="196"/>
      <c r="BE154" s="81"/>
      <c r="BF154" s="81"/>
      <c r="BG154" s="81"/>
      <c r="BH154" s="81"/>
      <c r="CP154" s="667"/>
      <c r="CQ154" s="667"/>
      <c r="CR154" s="667"/>
      <c r="CS154" s="667"/>
      <c r="CT154" s="667"/>
      <c r="CU154" s="667"/>
      <c r="CV154" s="667"/>
      <c r="CW154" s="667"/>
      <c r="CX154" s="667"/>
      <c r="CY154" s="667"/>
      <c r="CZ154" s="667"/>
      <c r="DA154" s="667"/>
      <c r="DB154" s="667"/>
      <c r="DC154" s="667"/>
      <c r="DD154" s="667"/>
    </row>
    <row r="155" spans="2:112" hidden="1" x14ac:dyDescent="0.3">
      <c r="B155" s="251"/>
      <c r="U155" s="196"/>
      <c r="AV155" s="968" t="s">
        <v>236</v>
      </c>
      <c r="AW155" s="969"/>
      <c r="AX155" s="969"/>
      <c r="AY155" s="970"/>
      <c r="BC155" s="196"/>
      <c r="BE155" s="81"/>
      <c r="BF155" s="81"/>
      <c r="BG155" s="81"/>
      <c r="BH155" s="81"/>
      <c r="CP155" s="667"/>
      <c r="CQ155" s="667"/>
      <c r="CR155" s="667"/>
      <c r="CS155" s="667"/>
      <c r="CT155" s="667"/>
      <c r="CU155" s="667"/>
      <c r="CV155" s="667"/>
      <c r="CW155" s="667"/>
      <c r="CX155" s="667"/>
      <c r="CY155" s="667"/>
      <c r="CZ155" s="667"/>
      <c r="DA155" s="667"/>
      <c r="DB155" s="667"/>
      <c r="DC155" s="667"/>
      <c r="DD155" s="667"/>
      <c r="DE155" s="81"/>
      <c r="DG155" s="81"/>
      <c r="DH155" s="745"/>
    </row>
    <row r="156" spans="2:112" hidden="1" x14ac:dyDescent="0.3">
      <c r="B156" s="251"/>
      <c r="AB156" s="306"/>
      <c r="AC156" s="306"/>
      <c r="AD156" s="306"/>
      <c r="AE156" s="306"/>
      <c r="AV156" s="966" t="s">
        <v>233</v>
      </c>
      <c r="AW156" s="973" t="s">
        <v>234</v>
      </c>
      <c r="AX156" s="966" t="s">
        <v>235</v>
      </c>
      <c r="AY156" s="346"/>
      <c r="BE156" s="81"/>
      <c r="BF156" s="81"/>
      <c r="BG156" s="81"/>
      <c r="BH156" s="81"/>
      <c r="CP156" s="667"/>
      <c r="CQ156" s="667"/>
      <c r="CR156" s="667"/>
      <c r="CS156" s="667"/>
      <c r="CT156" s="667"/>
      <c r="CU156" s="667"/>
      <c r="CV156" s="667"/>
      <c r="CW156" s="667"/>
      <c r="CX156" s="667"/>
      <c r="CY156" s="667"/>
      <c r="CZ156" s="667"/>
      <c r="DA156" s="667"/>
      <c r="DB156" s="667"/>
      <c r="DC156" s="667"/>
      <c r="DD156" s="667"/>
      <c r="DE156" s="81"/>
      <c r="DF156" s="81"/>
      <c r="DG156" s="81"/>
      <c r="DH156" s="745"/>
    </row>
    <row r="157" spans="2:112" hidden="1" x14ac:dyDescent="0.3">
      <c r="V157" s="110"/>
      <c r="W157" s="110"/>
      <c r="X157" s="110"/>
      <c r="Y157" s="110"/>
      <c r="Z157" s="110"/>
      <c r="AA157" s="110"/>
      <c r="AB157" s="110"/>
      <c r="AC157" s="110"/>
      <c r="AD157" s="110"/>
      <c r="AE157" s="110"/>
      <c r="AF157" s="110"/>
      <c r="AG157" s="110"/>
      <c r="AH157" s="110"/>
      <c r="AI157" s="110"/>
      <c r="AJ157" s="110"/>
      <c r="AK157" s="110"/>
      <c r="AL157" s="110"/>
      <c r="AM157" s="110"/>
      <c r="AN157" s="110"/>
      <c r="AO157" s="110"/>
      <c r="AP157" s="110"/>
      <c r="AQ157" s="110"/>
      <c r="AR157" s="110"/>
      <c r="AS157" s="110"/>
      <c r="AT157" s="110"/>
      <c r="AU157" s="110"/>
      <c r="AV157" s="966">
        <v>39.325000000000003</v>
      </c>
      <c r="AW157" s="973">
        <f>+SIN((AV157+AH154)*3.14159265358979/180)</f>
        <v>0.63371846381204811</v>
      </c>
      <c r="AX157" s="966">
        <f>+AW163/AW157</f>
        <v>10.469568610238174</v>
      </c>
      <c r="AY157" s="964"/>
      <c r="AZ157" s="110"/>
      <c r="BA157" s="110"/>
      <c r="BB157" s="77"/>
      <c r="BE157" s="81"/>
      <c r="BF157" s="81"/>
      <c r="BG157" s="81"/>
      <c r="BH157" s="81"/>
      <c r="CP157" s="667"/>
      <c r="CQ157" s="667"/>
      <c r="CR157" s="667"/>
      <c r="CS157" s="667"/>
      <c r="CT157" s="667"/>
      <c r="CU157" s="667"/>
      <c r="CV157" s="667"/>
      <c r="CW157" s="667"/>
      <c r="CX157" s="667"/>
      <c r="CY157" s="667"/>
      <c r="CZ157" s="667"/>
      <c r="DA157" s="667"/>
      <c r="DB157" s="667"/>
      <c r="DC157" s="667"/>
      <c r="DD157" s="667"/>
      <c r="DE157" s="81"/>
      <c r="DF157" s="81"/>
      <c r="DG157" s="81"/>
      <c r="DH157" s="745"/>
    </row>
    <row r="158" spans="2:112" ht="22.5" customHeight="1" thickBot="1" x14ac:dyDescent="0.35">
      <c r="V158" s="110"/>
      <c r="W158" s="110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110"/>
      <c r="AH158" s="110"/>
      <c r="AI158" s="110"/>
      <c r="AJ158" s="110"/>
      <c r="AK158" s="110"/>
      <c r="AL158" s="110"/>
      <c r="AM158" s="110"/>
      <c r="AN158" s="110"/>
      <c r="AO158" s="110"/>
      <c r="AP158" s="110"/>
      <c r="AQ158" s="110"/>
      <c r="AR158" s="110"/>
      <c r="AS158" s="110"/>
      <c r="AT158" s="110"/>
      <c r="AU158" s="110"/>
      <c r="AV158" s="964"/>
      <c r="AW158" s="346"/>
      <c r="AX158" s="964"/>
      <c r="AY158" s="964"/>
      <c r="AZ158" s="110"/>
      <c r="BA158" s="110"/>
      <c r="BB158" s="77"/>
      <c r="BE158" s="81"/>
      <c r="BF158" s="81"/>
      <c r="BG158" s="81"/>
      <c r="BH158" s="81"/>
      <c r="CP158" s="667"/>
      <c r="CQ158" s="667"/>
      <c r="CR158" s="667"/>
      <c r="CS158" s="667"/>
      <c r="CT158" s="667"/>
      <c r="CU158" s="667"/>
      <c r="CV158" s="667"/>
      <c r="CW158" s="667"/>
      <c r="CX158" s="667"/>
      <c r="CY158" s="667"/>
      <c r="CZ158" s="667"/>
      <c r="DA158" s="667"/>
      <c r="DB158" s="667"/>
      <c r="DC158" s="667"/>
      <c r="DD158" s="667"/>
      <c r="DE158" s="81"/>
      <c r="DF158" s="81"/>
      <c r="DG158" s="81"/>
      <c r="DH158" s="745"/>
    </row>
    <row r="159" spans="2:112" ht="70.5" customHeight="1" thickBot="1" x14ac:dyDescent="0.35">
      <c r="B159" s="302" t="s">
        <v>167</v>
      </c>
      <c r="C159" s="343"/>
      <c r="D159" s="344"/>
      <c r="E159" s="17"/>
      <c r="F159" s="17"/>
      <c r="G159" s="17"/>
      <c r="H159" s="345"/>
      <c r="I159" s="345"/>
      <c r="J159" s="345"/>
      <c r="K159" s="345"/>
      <c r="L159" s="345"/>
      <c r="M159" s="345"/>
      <c r="N159" s="345"/>
      <c r="O159" s="345"/>
      <c r="P159" s="345"/>
      <c r="Q159" s="345"/>
      <c r="R159" s="345"/>
      <c r="S159" s="346" t="s">
        <v>81</v>
      </c>
      <c r="T159" s="346">
        <f>SUM(V163:V168)/B160</f>
        <v>147.93928579999999</v>
      </c>
      <c r="U159" s="133"/>
      <c r="V159" s="110"/>
      <c r="W159" s="110"/>
      <c r="X159" s="110"/>
      <c r="Y159" s="110"/>
      <c r="Z159" s="110"/>
      <c r="AA159" s="110"/>
      <c r="AB159" s="110"/>
      <c r="AC159" s="110"/>
      <c r="AD159" s="110"/>
      <c r="AE159" s="110"/>
      <c r="AF159" s="110"/>
      <c r="AG159" s="110"/>
      <c r="AH159" s="110"/>
      <c r="AI159" s="110"/>
      <c r="AJ159" s="110"/>
      <c r="AK159" s="110"/>
      <c r="AL159" s="110"/>
      <c r="AM159" s="110"/>
      <c r="AN159" s="110"/>
      <c r="AO159" s="110"/>
      <c r="AP159" s="110"/>
      <c r="AQ159" s="110"/>
      <c r="AR159" s="110"/>
      <c r="AS159" s="110"/>
      <c r="AT159" s="110"/>
      <c r="AU159" s="110"/>
      <c r="AV159" s="964"/>
      <c r="AW159" s="967" t="s">
        <v>237</v>
      </c>
      <c r="AX159" s="971"/>
      <c r="AY159" s="965">
        <v>1400</v>
      </c>
      <c r="AZ159" s="110"/>
      <c r="BA159" s="110"/>
      <c r="BB159" s="77"/>
      <c r="BC159" s="347"/>
      <c r="BD159" s="347"/>
      <c r="BE159" s="81"/>
      <c r="BF159" s="81"/>
      <c r="BG159" s="81"/>
      <c r="BH159" s="81"/>
      <c r="CP159" s="667"/>
      <c r="CQ159" s="667"/>
      <c r="CR159" s="667"/>
      <c r="CS159" s="667"/>
      <c r="CT159" s="667"/>
      <c r="CU159" s="667"/>
      <c r="CV159" s="667"/>
      <c r="CW159" s="667"/>
      <c r="CX159" s="667"/>
      <c r="CY159" s="667"/>
      <c r="CZ159" s="667"/>
      <c r="DA159" s="667"/>
      <c r="DB159" s="667"/>
      <c r="DC159" s="667"/>
      <c r="DD159" s="667"/>
      <c r="DE159" s="81"/>
      <c r="DF159" s="81"/>
      <c r="DG159" s="81"/>
      <c r="DH159" s="745"/>
    </row>
    <row r="160" spans="2:112" ht="48" customHeight="1" thickBot="1" x14ac:dyDescent="0.35">
      <c r="B160" s="11">
        <v>1</v>
      </c>
      <c r="C160" s="377"/>
      <c r="D160" s="304" t="s">
        <v>101</v>
      </c>
      <c r="E160" s="234"/>
      <c r="F160" s="234"/>
      <c r="G160" s="234"/>
      <c r="H160" s="348"/>
      <c r="I160" s="349"/>
      <c r="J160" s="349"/>
      <c r="K160" s="349"/>
      <c r="L160" s="349"/>
      <c r="M160" s="349"/>
      <c r="N160" s="349"/>
      <c r="O160" s="349"/>
      <c r="P160" s="349"/>
      <c r="Q160" s="349"/>
      <c r="R160" s="349"/>
      <c r="S160" s="350"/>
      <c r="T160" s="351"/>
      <c r="U160" s="293"/>
      <c r="V160" s="352"/>
      <c r="W160" s="352"/>
      <c r="X160" s="352"/>
      <c r="Y160" s="352"/>
      <c r="Z160" s="352"/>
      <c r="AA160" s="352"/>
      <c r="AB160" s="352"/>
      <c r="AC160" s="352"/>
      <c r="AD160" s="352"/>
      <c r="AE160" s="352"/>
      <c r="AF160" s="352"/>
      <c r="AG160" s="352"/>
      <c r="AH160" s="352"/>
      <c r="AI160" s="352"/>
      <c r="AJ160" s="352"/>
      <c r="AK160" s="352"/>
      <c r="AL160" s="352"/>
      <c r="AM160" s="352"/>
      <c r="AN160" s="352"/>
      <c r="AO160" s="352"/>
      <c r="AP160" s="352"/>
      <c r="AQ160" s="352"/>
      <c r="AR160" s="352"/>
      <c r="AS160" s="352"/>
      <c r="AT160" s="352"/>
      <c r="AU160" s="352"/>
      <c r="AV160" s="966"/>
      <c r="AW160" s="967" t="s">
        <v>238</v>
      </c>
      <c r="AX160" s="346"/>
      <c r="AY160" s="974">
        <f>+AY159/SIN((AV157)*3.14159265358979/180)</f>
        <v>2209.1829099920624</v>
      </c>
      <c r="AZ160" s="1014" t="s">
        <v>50</v>
      </c>
      <c r="BA160" s="1015"/>
      <c r="BB160" s="138"/>
      <c r="BC160" s="86"/>
      <c r="BD160" s="86"/>
      <c r="BE160" s="81"/>
      <c r="BF160" s="81"/>
      <c r="BG160" s="81"/>
      <c r="BH160" s="81"/>
      <c r="CP160" s="667"/>
      <c r="CQ160" s="667"/>
      <c r="CR160" s="667"/>
      <c r="CS160" s="667"/>
      <c r="CT160" s="667"/>
      <c r="CU160" s="667"/>
      <c r="CV160" s="667"/>
      <c r="CW160" s="667"/>
      <c r="CX160" s="667"/>
      <c r="CY160" s="667"/>
      <c r="CZ160" s="667"/>
      <c r="DA160" s="667"/>
      <c r="DB160" s="667"/>
      <c r="DC160" s="667"/>
      <c r="DD160" s="667"/>
      <c r="DE160" s="81"/>
      <c r="DF160" s="81"/>
      <c r="DG160" s="81"/>
      <c r="DH160" s="745"/>
    </row>
    <row r="161" spans="2:112" ht="38.25" hidden="1" customHeight="1" thickBot="1" x14ac:dyDescent="0.35">
      <c r="C161" s="307"/>
      <c r="D161" s="255" t="s">
        <v>13</v>
      </c>
      <c r="H161" s="353" t="s">
        <v>4</v>
      </c>
      <c r="I161" s="353" t="s">
        <v>1</v>
      </c>
      <c r="J161" s="345" t="s">
        <v>0</v>
      </c>
      <c r="K161" s="345" t="s">
        <v>2</v>
      </c>
      <c r="L161" s="345" t="s">
        <v>3</v>
      </c>
      <c r="M161" s="345" t="s">
        <v>8</v>
      </c>
      <c r="N161" s="345" t="s">
        <v>5</v>
      </c>
      <c r="O161" s="345" t="s">
        <v>6</v>
      </c>
      <c r="P161" s="345" t="s">
        <v>7</v>
      </c>
      <c r="Q161" s="345" t="s">
        <v>9</v>
      </c>
      <c r="R161" s="354" t="s">
        <v>10</v>
      </c>
      <c r="S161" s="345" t="s">
        <v>11</v>
      </c>
      <c r="T161" s="355" t="s">
        <v>12</v>
      </c>
      <c r="V161" s="311"/>
      <c r="W161" s="311"/>
      <c r="X161" s="311"/>
      <c r="Y161" s="311"/>
      <c r="Z161" s="311"/>
      <c r="AA161" s="311"/>
      <c r="AB161" s="311"/>
      <c r="AC161" s="311"/>
      <c r="AD161" s="311"/>
      <c r="AE161" s="311"/>
      <c r="AF161" s="311"/>
      <c r="AG161" s="311"/>
      <c r="AH161" s="311"/>
      <c r="AI161" s="311"/>
      <c r="AJ161" s="311"/>
      <c r="AK161" s="311"/>
      <c r="AL161" s="311"/>
      <c r="AM161" s="311"/>
      <c r="AN161" s="311"/>
      <c r="AO161" s="311"/>
      <c r="AP161" s="311"/>
      <c r="AQ161" s="311"/>
      <c r="AR161" s="311"/>
      <c r="AS161" s="311"/>
      <c r="AT161" s="311"/>
      <c r="AU161" s="311"/>
      <c r="AV161" s="311"/>
      <c r="AW161" s="311"/>
      <c r="AX161" s="306"/>
      <c r="AY161" s="311"/>
      <c r="AZ161" s="311"/>
      <c r="BA161" s="311"/>
      <c r="BB161" s="151"/>
      <c r="BC161" s="148"/>
      <c r="BE161" s="81"/>
      <c r="BF161" s="81"/>
      <c r="BG161" s="81"/>
      <c r="BH161" s="81"/>
      <c r="CP161" s="667"/>
      <c r="CQ161" s="667"/>
      <c r="CR161" s="667"/>
      <c r="CS161" s="667"/>
      <c r="CT161" s="667"/>
      <c r="CU161" s="667"/>
      <c r="CV161" s="667"/>
      <c r="CW161" s="667"/>
      <c r="CX161" s="667"/>
      <c r="CY161" s="667"/>
      <c r="CZ161" s="667"/>
      <c r="DA161" s="667"/>
      <c r="DB161" s="667"/>
      <c r="DC161" s="667"/>
      <c r="DD161" s="667"/>
      <c r="DE161" s="81"/>
      <c r="DF161" s="81"/>
      <c r="DG161" s="81"/>
      <c r="DH161" s="745"/>
    </row>
    <row r="162" spans="2:112" ht="47.25" customHeight="1" thickBot="1" x14ac:dyDescent="0.35">
      <c r="B162" s="312"/>
      <c r="C162" s="313"/>
      <c r="D162" s="250" t="s">
        <v>22</v>
      </c>
      <c r="E162" s="679"/>
      <c r="F162" s="356"/>
      <c r="G162" s="160"/>
      <c r="H162" s="357"/>
      <c r="I162" s="358"/>
      <c r="R162" s="354"/>
      <c r="T162" s="359"/>
      <c r="V162" s="311"/>
      <c r="W162" s="311"/>
      <c r="X162" s="311"/>
      <c r="Y162" s="311"/>
      <c r="Z162" s="311"/>
      <c r="AA162" s="311"/>
      <c r="AB162" s="311"/>
      <c r="AC162" s="311"/>
      <c r="AD162" s="311"/>
      <c r="AE162" s="311"/>
      <c r="AF162" s="311" t="s">
        <v>38</v>
      </c>
      <c r="AG162" s="316" t="s">
        <v>31</v>
      </c>
      <c r="AH162" s="316"/>
      <c r="AI162" s="165" t="s">
        <v>104</v>
      </c>
      <c r="AJ162" s="317" t="s">
        <v>32</v>
      </c>
      <c r="AK162" s="167" t="s">
        <v>33</v>
      </c>
      <c r="AL162" s="165" t="s">
        <v>105</v>
      </c>
      <c r="AM162" s="318" t="s">
        <v>34</v>
      </c>
      <c r="AN162" s="169" t="s">
        <v>35</v>
      </c>
      <c r="AO162" s="318"/>
      <c r="AP162" s="360" t="s">
        <v>36</v>
      </c>
      <c r="AQ162" s="311"/>
      <c r="AR162" s="311" t="s">
        <v>37</v>
      </c>
      <c r="AS162" s="311" t="s">
        <v>39</v>
      </c>
      <c r="AT162" s="311"/>
      <c r="AU162" s="311" t="s">
        <v>40</v>
      </c>
      <c r="AV162" s="320" t="s">
        <v>41</v>
      </c>
      <c r="AW162" s="320" t="s">
        <v>42</v>
      </c>
      <c r="AX162" s="321" t="s">
        <v>23</v>
      </c>
      <c r="AY162" s="321" t="s">
        <v>24</v>
      </c>
      <c r="AZ162" s="322" t="s">
        <v>23</v>
      </c>
      <c r="BA162" s="322" t="s">
        <v>24</v>
      </c>
      <c r="BC162" s="148"/>
      <c r="BE162" s="81"/>
      <c r="BF162" s="81"/>
      <c r="BG162" s="81"/>
      <c r="BH162" s="81"/>
      <c r="CP162" s="667"/>
      <c r="CQ162" s="667"/>
      <c r="CR162" s="667"/>
      <c r="CS162" s="667"/>
      <c r="CT162" s="667"/>
      <c r="CU162" s="667"/>
      <c r="CV162" s="667"/>
      <c r="CW162" s="667"/>
      <c r="CX162" s="667"/>
      <c r="CY162" s="667"/>
      <c r="CZ162" s="667"/>
      <c r="DA162" s="667"/>
      <c r="DB162" s="667"/>
      <c r="DC162" s="667"/>
      <c r="DD162" s="667"/>
      <c r="DE162" s="81"/>
      <c r="DF162" s="81"/>
      <c r="DG162" s="81"/>
      <c r="DH162" s="745"/>
    </row>
    <row r="163" spans="2:112" ht="28.5" customHeight="1" thickBot="1" x14ac:dyDescent="0.35">
      <c r="B163" s="175">
        <v>1</v>
      </c>
      <c r="C163" s="176">
        <f>+AH154+D163</f>
        <v>0</v>
      </c>
      <c r="D163" s="13">
        <v>0</v>
      </c>
      <c r="E163" s="177" t="s">
        <v>85</v>
      </c>
      <c r="F163" s="178"/>
      <c r="G163" s="178">
        <f>+D163</f>
        <v>0</v>
      </c>
      <c r="H163" s="179">
        <v>176.8294247</v>
      </c>
      <c r="I163" s="180">
        <v>66.429896499999998</v>
      </c>
      <c r="J163" s="361">
        <f>+I163-C163</f>
        <v>66.429896499999998</v>
      </c>
      <c r="K163" s="361">
        <f>+J163/2</f>
        <v>33.214948249999999</v>
      </c>
      <c r="L163" s="361">
        <f t="shared" ref="L163:L168" si="36">SIN(K163*3.14159265358979/180)</f>
        <v>0.54778151346749804</v>
      </c>
      <c r="M163" s="361">
        <f t="shared" ref="M163:M168" si="37">+L163*H163</f>
        <v>96.863889887752975</v>
      </c>
      <c r="N163" s="361">
        <f t="shared" ref="N163:N168" si="38">+M163*2</f>
        <v>193.72777977550595</v>
      </c>
      <c r="O163" s="361">
        <f>+C163/2</f>
        <v>0</v>
      </c>
      <c r="P163" s="361">
        <f t="shared" ref="P163:P168" si="39">SIN(O163*3.14159265358979/180)</f>
        <v>0</v>
      </c>
      <c r="Q163" s="361">
        <f t="shared" ref="Q163:Q168" si="40">+P163*N163</f>
        <v>0</v>
      </c>
      <c r="R163" s="181">
        <v>147.93928579999999</v>
      </c>
      <c r="S163" s="361">
        <f>+R163+Q163</f>
        <v>147.93928579999999</v>
      </c>
      <c r="T163" s="362">
        <f t="shared" ref="T163:T168" si="41">+S163</f>
        <v>147.93928579999999</v>
      </c>
      <c r="V163" s="327">
        <f t="shared" ref="V163:V168" si="42">IF(B163&lt;($B$160+1),T163,0)</f>
        <v>147.93928579999999</v>
      </c>
      <c r="W163" s="327"/>
      <c r="X163" s="327"/>
      <c r="Y163" s="327"/>
      <c r="Z163" s="327"/>
      <c r="AA163" s="327"/>
      <c r="AB163" s="363" t="str">
        <f t="shared" ref="AB163:AB170" si="43">IF(AY163&lt;0,"use the ground stack hole"," ")</f>
        <v xml:space="preserve"> </v>
      </c>
      <c r="AC163" s="364"/>
      <c r="AD163" s="364"/>
      <c r="AE163" s="364"/>
      <c r="AF163" s="327">
        <f>SUM(V163:V171)/($B$160)</f>
        <v>147.93928579999999</v>
      </c>
      <c r="AG163" s="339">
        <f>C163</f>
        <v>0</v>
      </c>
      <c r="AH163" s="339"/>
      <c r="AI163" s="185">
        <f>74.8522391-AG163</f>
        <v>74.852239100000006</v>
      </c>
      <c r="AJ163" s="330">
        <f t="shared" ref="AJ163:AJ168" si="44">SIN(AI163*3.14159265358979/180)</f>
        <v>0.96525514282827984</v>
      </c>
      <c r="AK163" s="187">
        <f>+AJ163*193.2389666</f>
        <v>186.5249063054722</v>
      </c>
      <c r="AL163" s="185">
        <f t="shared" ref="AL163:AL170" si="45">56.7850518+AG163</f>
        <v>56.785051799999998</v>
      </c>
      <c r="AM163" s="331">
        <f>SIN(AL163*3.14159265358979/180)</f>
        <v>0.83662142830740083</v>
      </c>
      <c r="AN163" s="189">
        <f t="shared" ref="AN163:AN170" si="46">+AM163*176.8294247</f>
        <v>147.93928585928998</v>
      </c>
      <c r="AO163" s="365"/>
      <c r="AP163" s="366">
        <f>15*B160</f>
        <v>15</v>
      </c>
      <c r="AQ163" s="333"/>
      <c r="AR163" s="333">
        <f>+AN163+AK163</f>
        <v>334.46419216476215</v>
      </c>
      <c r="AS163" s="334">
        <f>+V163-AN163</f>
        <v>-5.9289988030286622E-8</v>
      </c>
      <c r="AT163" s="334"/>
      <c r="AU163" s="334">
        <f>+AF163-AS163</f>
        <v>147.93928585928998</v>
      </c>
      <c r="AV163" s="336">
        <f>+((AR163-AU163)/AR163)*AP163</f>
        <v>8.3652410635450245</v>
      </c>
      <c r="AW163" s="336">
        <f>+(AU163/AR163)*AP163</f>
        <v>6.6347589364549746</v>
      </c>
      <c r="AX163" s="337">
        <f t="shared" ref="AX163:AX170" si="47">2*$C$17/AV163</f>
        <v>956.33825005513438</v>
      </c>
      <c r="AY163" s="972">
        <f>AY160/AX157</f>
        <v>211.00992717423964</v>
      </c>
      <c r="AZ163" s="340">
        <f>ABS(AX163)</f>
        <v>956.33825005513438</v>
      </c>
      <c r="BA163" s="340">
        <f>ABS(AY163)</f>
        <v>211.00992717423964</v>
      </c>
      <c r="BB163" s="51"/>
      <c r="BC163" s="367"/>
      <c r="BE163" s="81"/>
      <c r="BF163" s="81"/>
      <c r="BG163" s="81"/>
      <c r="BH163" s="81"/>
      <c r="CP163" s="667"/>
      <c r="CQ163" s="667"/>
      <c r="CR163" s="667"/>
      <c r="CS163" s="667"/>
      <c r="CT163" s="667"/>
      <c r="CU163" s="667"/>
      <c r="CV163" s="667"/>
      <c r="CW163" s="667"/>
      <c r="CX163" s="667"/>
      <c r="CY163" s="667"/>
      <c r="CZ163" s="667"/>
      <c r="DA163" s="667"/>
      <c r="DB163" s="667"/>
      <c r="DC163" s="667"/>
      <c r="DD163" s="667"/>
      <c r="DE163" s="81"/>
      <c r="DF163" s="81"/>
      <c r="DG163" s="81"/>
      <c r="DH163" s="745"/>
    </row>
    <row r="164" spans="2:112" ht="28.5" customHeight="1" thickBot="1" x14ac:dyDescent="0.35">
      <c r="B164" s="197">
        <v>2</v>
      </c>
      <c r="C164" s="198"/>
      <c r="D164" s="10">
        <v>0</v>
      </c>
      <c r="E164" s="812" t="s">
        <v>162</v>
      </c>
      <c r="F164" s="178"/>
      <c r="G164" s="178">
        <f t="shared" ref="G164:G168" si="48">+D164+BB164</f>
        <v>0</v>
      </c>
      <c r="H164" s="179">
        <v>176.8294247</v>
      </c>
      <c r="I164" s="180">
        <v>66.429896499999998</v>
      </c>
      <c r="J164" s="361">
        <f t="shared" ref="J164:J168" si="49">+I164-D164</f>
        <v>66.429896499999998</v>
      </c>
      <c r="K164" s="361">
        <f t="shared" ref="K164:K168" si="50">+J164/2</f>
        <v>33.214948249999999</v>
      </c>
      <c r="L164" s="361">
        <f t="shared" si="36"/>
        <v>0.54778151346749804</v>
      </c>
      <c r="M164" s="361">
        <f t="shared" si="37"/>
        <v>96.863889887752975</v>
      </c>
      <c r="N164" s="361">
        <f t="shared" si="38"/>
        <v>193.72777977550595</v>
      </c>
      <c r="O164" s="361">
        <f>+C163+(D164/2)</f>
        <v>0</v>
      </c>
      <c r="P164" s="361">
        <f t="shared" si="39"/>
        <v>0</v>
      </c>
      <c r="Q164" s="361">
        <f t="shared" si="40"/>
        <v>0</v>
      </c>
      <c r="R164" s="361">
        <f t="shared" ref="R164:R168" si="51">+T163</f>
        <v>147.93928579999999</v>
      </c>
      <c r="S164" s="361">
        <f>+R164+Q164</f>
        <v>147.93928579999999</v>
      </c>
      <c r="T164" s="362">
        <f t="shared" si="41"/>
        <v>147.93928579999999</v>
      </c>
      <c r="V164" s="327">
        <f t="shared" si="42"/>
        <v>0</v>
      </c>
      <c r="W164" s="327"/>
      <c r="X164" s="327"/>
      <c r="Y164" s="327"/>
      <c r="Z164" s="327"/>
      <c r="AA164" s="327"/>
      <c r="AB164" s="363" t="e">
        <f t="shared" si="43"/>
        <v>#DIV/0!</v>
      </c>
      <c r="AC164" s="364"/>
      <c r="AD164" s="364"/>
      <c r="AE164" s="364"/>
      <c r="AF164" s="327" t="e">
        <f>SUM(V164:V171)/($B$160-B163)</f>
        <v>#DIV/0!</v>
      </c>
      <c r="AG164" s="339">
        <f>SUM(D164)+$C$163</f>
        <v>0</v>
      </c>
      <c r="AH164" s="339"/>
      <c r="AI164" s="185">
        <f t="shared" ref="AI164:AI170" si="52">74.8522391-AG164</f>
        <v>74.852239100000006</v>
      </c>
      <c r="AJ164" s="330">
        <f t="shared" si="44"/>
        <v>0.96525514282827984</v>
      </c>
      <c r="AK164" s="187">
        <f t="shared" ref="AK164:AK170" si="53">+AJ164*193.2389666</f>
        <v>186.5249063054722</v>
      </c>
      <c r="AL164" s="185">
        <f t="shared" si="45"/>
        <v>56.785051799999998</v>
      </c>
      <c r="AM164" s="331">
        <f t="shared" ref="AM164:AM168" si="54">SIN(AL164*3.14159265358979/180)</f>
        <v>0.83662142830740083</v>
      </c>
      <c r="AN164" s="189">
        <f t="shared" si="46"/>
        <v>147.93928585928998</v>
      </c>
      <c r="AO164" s="365"/>
      <c r="AP164" s="211">
        <f>15*($B$160-B163)</f>
        <v>0</v>
      </c>
      <c r="AQ164" s="333"/>
      <c r="AR164" s="333">
        <f t="shared" ref="AR164:AR168" si="55">+AN164+AK164</f>
        <v>334.46419216476215</v>
      </c>
      <c r="AS164" s="334">
        <f>+V164-AN164</f>
        <v>-147.93928585928998</v>
      </c>
      <c r="AT164" s="334"/>
      <c r="AU164" s="334" t="e">
        <f>+AF164-AS164</f>
        <v>#DIV/0!</v>
      </c>
      <c r="AV164" s="336" t="e">
        <f t="shared" ref="AV164:AV168" si="56">+((AR164-AU164)/AR164)*AP164</f>
        <v>#DIV/0!</v>
      </c>
      <c r="AW164" s="336" t="e">
        <f t="shared" ref="AW164:AW168" si="57">+(AU164/AR164)*AP164</f>
        <v>#DIV/0!</v>
      </c>
      <c r="AX164" s="337" t="e">
        <f t="shared" si="47"/>
        <v>#DIV/0!</v>
      </c>
      <c r="AY164" s="337" t="e">
        <f t="shared" ref="AY164:AY170" si="58">$D$17/AW164</f>
        <v>#DIV/0!</v>
      </c>
      <c r="AZ164" s="340" t="e">
        <f t="shared" ref="AZ164:BA168" si="59">ABS(AX164)</f>
        <v>#DIV/0!</v>
      </c>
      <c r="BA164" s="340" t="e">
        <f t="shared" si="59"/>
        <v>#DIV/0!</v>
      </c>
      <c r="BE164" s="81"/>
      <c r="BF164" s="81"/>
      <c r="BG164" s="81"/>
      <c r="BH164" s="81"/>
      <c r="CP164" s="667"/>
      <c r="CQ164" s="667"/>
      <c r="CR164" s="667"/>
      <c r="CS164" s="667"/>
      <c r="CT164" s="667"/>
      <c r="CU164" s="667"/>
      <c r="CV164" s="667"/>
      <c r="CW164" s="667"/>
      <c r="CX164" s="667"/>
      <c r="CY164" s="667"/>
      <c r="CZ164" s="667"/>
      <c r="DA164" s="667"/>
      <c r="DB164" s="667"/>
      <c r="DC164" s="667"/>
      <c r="DD164" s="667"/>
      <c r="DE164" s="81"/>
      <c r="DF164" s="81"/>
      <c r="DG164" s="81"/>
      <c r="DH164" s="745"/>
    </row>
    <row r="165" spans="2:112" ht="28.5" customHeight="1" thickBot="1" x14ac:dyDescent="0.35">
      <c r="B165" s="197">
        <v>3</v>
      </c>
      <c r="C165" s="198"/>
      <c r="D165" s="10">
        <v>0</v>
      </c>
      <c r="E165" s="812" t="s">
        <v>121</v>
      </c>
      <c r="F165" s="178"/>
      <c r="G165" s="178">
        <f t="shared" si="48"/>
        <v>0</v>
      </c>
      <c r="H165" s="179">
        <v>176.8294247</v>
      </c>
      <c r="I165" s="180">
        <v>66.429896499999998</v>
      </c>
      <c r="J165" s="361">
        <f t="shared" si="49"/>
        <v>66.429896499999998</v>
      </c>
      <c r="K165" s="361">
        <f t="shared" si="50"/>
        <v>33.214948249999999</v>
      </c>
      <c r="L165" s="361">
        <f t="shared" si="36"/>
        <v>0.54778151346749804</v>
      </c>
      <c r="M165" s="361">
        <f t="shared" si="37"/>
        <v>96.863889887752975</v>
      </c>
      <c r="N165" s="361">
        <f t="shared" si="38"/>
        <v>193.72777977550595</v>
      </c>
      <c r="O165" s="361">
        <f>+C163+D164+(D165/2)</f>
        <v>0</v>
      </c>
      <c r="P165" s="361">
        <f t="shared" si="39"/>
        <v>0</v>
      </c>
      <c r="Q165" s="361">
        <f t="shared" si="40"/>
        <v>0</v>
      </c>
      <c r="R165" s="361">
        <f t="shared" si="51"/>
        <v>147.93928579999999</v>
      </c>
      <c r="S165" s="361">
        <f t="shared" ref="S165:S168" si="60">+S164+Q165</f>
        <v>147.93928579999999</v>
      </c>
      <c r="T165" s="362">
        <f t="shared" si="41"/>
        <v>147.93928579999999</v>
      </c>
      <c r="V165" s="327">
        <f t="shared" si="42"/>
        <v>0</v>
      </c>
      <c r="W165" s="327"/>
      <c r="X165" s="327"/>
      <c r="Y165" s="327"/>
      <c r="Z165" s="327"/>
      <c r="AA165" s="327"/>
      <c r="AB165" s="363" t="str">
        <f t="shared" si="43"/>
        <v>use the ground stack hole</v>
      </c>
      <c r="AC165" s="364"/>
      <c r="AD165" s="364"/>
      <c r="AE165" s="364"/>
      <c r="AF165" s="327">
        <f>SUM(V165:V171)/($B$160-B164)</f>
        <v>0</v>
      </c>
      <c r="AG165" s="339">
        <f>SUM(D164:D165)+$C$163</f>
        <v>0</v>
      </c>
      <c r="AH165" s="339"/>
      <c r="AI165" s="185">
        <f t="shared" si="52"/>
        <v>74.852239100000006</v>
      </c>
      <c r="AJ165" s="330">
        <f t="shared" si="44"/>
        <v>0.96525514282827984</v>
      </c>
      <c r="AK165" s="187">
        <f t="shared" si="53"/>
        <v>186.5249063054722</v>
      </c>
      <c r="AL165" s="185">
        <f t="shared" si="45"/>
        <v>56.785051799999998</v>
      </c>
      <c r="AM165" s="331">
        <f t="shared" si="54"/>
        <v>0.83662142830740083</v>
      </c>
      <c r="AN165" s="189">
        <f t="shared" si="46"/>
        <v>147.93928585928998</v>
      </c>
      <c r="AO165" s="365"/>
      <c r="AP165" s="211">
        <f t="shared" ref="AP165:AP170" si="61">15*($B$160-B164)</f>
        <v>-15</v>
      </c>
      <c r="AQ165" s="333"/>
      <c r="AR165" s="333">
        <f t="shared" si="55"/>
        <v>334.46419216476215</v>
      </c>
      <c r="AS165" s="334">
        <f>+V165-AN165</f>
        <v>-147.93928585928998</v>
      </c>
      <c r="AT165" s="334"/>
      <c r="AU165" s="334">
        <f>+AF165-AS165</f>
        <v>147.93928585928998</v>
      </c>
      <c r="AV165" s="336">
        <f t="shared" si="56"/>
        <v>-8.3652410635450245</v>
      </c>
      <c r="AW165" s="336">
        <f t="shared" si="57"/>
        <v>-6.6347589364549746</v>
      </c>
      <c r="AX165" s="337">
        <f t="shared" si="47"/>
        <v>-956.33825005513438</v>
      </c>
      <c r="AY165" s="337">
        <f t="shared" si="58"/>
        <v>-663.1740568333247</v>
      </c>
      <c r="AZ165" s="340">
        <f t="shared" si="59"/>
        <v>956.33825005513438</v>
      </c>
      <c r="BA165" s="340">
        <f t="shared" si="59"/>
        <v>663.1740568333247</v>
      </c>
      <c r="BE165" s="81"/>
      <c r="BF165" s="81"/>
      <c r="BG165" s="81"/>
      <c r="BH165" s="81"/>
      <c r="CP165" s="667"/>
      <c r="CQ165" s="667"/>
      <c r="CR165" s="667"/>
      <c r="CS165" s="667"/>
      <c r="CT165" s="667"/>
      <c r="CU165" s="667"/>
      <c r="CV165" s="667"/>
      <c r="CW165" s="667"/>
      <c r="CX165" s="667"/>
      <c r="CY165" s="667"/>
      <c r="CZ165" s="667"/>
      <c r="DA165" s="667"/>
      <c r="DB165" s="667"/>
      <c r="DC165" s="667"/>
      <c r="DD165" s="667"/>
      <c r="DE165" s="81"/>
      <c r="DF165" s="81"/>
      <c r="DG165" s="81"/>
      <c r="DH165" s="745"/>
    </row>
    <row r="166" spans="2:112" ht="28.5" customHeight="1" thickBot="1" x14ac:dyDescent="0.35">
      <c r="B166" s="197">
        <v>4</v>
      </c>
      <c r="C166" s="198"/>
      <c r="D166" s="10">
        <v>0</v>
      </c>
      <c r="E166" s="812" t="s">
        <v>121</v>
      </c>
      <c r="F166" s="178"/>
      <c r="G166" s="178">
        <f t="shared" si="48"/>
        <v>0</v>
      </c>
      <c r="H166" s="179">
        <v>176.8294247</v>
      </c>
      <c r="I166" s="180">
        <v>66.429896499999998</v>
      </c>
      <c r="J166" s="361">
        <f t="shared" si="49"/>
        <v>66.429896499999998</v>
      </c>
      <c r="K166" s="361">
        <f t="shared" si="50"/>
        <v>33.214948249999999</v>
      </c>
      <c r="L166" s="361">
        <f t="shared" si="36"/>
        <v>0.54778151346749804</v>
      </c>
      <c r="M166" s="361">
        <f t="shared" si="37"/>
        <v>96.863889887752975</v>
      </c>
      <c r="N166" s="361">
        <f t="shared" si="38"/>
        <v>193.72777977550595</v>
      </c>
      <c r="O166" s="361">
        <f>+C163+D164+D165+(D166/2)</f>
        <v>0</v>
      </c>
      <c r="P166" s="361">
        <f t="shared" si="39"/>
        <v>0</v>
      </c>
      <c r="Q166" s="361">
        <f t="shared" si="40"/>
        <v>0</v>
      </c>
      <c r="R166" s="361">
        <f t="shared" si="51"/>
        <v>147.93928579999999</v>
      </c>
      <c r="S166" s="361">
        <f t="shared" si="60"/>
        <v>147.93928579999999</v>
      </c>
      <c r="T166" s="362">
        <f t="shared" si="41"/>
        <v>147.93928579999999</v>
      </c>
      <c r="V166" s="327">
        <f t="shared" si="42"/>
        <v>0</v>
      </c>
      <c r="W166" s="327"/>
      <c r="X166" s="327"/>
      <c r="Y166" s="327"/>
      <c r="Z166" s="327"/>
      <c r="AA166" s="327"/>
      <c r="AB166" s="363" t="str">
        <f t="shared" si="43"/>
        <v>use the ground stack hole</v>
      </c>
      <c r="AC166" s="364"/>
      <c r="AD166" s="364"/>
      <c r="AE166" s="364"/>
      <c r="AF166" s="327">
        <f>SUM(V166:V171)/($B$160-B165)</f>
        <v>0</v>
      </c>
      <c r="AG166" s="339">
        <f>SUM(D164:D166)+$C$163</f>
        <v>0</v>
      </c>
      <c r="AH166" s="339"/>
      <c r="AI166" s="185">
        <f t="shared" si="52"/>
        <v>74.852239100000006</v>
      </c>
      <c r="AJ166" s="330">
        <f t="shared" si="44"/>
        <v>0.96525514282827984</v>
      </c>
      <c r="AK166" s="187">
        <f t="shared" si="53"/>
        <v>186.5249063054722</v>
      </c>
      <c r="AL166" s="185">
        <f t="shared" si="45"/>
        <v>56.785051799999998</v>
      </c>
      <c r="AM166" s="331">
        <f t="shared" si="54"/>
        <v>0.83662142830740083</v>
      </c>
      <c r="AN166" s="189">
        <f t="shared" si="46"/>
        <v>147.93928585928998</v>
      </c>
      <c r="AO166" s="365"/>
      <c r="AP166" s="211">
        <f t="shared" si="61"/>
        <v>-30</v>
      </c>
      <c r="AQ166" s="333"/>
      <c r="AR166" s="333">
        <f t="shared" si="55"/>
        <v>334.46419216476215</v>
      </c>
      <c r="AS166" s="334">
        <f>+V166-AN166</f>
        <v>-147.93928585928998</v>
      </c>
      <c r="AT166" s="334"/>
      <c r="AU166" s="334">
        <f t="shared" ref="AU166:AU168" si="62">+AF166-AS166</f>
        <v>147.93928585928998</v>
      </c>
      <c r="AV166" s="336">
        <f t="shared" si="56"/>
        <v>-16.730482127090049</v>
      </c>
      <c r="AW166" s="336">
        <f t="shared" si="57"/>
        <v>-13.269517872909949</v>
      </c>
      <c r="AX166" s="337">
        <f t="shared" si="47"/>
        <v>-478.16912502756719</v>
      </c>
      <c r="AY166" s="337">
        <f t="shared" si="58"/>
        <v>-331.58702841666235</v>
      </c>
      <c r="AZ166" s="340">
        <f t="shared" si="59"/>
        <v>478.16912502756719</v>
      </c>
      <c r="BA166" s="340">
        <f t="shared" si="59"/>
        <v>331.58702841666235</v>
      </c>
      <c r="CP166" s="667"/>
      <c r="CQ166" s="667"/>
      <c r="CR166" s="667"/>
      <c r="CS166" s="667"/>
      <c r="CT166" s="667"/>
      <c r="CU166" s="667"/>
      <c r="CV166" s="667"/>
      <c r="CW166" s="667"/>
      <c r="CX166" s="667"/>
      <c r="CY166" s="667"/>
      <c r="CZ166" s="667"/>
      <c r="DA166" s="667"/>
      <c r="DB166" s="667"/>
      <c r="DC166" s="667"/>
      <c r="DD166" s="667"/>
    </row>
    <row r="167" spans="2:112" ht="28.5" customHeight="1" thickBot="1" x14ac:dyDescent="0.35">
      <c r="B167" s="197">
        <v>5</v>
      </c>
      <c r="C167" s="198"/>
      <c r="D167" s="10">
        <v>0</v>
      </c>
      <c r="E167" s="812" t="s">
        <v>121</v>
      </c>
      <c r="F167" s="178"/>
      <c r="G167" s="178">
        <f t="shared" si="48"/>
        <v>0</v>
      </c>
      <c r="H167" s="179">
        <v>176.8294247</v>
      </c>
      <c r="I167" s="180">
        <v>66.429896499999998</v>
      </c>
      <c r="J167" s="361">
        <f t="shared" si="49"/>
        <v>66.429896499999998</v>
      </c>
      <c r="K167" s="361">
        <f t="shared" si="50"/>
        <v>33.214948249999999</v>
      </c>
      <c r="L167" s="361">
        <f t="shared" si="36"/>
        <v>0.54778151346749804</v>
      </c>
      <c r="M167" s="361">
        <f t="shared" si="37"/>
        <v>96.863889887752975</v>
      </c>
      <c r="N167" s="361">
        <f t="shared" si="38"/>
        <v>193.72777977550595</v>
      </c>
      <c r="O167" s="361">
        <f>+C163+D164+D165+D166+(D167/2)</f>
        <v>0</v>
      </c>
      <c r="P167" s="361">
        <f t="shared" si="39"/>
        <v>0</v>
      </c>
      <c r="Q167" s="361">
        <f t="shared" si="40"/>
        <v>0</v>
      </c>
      <c r="R167" s="361">
        <f t="shared" si="51"/>
        <v>147.93928579999999</v>
      </c>
      <c r="S167" s="361">
        <f t="shared" si="60"/>
        <v>147.93928579999999</v>
      </c>
      <c r="T167" s="362">
        <f t="shared" si="41"/>
        <v>147.93928579999999</v>
      </c>
      <c r="V167" s="327">
        <f t="shared" si="42"/>
        <v>0</v>
      </c>
      <c r="W167" s="327"/>
      <c r="X167" s="327"/>
      <c r="Y167" s="327"/>
      <c r="Z167" s="327"/>
      <c r="AA167" s="327"/>
      <c r="AB167" s="363" t="str">
        <f t="shared" si="43"/>
        <v>use the ground stack hole</v>
      </c>
      <c r="AC167" s="364"/>
      <c r="AD167" s="364"/>
      <c r="AE167" s="364"/>
      <c r="AF167" s="327">
        <f>SUM(V167:V172)/($B$160-B166)</f>
        <v>0</v>
      </c>
      <c r="AG167" s="339">
        <f>SUM(D164:D167)+$C$163</f>
        <v>0</v>
      </c>
      <c r="AH167" s="339"/>
      <c r="AI167" s="185">
        <f t="shared" si="52"/>
        <v>74.852239100000006</v>
      </c>
      <c r="AJ167" s="330">
        <f t="shared" si="44"/>
        <v>0.96525514282827984</v>
      </c>
      <c r="AK167" s="187">
        <f t="shared" si="53"/>
        <v>186.5249063054722</v>
      </c>
      <c r="AL167" s="185">
        <f t="shared" si="45"/>
        <v>56.785051799999998</v>
      </c>
      <c r="AM167" s="331">
        <f t="shared" si="54"/>
        <v>0.83662142830740083</v>
      </c>
      <c r="AN167" s="189">
        <f t="shared" si="46"/>
        <v>147.93928585928998</v>
      </c>
      <c r="AO167" s="365"/>
      <c r="AP167" s="211">
        <f t="shared" si="61"/>
        <v>-45</v>
      </c>
      <c r="AQ167" s="333"/>
      <c r="AR167" s="333">
        <f t="shared" si="55"/>
        <v>334.46419216476215</v>
      </c>
      <c r="AS167" s="334">
        <f t="shared" ref="AS167:AS168" si="63">+V167-AN167</f>
        <v>-147.93928585928998</v>
      </c>
      <c r="AT167" s="334"/>
      <c r="AU167" s="334">
        <f t="shared" si="62"/>
        <v>147.93928585928998</v>
      </c>
      <c r="AV167" s="336">
        <f t="shared" si="56"/>
        <v>-25.095723190635077</v>
      </c>
      <c r="AW167" s="336">
        <f t="shared" si="57"/>
        <v>-19.904276809364923</v>
      </c>
      <c r="AX167" s="337">
        <f t="shared" si="47"/>
        <v>-318.77941668504474</v>
      </c>
      <c r="AY167" s="337">
        <f t="shared" si="58"/>
        <v>-221.05801894444156</v>
      </c>
      <c r="AZ167" s="340">
        <f t="shared" si="59"/>
        <v>318.77941668504474</v>
      </c>
      <c r="BA167" s="340">
        <f t="shared" si="59"/>
        <v>221.05801894444156</v>
      </c>
      <c r="BC167" s="77"/>
      <c r="BD167" s="77"/>
      <c r="CP167" s="667"/>
      <c r="CQ167" s="667"/>
      <c r="CR167" s="667"/>
      <c r="CS167" s="667"/>
      <c r="CT167" s="667"/>
      <c r="CU167" s="667"/>
      <c r="CV167" s="667"/>
      <c r="CW167" s="667"/>
      <c r="CX167" s="667"/>
      <c r="CY167" s="667"/>
      <c r="CZ167" s="667"/>
      <c r="DA167" s="667"/>
      <c r="DB167" s="667"/>
      <c r="DC167" s="667"/>
      <c r="DD167" s="667"/>
    </row>
    <row r="168" spans="2:112" ht="28.5" customHeight="1" thickBot="1" x14ac:dyDescent="0.35">
      <c r="B168" s="197">
        <v>6</v>
      </c>
      <c r="C168" s="198"/>
      <c r="D168" s="10">
        <v>0</v>
      </c>
      <c r="E168" s="812" t="s">
        <v>121</v>
      </c>
      <c r="F168" s="178"/>
      <c r="G168" s="178">
        <f t="shared" si="48"/>
        <v>0</v>
      </c>
      <c r="H168" s="179">
        <v>176.8294247</v>
      </c>
      <c r="I168" s="180">
        <v>66.429896499999998</v>
      </c>
      <c r="J168" s="361">
        <f t="shared" si="49"/>
        <v>66.429896499999998</v>
      </c>
      <c r="K168" s="361">
        <f t="shared" si="50"/>
        <v>33.214948249999999</v>
      </c>
      <c r="L168" s="361">
        <f t="shared" si="36"/>
        <v>0.54778151346749804</v>
      </c>
      <c r="M168" s="361">
        <f t="shared" si="37"/>
        <v>96.863889887752975</v>
      </c>
      <c r="N168" s="361">
        <f t="shared" si="38"/>
        <v>193.72777977550595</v>
      </c>
      <c r="O168" s="361">
        <f>+C163+D164+D165+D166+D167+(D168/2)</f>
        <v>0</v>
      </c>
      <c r="P168" s="361">
        <f t="shared" si="39"/>
        <v>0</v>
      </c>
      <c r="Q168" s="361">
        <f t="shared" si="40"/>
        <v>0</v>
      </c>
      <c r="R168" s="361">
        <f t="shared" si="51"/>
        <v>147.93928579999999</v>
      </c>
      <c r="S168" s="361">
        <f t="shared" si="60"/>
        <v>147.93928579999999</v>
      </c>
      <c r="T168" s="362">
        <f t="shared" si="41"/>
        <v>147.93928579999999</v>
      </c>
      <c r="V168" s="327">
        <f t="shared" si="42"/>
        <v>0</v>
      </c>
      <c r="W168" s="327"/>
      <c r="X168" s="327"/>
      <c r="Y168" s="327"/>
      <c r="Z168" s="327"/>
      <c r="AA168" s="327"/>
      <c r="AB168" s="363" t="str">
        <f t="shared" si="43"/>
        <v>use the ground stack hole</v>
      </c>
      <c r="AC168" s="364"/>
      <c r="AD168" s="364"/>
      <c r="AE168" s="364"/>
      <c r="AF168" s="327">
        <f>SUM(V168:V173)/($B$160-B167)</f>
        <v>0</v>
      </c>
      <c r="AG168" s="339">
        <f>SUM(D164:D168)+$C$163</f>
        <v>0</v>
      </c>
      <c r="AH168" s="339"/>
      <c r="AI168" s="185">
        <f t="shared" si="52"/>
        <v>74.852239100000006</v>
      </c>
      <c r="AJ168" s="330">
        <f t="shared" si="44"/>
        <v>0.96525514282827984</v>
      </c>
      <c r="AK168" s="187">
        <f t="shared" si="53"/>
        <v>186.5249063054722</v>
      </c>
      <c r="AL168" s="185">
        <f t="shared" si="45"/>
        <v>56.785051799999998</v>
      </c>
      <c r="AM168" s="331">
        <f t="shared" si="54"/>
        <v>0.83662142830740083</v>
      </c>
      <c r="AN168" s="189">
        <f t="shared" si="46"/>
        <v>147.93928585928998</v>
      </c>
      <c r="AO168" s="365"/>
      <c r="AP168" s="211">
        <f t="shared" si="61"/>
        <v>-60</v>
      </c>
      <c r="AQ168" s="333"/>
      <c r="AR168" s="333">
        <f t="shared" si="55"/>
        <v>334.46419216476215</v>
      </c>
      <c r="AS168" s="334">
        <f t="shared" si="63"/>
        <v>-147.93928585928998</v>
      </c>
      <c r="AT168" s="334"/>
      <c r="AU168" s="334">
        <f t="shared" si="62"/>
        <v>147.93928585928998</v>
      </c>
      <c r="AV168" s="336">
        <f t="shared" si="56"/>
        <v>-33.460964254180098</v>
      </c>
      <c r="AW168" s="336">
        <f t="shared" si="57"/>
        <v>-26.539035745819898</v>
      </c>
      <c r="AX168" s="337">
        <f t="shared" si="47"/>
        <v>-239.0845625137836</v>
      </c>
      <c r="AY168" s="337">
        <f t="shared" si="58"/>
        <v>-165.79351420833117</v>
      </c>
      <c r="AZ168" s="340">
        <f t="shared" si="59"/>
        <v>239.0845625137836</v>
      </c>
      <c r="BA168" s="340">
        <f t="shared" si="59"/>
        <v>165.79351420833117</v>
      </c>
      <c r="BC168" s="77"/>
      <c r="BD168" s="77"/>
      <c r="CP168" s="667"/>
      <c r="CQ168" s="667"/>
      <c r="CR168" s="667"/>
      <c r="CS168" s="667"/>
      <c r="CT168" s="667"/>
      <c r="CU168" s="667"/>
      <c r="CV168" s="667"/>
      <c r="CW168" s="667"/>
      <c r="CX168" s="667"/>
      <c r="CY168" s="667"/>
      <c r="CZ168" s="667"/>
      <c r="DA168" s="667"/>
      <c r="DB168" s="667"/>
      <c r="DC168" s="667"/>
      <c r="DD168" s="667"/>
    </row>
    <row r="169" spans="2:112" ht="28.5" customHeight="1" thickBot="1" x14ac:dyDescent="0.35">
      <c r="B169" s="197">
        <v>7</v>
      </c>
      <c r="C169" s="198"/>
      <c r="D169" s="10">
        <v>0</v>
      </c>
      <c r="E169" s="812" t="s">
        <v>121</v>
      </c>
      <c r="F169" s="178"/>
      <c r="G169" s="178">
        <f t="shared" ref="G169:G170" si="64">+D169+BB169</f>
        <v>0</v>
      </c>
      <c r="H169" s="179">
        <v>176.8294247</v>
      </c>
      <c r="I169" s="180">
        <v>66.429896499999998</v>
      </c>
      <c r="J169" s="361">
        <f t="shared" ref="J169:J170" si="65">+I169-D169</f>
        <v>66.429896499999998</v>
      </c>
      <c r="K169" s="361">
        <f t="shared" ref="K169:K170" si="66">+J169/2</f>
        <v>33.214948249999999</v>
      </c>
      <c r="L169" s="361">
        <f t="shared" ref="L169:L170" si="67">SIN(K169*3.14159265358979/180)</f>
        <v>0.54778151346749804</v>
      </c>
      <c r="M169" s="361">
        <f t="shared" ref="M169:M170" si="68">+L169*H169</f>
        <v>96.863889887752975</v>
      </c>
      <c r="N169" s="361">
        <f t="shared" ref="N169:N170" si="69">+M169*2</f>
        <v>193.72777977550595</v>
      </c>
      <c r="O169" s="361">
        <f>+C163+D165+D166+D167+D168+D164+(D169/2)</f>
        <v>0</v>
      </c>
      <c r="P169" s="361">
        <f t="shared" ref="P169:P170" si="70">SIN(O169*3.14159265358979/180)</f>
        <v>0</v>
      </c>
      <c r="Q169" s="361">
        <f t="shared" ref="Q169:Q170" si="71">+P169*N169</f>
        <v>0</v>
      </c>
      <c r="R169" s="361">
        <f t="shared" ref="R169:R170" si="72">+T168</f>
        <v>147.93928579999999</v>
      </c>
      <c r="S169" s="361">
        <f t="shared" ref="S169:S170" si="73">+S168+Q169</f>
        <v>147.93928579999999</v>
      </c>
      <c r="T169" s="362">
        <f t="shared" ref="T169:T170" si="74">+S169</f>
        <v>147.93928579999999</v>
      </c>
      <c r="V169" s="327">
        <f t="shared" ref="V169:V170" si="75">IF(B169&lt;($B$160+1),T169,0)</f>
        <v>0</v>
      </c>
      <c r="W169" s="327"/>
      <c r="X169" s="327"/>
      <c r="Y169" s="327"/>
      <c r="Z169" s="327"/>
      <c r="AA169" s="327"/>
      <c r="AB169" s="363" t="str">
        <f t="shared" si="43"/>
        <v>use the ground stack hole</v>
      </c>
      <c r="AC169" s="364"/>
      <c r="AD169" s="364"/>
      <c r="AE169" s="364"/>
      <c r="AF169" s="327">
        <f t="shared" ref="AF169:AF170" si="76">SUM(V169:V174)/($B$160-B168)</f>
        <v>0</v>
      </c>
      <c r="AG169" s="339">
        <f>SUM(D164:D169)+$C$163</f>
        <v>0</v>
      </c>
      <c r="AH169" s="339"/>
      <c r="AI169" s="185">
        <f t="shared" si="52"/>
        <v>74.852239100000006</v>
      </c>
      <c r="AJ169" s="330">
        <f t="shared" ref="AJ169:AJ170" si="77">SIN(AI169*3.14159265358979/180)</f>
        <v>0.96525514282827984</v>
      </c>
      <c r="AK169" s="187">
        <f t="shared" si="53"/>
        <v>186.5249063054722</v>
      </c>
      <c r="AL169" s="185">
        <f t="shared" si="45"/>
        <v>56.785051799999998</v>
      </c>
      <c r="AM169" s="331">
        <f t="shared" ref="AM169:AM170" si="78">SIN(AL169*3.14159265358979/180)</f>
        <v>0.83662142830740083</v>
      </c>
      <c r="AN169" s="189">
        <f t="shared" si="46"/>
        <v>147.93928585928998</v>
      </c>
      <c r="AO169" s="365"/>
      <c r="AP169" s="211">
        <f t="shared" si="61"/>
        <v>-75</v>
      </c>
      <c r="AQ169" s="333"/>
      <c r="AR169" s="333">
        <f t="shared" ref="AR169:AR170" si="79">+AN169+AK169</f>
        <v>334.46419216476215</v>
      </c>
      <c r="AS169" s="334">
        <f t="shared" ref="AS169:AS170" si="80">+V169-AN169</f>
        <v>-147.93928585928998</v>
      </c>
      <c r="AT169" s="334"/>
      <c r="AU169" s="334">
        <f t="shared" ref="AU169:AU170" si="81">+AF169-AS169</f>
        <v>147.93928585928998</v>
      </c>
      <c r="AV169" s="336">
        <f t="shared" ref="AV169:AV170" si="82">+((AR169-AU169)/AR169)*AP169</f>
        <v>-41.826205317725126</v>
      </c>
      <c r="AW169" s="336">
        <f t="shared" ref="AW169:AW170" si="83">+(AU169/AR169)*AP169</f>
        <v>-33.173794682274874</v>
      </c>
      <c r="AX169" s="337">
        <f t="shared" si="47"/>
        <v>-191.26765001102686</v>
      </c>
      <c r="AY169" s="337">
        <f t="shared" si="58"/>
        <v>-132.63481136666493</v>
      </c>
      <c r="AZ169" s="340">
        <f t="shared" ref="AZ169:AZ170" si="84">ABS(AX169)</f>
        <v>191.26765001102686</v>
      </c>
      <c r="BA169" s="340">
        <f t="shared" ref="BA169:BA170" si="85">ABS(AY169)</f>
        <v>132.63481136666493</v>
      </c>
      <c r="CP169" s="667"/>
      <c r="CQ169" s="667"/>
      <c r="CR169" s="667"/>
      <c r="CS169" s="667"/>
      <c r="CT169" s="667"/>
      <c r="CU169" s="667"/>
      <c r="CV169" s="667"/>
      <c r="CW169" s="667"/>
      <c r="CX169" s="667"/>
      <c r="CY169" s="667"/>
      <c r="CZ169" s="667"/>
      <c r="DA169" s="667"/>
      <c r="DB169" s="667"/>
      <c r="DC169" s="667"/>
      <c r="DD169" s="667"/>
    </row>
    <row r="170" spans="2:112" ht="28.5" customHeight="1" thickBot="1" x14ac:dyDescent="0.55000000000000004">
      <c r="B170" s="197">
        <v>8</v>
      </c>
      <c r="C170" s="198"/>
      <c r="D170" s="10">
        <v>0</v>
      </c>
      <c r="E170" s="812" t="s">
        <v>121</v>
      </c>
      <c r="F170" s="178"/>
      <c r="G170" s="178">
        <f t="shared" si="64"/>
        <v>0</v>
      </c>
      <c r="H170" s="179">
        <v>176.8294247</v>
      </c>
      <c r="I170" s="180">
        <v>66.429896499999998</v>
      </c>
      <c r="J170" s="361">
        <f t="shared" si="65"/>
        <v>66.429896499999998</v>
      </c>
      <c r="K170" s="361">
        <f t="shared" si="66"/>
        <v>33.214948249999999</v>
      </c>
      <c r="L170" s="361">
        <f t="shared" si="67"/>
        <v>0.54778151346749804</v>
      </c>
      <c r="M170" s="361">
        <f t="shared" si="68"/>
        <v>96.863889887752975</v>
      </c>
      <c r="N170" s="361">
        <f t="shared" si="69"/>
        <v>193.72777977550595</v>
      </c>
      <c r="O170" s="361">
        <f>+C163+D166+D167+D168+D169+D165+D164+(D170/2)</f>
        <v>0</v>
      </c>
      <c r="P170" s="361">
        <f t="shared" si="70"/>
        <v>0</v>
      </c>
      <c r="Q170" s="361">
        <f t="shared" si="71"/>
        <v>0</v>
      </c>
      <c r="R170" s="361">
        <f t="shared" si="72"/>
        <v>147.93928579999999</v>
      </c>
      <c r="S170" s="361">
        <f t="shared" si="73"/>
        <v>147.93928579999999</v>
      </c>
      <c r="T170" s="362">
        <f t="shared" si="74"/>
        <v>147.93928579999999</v>
      </c>
      <c r="V170" s="327">
        <f t="shared" si="75"/>
        <v>0</v>
      </c>
      <c r="W170" s="327"/>
      <c r="X170" s="327"/>
      <c r="Y170" s="327"/>
      <c r="Z170" s="327"/>
      <c r="AA170" s="327"/>
      <c r="AB170" s="363" t="str">
        <f t="shared" si="43"/>
        <v>use the ground stack hole</v>
      </c>
      <c r="AC170" s="364"/>
      <c r="AD170" s="364"/>
      <c r="AE170" s="364"/>
      <c r="AF170" s="327">
        <f t="shared" si="76"/>
        <v>0</v>
      </c>
      <c r="AG170" s="339">
        <f>SUM(D164:D170)+$C$163</f>
        <v>0</v>
      </c>
      <c r="AH170" s="339"/>
      <c r="AI170" s="185">
        <f t="shared" si="52"/>
        <v>74.852239100000006</v>
      </c>
      <c r="AJ170" s="330">
        <f t="shared" si="77"/>
        <v>0.96525514282827984</v>
      </c>
      <c r="AK170" s="187">
        <f t="shared" si="53"/>
        <v>186.5249063054722</v>
      </c>
      <c r="AL170" s="185">
        <f t="shared" si="45"/>
        <v>56.785051799999998</v>
      </c>
      <c r="AM170" s="331">
        <f t="shared" si="78"/>
        <v>0.83662142830740083</v>
      </c>
      <c r="AN170" s="189">
        <f t="shared" si="46"/>
        <v>147.93928585928998</v>
      </c>
      <c r="AO170" s="365"/>
      <c r="AP170" s="211">
        <f t="shared" si="61"/>
        <v>-90</v>
      </c>
      <c r="AQ170" s="333"/>
      <c r="AR170" s="333">
        <f t="shared" si="79"/>
        <v>334.46419216476215</v>
      </c>
      <c r="AS170" s="334">
        <f t="shared" si="80"/>
        <v>-147.93928585928998</v>
      </c>
      <c r="AT170" s="334"/>
      <c r="AU170" s="334">
        <f t="shared" si="81"/>
        <v>147.93928585928998</v>
      </c>
      <c r="AV170" s="336">
        <f t="shared" si="82"/>
        <v>-50.191446381270154</v>
      </c>
      <c r="AW170" s="336">
        <f t="shared" si="83"/>
        <v>-39.808553618729846</v>
      </c>
      <c r="AX170" s="337">
        <f t="shared" si="47"/>
        <v>-159.38970834252237</v>
      </c>
      <c r="AY170" s="337">
        <f t="shared" si="58"/>
        <v>-110.52900947222078</v>
      </c>
      <c r="AZ170" s="340">
        <f t="shared" si="84"/>
        <v>159.38970834252237</v>
      </c>
      <c r="BA170" s="340">
        <f t="shared" si="85"/>
        <v>110.52900947222078</v>
      </c>
      <c r="BJ170" s="749"/>
      <c r="BK170" s="135"/>
      <c r="BL170" s="135"/>
      <c r="CP170" s="667"/>
      <c r="CQ170" s="667"/>
      <c r="CR170" s="667"/>
      <c r="CS170" s="667"/>
      <c r="CT170" s="667"/>
      <c r="CU170" s="667"/>
      <c r="CV170" s="667"/>
      <c r="CW170" s="667"/>
      <c r="CX170" s="667"/>
      <c r="CY170" s="667"/>
      <c r="CZ170" s="667"/>
      <c r="DA170" s="667"/>
      <c r="DB170" s="667"/>
      <c r="DC170" s="667"/>
      <c r="DD170" s="667"/>
    </row>
    <row r="171" spans="2:112" ht="28.5" customHeight="1" thickBot="1" x14ac:dyDescent="0.55000000000000004">
      <c r="B171" s="197">
        <v>9</v>
      </c>
      <c r="C171" s="198"/>
      <c r="D171" s="10">
        <v>0</v>
      </c>
      <c r="E171" s="812" t="s">
        <v>121</v>
      </c>
      <c r="F171" s="178"/>
      <c r="G171" s="178">
        <f t="shared" ref="G171" si="86">+D171+BB171</f>
        <v>0</v>
      </c>
      <c r="H171" s="179">
        <v>176.8294247</v>
      </c>
      <c r="I171" s="180">
        <v>66.429896499999998</v>
      </c>
      <c r="J171" s="361">
        <f t="shared" ref="J171" si="87">+I171-D171</f>
        <v>66.429896499999998</v>
      </c>
      <c r="K171" s="361">
        <f t="shared" ref="K171" si="88">+J171/2</f>
        <v>33.214948249999999</v>
      </c>
      <c r="L171" s="361">
        <f t="shared" ref="L171" si="89">SIN(K171*3.14159265358979/180)</f>
        <v>0.54778151346749804</v>
      </c>
      <c r="M171" s="361">
        <f t="shared" ref="M171" si="90">+L171*H171</f>
        <v>96.863889887752975</v>
      </c>
      <c r="N171" s="361">
        <f t="shared" ref="N171" si="91">+M171*2</f>
        <v>193.72777977550595</v>
      </c>
      <c r="O171" s="361">
        <f>+C163+D166+D167+D168+D169+D165+D164+D170+(D171/2)</f>
        <v>0</v>
      </c>
      <c r="P171" s="361">
        <f t="shared" ref="P171" si="92">SIN(O171*3.14159265358979/180)</f>
        <v>0</v>
      </c>
      <c r="Q171" s="361">
        <f t="shared" ref="Q171" si="93">+P171*N171</f>
        <v>0</v>
      </c>
      <c r="R171" s="361">
        <f t="shared" ref="R171" si="94">+T170</f>
        <v>147.93928579999999</v>
      </c>
      <c r="S171" s="361">
        <f t="shared" ref="S171" si="95">+S170+Q171</f>
        <v>147.93928579999999</v>
      </c>
      <c r="T171" s="362">
        <f t="shared" ref="T171" si="96">+S171</f>
        <v>147.93928579999999</v>
      </c>
      <c r="V171" s="327">
        <f t="shared" ref="V171" si="97">IF(B171&lt;($B$160+1),T171,0)</f>
        <v>0</v>
      </c>
      <c r="W171" s="327"/>
      <c r="X171" s="327"/>
      <c r="Y171" s="327"/>
      <c r="Z171" s="327"/>
      <c r="AA171" s="327"/>
      <c r="AB171" s="363" t="str">
        <f t="shared" ref="AB171" si="98">IF(AY171&lt;0,"use the ground stack hole"," ")</f>
        <v>use the ground stack hole</v>
      </c>
      <c r="AC171" s="364"/>
      <c r="AD171" s="364"/>
      <c r="AE171" s="364"/>
      <c r="AF171" s="327">
        <f t="shared" ref="AF171" si="99">SUM(V171:V176)/($B$160-B170)</f>
        <v>0</v>
      </c>
      <c r="AG171" s="339">
        <f>SUM(D164:D171)+$C$163</f>
        <v>0</v>
      </c>
      <c r="AH171" s="339"/>
      <c r="AI171" s="185">
        <f t="shared" ref="AI171" si="100">74.8522391-AG171</f>
        <v>74.852239100000006</v>
      </c>
      <c r="AJ171" s="330">
        <f t="shared" ref="AJ171" si="101">SIN(AI171*3.14159265358979/180)</f>
        <v>0.96525514282827984</v>
      </c>
      <c r="AK171" s="187">
        <f t="shared" ref="AK171" si="102">+AJ171*193.2389666</f>
        <v>186.5249063054722</v>
      </c>
      <c r="AL171" s="185">
        <f t="shared" ref="AL171" si="103">56.7850518+AG171</f>
        <v>56.785051799999998</v>
      </c>
      <c r="AM171" s="331">
        <f t="shared" ref="AM171" si="104">SIN(AL171*3.14159265358979/180)</f>
        <v>0.83662142830740083</v>
      </c>
      <c r="AN171" s="189">
        <f t="shared" ref="AN171" si="105">+AM171*176.8294247</f>
        <v>147.93928585928998</v>
      </c>
      <c r="AO171" s="365"/>
      <c r="AP171" s="211">
        <f t="shared" ref="AP171" si="106">15*($B$160-B170)</f>
        <v>-105</v>
      </c>
      <c r="AQ171" s="333"/>
      <c r="AR171" s="333">
        <f t="shared" ref="AR171" si="107">+AN171+AK171</f>
        <v>334.46419216476215</v>
      </c>
      <c r="AS171" s="334">
        <f t="shared" ref="AS171" si="108">+V171-AN171</f>
        <v>-147.93928585928998</v>
      </c>
      <c r="AT171" s="334"/>
      <c r="AU171" s="334">
        <f t="shared" ref="AU171" si="109">+AF171-AS171</f>
        <v>147.93928585928998</v>
      </c>
      <c r="AV171" s="336">
        <f t="shared" ref="AV171" si="110">+((AR171-AU171)/AR171)*AP171</f>
        <v>-58.556687444815175</v>
      </c>
      <c r="AW171" s="336">
        <f t="shared" ref="AW171" si="111">+(AU171/AR171)*AP171</f>
        <v>-46.443312555184825</v>
      </c>
      <c r="AX171" s="337">
        <f t="shared" ref="AX171" si="112">2*$C$17/AV171</f>
        <v>-136.61975000787632</v>
      </c>
      <c r="AY171" s="337">
        <f t="shared" ref="AY171" si="113">$D$17/AW171</f>
        <v>-94.739150976189237</v>
      </c>
      <c r="AZ171" s="340">
        <f t="shared" ref="AZ171" si="114">ABS(AX171)</f>
        <v>136.61975000787632</v>
      </c>
      <c r="BA171" s="340">
        <f t="shared" ref="BA171" si="115">ABS(AY171)</f>
        <v>94.739150976189237</v>
      </c>
      <c r="BJ171" s="749"/>
      <c r="BK171" s="135"/>
      <c r="BL171" s="135"/>
      <c r="CP171" s="667"/>
      <c r="CQ171" s="667"/>
      <c r="CR171" s="667"/>
      <c r="CS171" s="667"/>
      <c r="CT171" s="667"/>
      <c r="CU171" s="667"/>
      <c r="CV171" s="667"/>
      <c r="CW171" s="667"/>
      <c r="CX171" s="667"/>
      <c r="CY171" s="667"/>
      <c r="CZ171" s="667"/>
      <c r="DA171" s="667"/>
      <c r="DB171" s="667"/>
      <c r="DC171" s="667"/>
      <c r="DD171" s="667"/>
    </row>
    <row r="172" spans="2:112" ht="34" x14ac:dyDescent="0.5">
      <c r="BJ172" s="749"/>
      <c r="BK172" s="135"/>
      <c r="BL172" s="135"/>
      <c r="CP172" s="667"/>
      <c r="CQ172" s="667"/>
      <c r="CR172" s="667"/>
      <c r="CS172" s="667"/>
      <c r="CT172" s="667"/>
      <c r="CU172" s="667"/>
      <c r="CV172" s="667"/>
      <c r="CW172" s="667"/>
      <c r="CX172" s="667"/>
      <c r="CY172" s="667"/>
      <c r="CZ172" s="667"/>
      <c r="DA172" s="667"/>
      <c r="DB172" s="667"/>
      <c r="DC172" s="667"/>
      <c r="DD172" s="667"/>
    </row>
    <row r="173" spans="2:112" ht="34" hidden="1" x14ac:dyDescent="0.5">
      <c r="BJ173" s="749"/>
      <c r="BK173" s="135"/>
      <c r="BL173" s="135"/>
      <c r="CP173" s="667"/>
      <c r="CQ173" s="667"/>
      <c r="CR173" s="667"/>
      <c r="CS173" s="667"/>
      <c r="CT173" s="667"/>
      <c r="CU173" s="667"/>
      <c r="CV173" s="667"/>
      <c r="CW173" s="667"/>
      <c r="CX173" s="667"/>
      <c r="CY173" s="667"/>
      <c r="CZ173" s="667"/>
      <c r="DA173" s="667"/>
      <c r="DB173" s="667"/>
      <c r="DC173" s="667"/>
      <c r="DD173" s="667"/>
    </row>
    <row r="174" spans="2:112" ht="35" hidden="1" thickBot="1" x14ac:dyDescent="0.55000000000000004">
      <c r="BJ174" s="749"/>
      <c r="BK174" s="135"/>
      <c r="BL174" s="135"/>
      <c r="CP174" s="667"/>
      <c r="CQ174" s="667"/>
      <c r="CR174" s="667"/>
      <c r="CS174" s="667"/>
      <c r="CT174" s="667"/>
      <c r="CU174" s="667"/>
      <c r="CV174" s="667"/>
      <c r="CW174" s="667"/>
      <c r="CX174" s="667"/>
      <c r="CY174" s="667"/>
      <c r="CZ174" s="667"/>
      <c r="DA174" s="667"/>
      <c r="DB174" s="667"/>
      <c r="DC174" s="667"/>
      <c r="DD174" s="667"/>
    </row>
    <row r="175" spans="2:112" ht="35" hidden="1" thickBot="1" x14ac:dyDescent="0.55000000000000004">
      <c r="BJ175" s="749"/>
      <c r="BK175" s="135"/>
      <c r="BL175" s="135"/>
      <c r="CD175" s="670"/>
      <c r="CE175" s="671"/>
      <c r="CF175" s="672" t="s">
        <v>79</v>
      </c>
      <c r="CG175" s="671"/>
      <c r="CH175" s="671"/>
      <c r="CI175" s="671"/>
      <c r="CJ175" s="671"/>
      <c r="CK175" s="673"/>
      <c r="CP175" s="667"/>
      <c r="CQ175" s="667"/>
      <c r="CR175" s="667"/>
      <c r="CS175" s="667"/>
      <c r="CT175" s="667"/>
      <c r="CU175" s="667"/>
      <c r="CV175" s="667"/>
      <c r="CW175" s="667"/>
      <c r="CX175" s="667"/>
      <c r="CY175" s="667"/>
      <c r="CZ175" s="667"/>
      <c r="DA175" s="667"/>
      <c r="DB175" s="667"/>
      <c r="DC175" s="667"/>
      <c r="DD175" s="667"/>
    </row>
    <row r="176" spans="2:112" ht="35" hidden="1" thickBot="1" x14ac:dyDescent="0.55000000000000004">
      <c r="BJ176" s="749"/>
      <c r="BK176" s="135"/>
      <c r="BL176" s="135"/>
      <c r="CD176" s="564">
        <v>1</v>
      </c>
      <c r="CE176" s="674">
        <v>-308</v>
      </c>
      <c r="CF176" s="675">
        <f>+COS(($B$136*-1)*3.14159265358979/180)*CE176</f>
        <v>-308</v>
      </c>
      <c r="CG176" s="636">
        <f t="shared" ref="CG176:CG216" si="116">+CF176-D$3</f>
        <v>-515.61662355000055</v>
      </c>
      <c r="CH176" s="632">
        <f t="shared" ref="CH176:CH216" si="117">ABS(CG176)</f>
        <v>515.61662355000055</v>
      </c>
      <c r="CI176" s="220">
        <f>MIN(CH176:CH216)</f>
        <v>11.616623550000526</v>
      </c>
      <c r="CJ176" s="219" t="b">
        <f t="shared" ref="CJ176:CJ216" si="118">IF(CI176=CH176,CD176)</f>
        <v>0</v>
      </c>
      <c r="CK176" s="565">
        <v>1</v>
      </c>
      <c r="CP176" s="667"/>
      <c r="CQ176" s="667"/>
      <c r="CR176" s="667"/>
      <c r="CS176" s="667"/>
      <c r="CT176" s="667"/>
      <c r="CU176" s="667"/>
      <c r="CV176" s="667"/>
      <c r="CW176" s="667"/>
      <c r="CX176" s="667"/>
      <c r="CY176" s="667"/>
      <c r="CZ176" s="667"/>
      <c r="DA176" s="667"/>
      <c r="DB176" s="667"/>
      <c r="DC176" s="667"/>
      <c r="DD176" s="667"/>
    </row>
    <row r="177" spans="57:132" ht="35" hidden="1" thickBot="1" x14ac:dyDescent="0.55000000000000004">
      <c r="BJ177" s="749"/>
      <c r="BK177" s="135"/>
      <c r="BL177" s="135"/>
      <c r="CD177" s="564">
        <v>2</v>
      </c>
      <c r="CE177" s="674">
        <f t="shared" ref="CE177:CE216" si="119">+CE176+28</f>
        <v>-280</v>
      </c>
      <c r="CF177" s="605">
        <f t="shared" ref="CF177:CF216" si="120">+CF176+$E$2</f>
        <v>-280</v>
      </c>
      <c r="CG177" s="636">
        <f t="shared" si="116"/>
        <v>-487.61662355000055</v>
      </c>
      <c r="CH177" s="219">
        <f t="shared" si="117"/>
        <v>487.61662355000055</v>
      </c>
      <c r="CI177" s="219">
        <f t="shared" ref="CI177:CI216" si="121">+CI176</f>
        <v>11.616623550000526</v>
      </c>
      <c r="CJ177" s="219" t="b">
        <f t="shared" si="118"/>
        <v>0</v>
      </c>
      <c r="CK177" s="565">
        <v>2</v>
      </c>
      <c r="CP177" s="667"/>
      <c r="CQ177" s="667"/>
      <c r="CR177" s="667"/>
      <c r="CS177" s="667"/>
      <c r="CT177" s="667"/>
      <c r="CU177" s="667"/>
      <c r="CV177" s="667"/>
      <c r="CW177" s="667"/>
      <c r="CX177" s="667"/>
      <c r="CY177" s="667"/>
      <c r="CZ177" s="667"/>
      <c r="DA177" s="667"/>
      <c r="DB177" s="667"/>
      <c r="DC177" s="667"/>
      <c r="DD177" s="667"/>
    </row>
    <row r="178" spans="57:132" ht="35" hidden="1" thickBot="1" x14ac:dyDescent="0.55000000000000004">
      <c r="BJ178" s="749"/>
      <c r="BK178" s="135"/>
      <c r="BL178" s="135"/>
      <c r="CD178" s="564">
        <v>3</v>
      </c>
      <c r="CE178" s="674">
        <f t="shared" si="119"/>
        <v>-252</v>
      </c>
      <c r="CF178" s="605">
        <f t="shared" si="120"/>
        <v>-252</v>
      </c>
      <c r="CG178" s="636">
        <f t="shared" si="116"/>
        <v>-459.61662355000055</v>
      </c>
      <c r="CH178" s="219">
        <f t="shared" si="117"/>
        <v>459.61662355000055</v>
      </c>
      <c r="CI178" s="219">
        <f t="shared" si="121"/>
        <v>11.616623550000526</v>
      </c>
      <c r="CJ178" s="219" t="b">
        <f t="shared" si="118"/>
        <v>0</v>
      </c>
      <c r="CK178" s="565">
        <v>3</v>
      </c>
      <c r="CP178" s="667"/>
      <c r="CQ178" s="667"/>
      <c r="CR178" s="667"/>
      <c r="CS178" s="667"/>
      <c r="CT178" s="667"/>
      <c r="CU178" s="667"/>
      <c r="CV178" s="667"/>
      <c r="CW178" s="667"/>
      <c r="CX178" s="667"/>
      <c r="CY178" s="667"/>
      <c r="CZ178" s="667"/>
      <c r="DA178" s="667"/>
      <c r="DB178" s="667"/>
      <c r="DC178" s="667"/>
      <c r="DD178" s="667"/>
    </row>
    <row r="179" spans="57:132" ht="35" hidden="1" thickBot="1" x14ac:dyDescent="0.55000000000000004">
      <c r="BJ179" s="749"/>
      <c r="BK179" s="135"/>
      <c r="BL179" s="135"/>
      <c r="CD179" s="564">
        <v>4</v>
      </c>
      <c r="CE179" s="674">
        <f t="shared" si="119"/>
        <v>-224</v>
      </c>
      <c r="CF179" s="605">
        <f t="shared" si="120"/>
        <v>-224</v>
      </c>
      <c r="CG179" s="636">
        <f t="shared" si="116"/>
        <v>-431.61662355000055</v>
      </c>
      <c r="CH179" s="219">
        <f t="shared" si="117"/>
        <v>431.61662355000055</v>
      </c>
      <c r="CI179" s="219">
        <f t="shared" si="121"/>
        <v>11.616623550000526</v>
      </c>
      <c r="CJ179" s="219" t="b">
        <f t="shared" si="118"/>
        <v>0</v>
      </c>
      <c r="CK179" s="565">
        <v>4</v>
      </c>
      <c r="CP179" s="667"/>
      <c r="CQ179" s="667"/>
      <c r="CR179" s="667"/>
      <c r="CS179" s="667"/>
      <c r="CT179" s="667"/>
      <c r="CU179" s="667"/>
      <c r="CV179" s="667"/>
      <c r="CW179" s="667"/>
      <c r="CX179" s="667"/>
      <c r="CY179" s="667"/>
      <c r="CZ179" s="667"/>
      <c r="DA179" s="667"/>
      <c r="DB179" s="667"/>
      <c r="DC179" s="667"/>
      <c r="DD179" s="667"/>
    </row>
    <row r="180" spans="57:132" ht="35" hidden="1" thickBot="1" x14ac:dyDescent="0.55000000000000004">
      <c r="BJ180" s="749"/>
      <c r="BK180" s="135"/>
      <c r="BL180" s="135"/>
      <c r="CD180" s="564">
        <v>5</v>
      </c>
      <c r="CE180" s="674">
        <f t="shared" si="119"/>
        <v>-196</v>
      </c>
      <c r="CF180" s="605">
        <f t="shared" si="120"/>
        <v>-196</v>
      </c>
      <c r="CG180" s="636">
        <f t="shared" si="116"/>
        <v>-403.61662355000055</v>
      </c>
      <c r="CH180" s="219">
        <f t="shared" si="117"/>
        <v>403.61662355000055</v>
      </c>
      <c r="CI180" s="219">
        <f t="shared" si="121"/>
        <v>11.616623550000526</v>
      </c>
      <c r="CJ180" s="219" t="b">
        <f t="shared" si="118"/>
        <v>0</v>
      </c>
      <c r="CK180" s="565">
        <v>5</v>
      </c>
      <c r="CP180" s="667"/>
      <c r="CQ180" s="667"/>
      <c r="CR180" s="667"/>
      <c r="CS180" s="667"/>
      <c r="CT180" s="667"/>
      <c r="CU180" s="667"/>
      <c r="CV180" s="667"/>
      <c r="CW180" s="667"/>
      <c r="CX180" s="667"/>
      <c r="CY180" s="667"/>
      <c r="CZ180" s="667"/>
      <c r="DA180" s="667"/>
      <c r="DB180" s="667"/>
      <c r="DC180" s="667"/>
      <c r="DD180" s="667"/>
    </row>
    <row r="181" spans="57:132" ht="35" hidden="1" thickBot="1" x14ac:dyDescent="0.55000000000000004">
      <c r="BJ181" s="749"/>
      <c r="BK181" s="135"/>
      <c r="BL181" s="135"/>
      <c r="CD181" s="564">
        <v>6</v>
      </c>
      <c r="CE181" s="674">
        <f t="shared" si="119"/>
        <v>-168</v>
      </c>
      <c r="CF181" s="605">
        <f t="shared" si="120"/>
        <v>-168</v>
      </c>
      <c r="CG181" s="636">
        <f t="shared" si="116"/>
        <v>-375.61662355000055</v>
      </c>
      <c r="CH181" s="219">
        <f t="shared" si="117"/>
        <v>375.61662355000055</v>
      </c>
      <c r="CI181" s="219">
        <f t="shared" si="121"/>
        <v>11.616623550000526</v>
      </c>
      <c r="CJ181" s="219" t="b">
        <f t="shared" si="118"/>
        <v>0</v>
      </c>
      <c r="CK181" s="565">
        <v>6</v>
      </c>
      <c r="CP181" s="667"/>
      <c r="CQ181" s="667"/>
      <c r="CR181" s="667"/>
      <c r="CS181" s="667"/>
      <c r="CT181" s="667"/>
      <c r="CU181" s="667"/>
      <c r="CV181" s="667"/>
      <c r="CW181" s="667"/>
      <c r="CX181" s="667"/>
      <c r="CY181" s="667"/>
      <c r="CZ181" s="667"/>
      <c r="DA181" s="667"/>
      <c r="DB181" s="667"/>
      <c r="DC181" s="667"/>
      <c r="DD181" s="667"/>
      <c r="DI181" s="221"/>
      <c r="DJ181" s="221"/>
      <c r="DK181" s="221"/>
      <c r="DL181" s="221"/>
      <c r="DM181" s="221"/>
      <c r="DN181" s="221"/>
      <c r="DO181" s="999"/>
      <c r="DP181" s="999"/>
      <c r="DQ181" s="999"/>
      <c r="DR181" s="77"/>
    </row>
    <row r="182" spans="57:132" ht="35" hidden="1" thickBot="1" x14ac:dyDescent="0.55000000000000004">
      <c r="BJ182" s="749"/>
      <c r="BK182" s="135"/>
      <c r="BL182" s="135"/>
      <c r="CD182" s="564">
        <v>7</v>
      </c>
      <c r="CE182" s="674">
        <f t="shared" si="119"/>
        <v>-140</v>
      </c>
      <c r="CF182" s="605">
        <f t="shared" si="120"/>
        <v>-140</v>
      </c>
      <c r="CG182" s="636">
        <f t="shared" si="116"/>
        <v>-347.61662355000055</v>
      </c>
      <c r="CH182" s="219">
        <f t="shared" si="117"/>
        <v>347.61662355000055</v>
      </c>
      <c r="CI182" s="219">
        <f t="shared" si="121"/>
        <v>11.616623550000526</v>
      </c>
      <c r="CJ182" s="219" t="b">
        <f t="shared" si="118"/>
        <v>0</v>
      </c>
      <c r="CK182" s="565">
        <v>7</v>
      </c>
      <c r="CP182" s="667"/>
      <c r="CQ182" s="667"/>
      <c r="CR182" s="667"/>
      <c r="CS182" s="667"/>
      <c r="CT182" s="667"/>
      <c r="CU182" s="667"/>
      <c r="CV182" s="667"/>
      <c r="CW182" s="667"/>
      <c r="CX182" s="667"/>
      <c r="CY182" s="667"/>
      <c r="CZ182" s="667"/>
      <c r="DA182" s="667"/>
      <c r="DB182" s="667"/>
      <c r="DC182" s="667"/>
      <c r="DD182" s="667"/>
      <c r="DO182" s="222"/>
      <c r="EB182" s="222"/>
    </row>
    <row r="183" spans="57:132" ht="35" hidden="1" thickBot="1" x14ac:dyDescent="0.55000000000000004">
      <c r="BJ183" s="749"/>
      <c r="BK183" s="135"/>
      <c r="BL183" s="135"/>
      <c r="CD183" s="564">
        <v>8</v>
      </c>
      <c r="CE183" s="674">
        <f t="shared" si="119"/>
        <v>-112</v>
      </c>
      <c r="CF183" s="605">
        <f t="shared" si="120"/>
        <v>-112</v>
      </c>
      <c r="CG183" s="636">
        <f t="shared" si="116"/>
        <v>-319.61662355000055</v>
      </c>
      <c r="CH183" s="219">
        <f t="shared" si="117"/>
        <v>319.61662355000055</v>
      </c>
      <c r="CI183" s="219">
        <f t="shared" si="121"/>
        <v>11.616623550000526</v>
      </c>
      <c r="CJ183" s="219" t="b">
        <f t="shared" si="118"/>
        <v>0</v>
      </c>
      <c r="CK183" s="565">
        <v>8</v>
      </c>
      <c r="CL183" s="667"/>
      <c r="CM183" s="667"/>
      <c r="CN183" s="667"/>
      <c r="CP183" s="667"/>
      <c r="CQ183" s="667"/>
      <c r="CR183" s="667"/>
      <c r="CS183" s="667"/>
      <c r="CT183" s="667"/>
      <c r="CU183" s="667"/>
      <c r="CV183" s="667"/>
      <c r="CW183" s="667"/>
      <c r="CX183" s="667"/>
      <c r="CY183" s="667"/>
      <c r="CZ183" s="667"/>
      <c r="DA183" s="667"/>
      <c r="DB183" s="667"/>
      <c r="DC183" s="667"/>
      <c r="DD183" s="667"/>
      <c r="DI183" s="223"/>
      <c r="DJ183" s="223"/>
      <c r="DK183" s="223"/>
      <c r="DL183" s="223"/>
      <c r="DM183" s="223"/>
      <c r="DN183" s="223"/>
      <c r="DO183" s="1000"/>
      <c r="DP183" s="1000"/>
      <c r="EA183" s="994"/>
      <c r="EB183" s="994"/>
    </row>
    <row r="184" spans="57:132" ht="29" hidden="1" thickBot="1" x14ac:dyDescent="0.35">
      <c r="CD184" s="564">
        <v>9</v>
      </c>
      <c r="CE184" s="674">
        <f t="shared" si="119"/>
        <v>-84</v>
      </c>
      <c r="CF184" s="605">
        <f t="shared" si="120"/>
        <v>-84</v>
      </c>
      <c r="CG184" s="636">
        <f t="shared" si="116"/>
        <v>-291.61662355000055</v>
      </c>
      <c r="CH184" s="219">
        <f t="shared" si="117"/>
        <v>291.61662355000055</v>
      </c>
      <c r="CI184" s="219">
        <f t="shared" si="121"/>
        <v>11.616623550000526</v>
      </c>
      <c r="CJ184" s="219" t="b">
        <f t="shared" si="118"/>
        <v>0</v>
      </c>
      <c r="CK184" s="565">
        <v>9</v>
      </c>
      <c r="CP184" s="667"/>
      <c r="CQ184" s="667"/>
      <c r="CR184" s="667"/>
      <c r="CS184" s="667"/>
      <c r="CT184" s="667"/>
      <c r="CU184" s="667"/>
      <c r="CV184" s="667"/>
      <c r="CW184" s="667"/>
      <c r="CX184" s="667"/>
      <c r="CY184" s="667"/>
      <c r="CZ184" s="667"/>
      <c r="DA184" s="667"/>
      <c r="DB184" s="667"/>
      <c r="DC184" s="667"/>
      <c r="DD184" s="667"/>
    </row>
    <row r="185" spans="57:132" ht="29" hidden="1" thickBot="1" x14ac:dyDescent="0.35">
      <c r="CD185" s="564">
        <v>10</v>
      </c>
      <c r="CE185" s="674">
        <f t="shared" si="119"/>
        <v>-56</v>
      </c>
      <c r="CF185" s="605">
        <f t="shared" si="120"/>
        <v>-56</v>
      </c>
      <c r="CG185" s="636">
        <f t="shared" si="116"/>
        <v>-263.61662355000055</v>
      </c>
      <c r="CH185" s="219">
        <f t="shared" si="117"/>
        <v>263.61662355000055</v>
      </c>
      <c r="CI185" s="219">
        <f t="shared" si="121"/>
        <v>11.616623550000526</v>
      </c>
      <c r="CJ185" s="219" t="b">
        <f t="shared" si="118"/>
        <v>0</v>
      </c>
      <c r="CK185" s="565">
        <v>10</v>
      </c>
      <c r="CP185" s="667"/>
      <c r="CQ185" s="667"/>
      <c r="CR185" s="667"/>
      <c r="CS185" s="667"/>
      <c r="CT185" s="667"/>
      <c r="CU185" s="667"/>
      <c r="CV185" s="667"/>
      <c r="CW185" s="667"/>
      <c r="CX185" s="667"/>
      <c r="CY185" s="667"/>
      <c r="CZ185" s="667"/>
      <c r="DA185" s="667"/>
      <c r="DB185" s="667"/>
      <c r="DC185" s="667"/>
      <c r="DD185" s="667"/>
    </row>
    <row r="186" spans="57:132" ht="29" hidden="1" thickBot="1" x14ac:dyDescent="0.35">
      <c r="CD186" s="564">
        <v>11</v>
      </c>
      <c r="CE186" s="674">
        <f t="shared" si="119"/>
        <v>-28</v>
      </c>
      <c r="CF186" s="605">
        <f t="shared" si="120"/>
        <v>-28</v>
      </c>
      <c r="CG186" s="636">
        <f t="shared" si="116"/>
        <v>-235.61662355000053</v>
      </c>
      <c r="CH186" s="219">
        <f t="shared" si="117"/>
        <v>235.61662355000053</v>
      </c>
      <c r="CI186" s="219">
        <f t="shared" si="121"/>
        <v>11.616623550000526</v>
      </c>
      <c r="CJ186" s="219" t="b">
        <f t="shared" si="118"/>
        <v>0</v>
      </c>
      <c r="CK186" s="565">
        <v>11</v>
      </c>
      <c r="CP186" s="667"/>
      <c r="CQ186" s="667"/>
      <c r="CR186" s="667"/>
      <c r="CS186" s="667"/>
      <c r="CT186" s="667"/>
      <c r="CU186" s="667"/>
      <c r="CV186" s="667"/>
      <c r="CW186" s="667"/>
      <c r="CX186" s="667"/>
      <c r="CY186" s="667"/>
      <c r="CZ186" s="667"/>
      <c r="DA186" s="667"/>
      <c r="DB186" s="667"/>
      <c r="DC186" s="667"/>
      <c r="DD186" s="667"/>
    </row>
    <row r="187" spans="57:132" ht="29" hidden="1" thickBot="1" x14ac:dyDescent="0.35">
      <c r="CD187" s="564">
        <v>12</v>
      </c>
      <c r="CE187" s="674">
        <f t="shared" si="119"/>
        <v>0</v>
      </c>
      <c r="CF187" s="605">
        <f t="shared" si="120"/>
        <v>0</v>
      </c>
      <c r="CG187" s="636">
        <f t="shared" si="116"/>
        <v>-207.61662355000053</v>
      </c>
      <c r="CH187" s="219">
        <f t="shared" si="117"/>
        <v>207.61662355000053</v>
      </c>
      <c r="CI187" s="219">
        <f t="shared" si="121"/>
        <v>11.616623550000526</v>
      </c>
      <c r="CJ187" s="219" t="b">
        <f t="shared" si="118"/>
        <v>0</v>
      </c>
      <c r="CK187" s="565">
        <v>12</v>
      </c>
    </row>
    <row r="188" spans="57:132" ht="29" hidden="1" thickBot="1" x14ac:dyDescent="0.35">
      <c r="CD188" s="564">
        <v>13</v>
      </c>
      <c r="CE188" s="674">
        <f t="shared" si="119"/>
        <v>28</v>
      </c>
      <c r="CF188" s="605">
        <f t="shared" si="120"/>
        <v>28</v>
      </c>
      <c r="CG188" s="636">
        <f t="shared" si="116"/>
        <v>-179.61662355000053</v>
      </c>
      <c r="CH188" s="219">
        <f t="shared" si="117"/>
        <v>179.61662355000053</v>
      </c>
      <c r="CI188" s="219">
        <f t="shared" si="121"/>
        <v>11.616623550000526</v>
      </c>
      <c r="CJ188" s="219" t="b">
        <f t="shared" si="118"/>
        <v>0</v>
      </c>
      <c r="CK188" s="565">
        <v>13</v>
      </c>
    </row>
    <row r="189" spans="57:132" ht="29" hidden="1" thickBot="1" x14ac:dyDescent="0.35">
      <c r="CD189" s="564">
        <v>14</v>
      </c>
      <c r="CE189" s="674">
        <f t="shared" si="119"/>
        <v>56</v>
      </c>
      <c r="CF189" s="605">
        <f t="shared" si="120"/>
        <v>56</v>
      </c>
      <c r="CG189" s="636">
        <f t="shared" si="116"/>
        <v>-151.61662355000053</v>
      </c>
      <c r="CH189" s="219">
        <f t="shared" si="117"/>
        <v>151.61662355000053</v>
      </c>
      <c r="CI189" s="219">
        <f t="shared" si="121"/>
        <v>11.616623550000526</v>
      </c>
      <c r="CJ189" s="219" t="b">
        <f t="shared" si="118"/>
        <v>0</v>
      </c>
      <c r="CK189" s="565">
        <v>14</v>
      </c>
    </row>
    <row r="190" spans="57:132" ht="29" hidden="1" thickBot="1" x14ac:dyDescent="0.35">
      <c r="CD190" s="564">
        <v>15</v>
      </c>
      <c r="CE190" s="674">
        <f t="shared" si="119"/>
        <v>84</v>
      </c>
      <c r="CF190" s="605">
        <f t="shared" si="120"/>
        <v>84</v>
      </c>
      <c r="CG190" s="636">
        <f t="shared" si="116"/>
        <v>-123.61662355000053</v>
      </c>
      <c r="CH190" s="219">
        <f t="shared" si="117"/>
        <v>123.61662355000053</v>
      </c>
      <c r="CI190" s="219">
        <f t="shared" si="121"/>
        <v>11.616623550000526</v>
      </c>
      <c r="CJ190" s="219" t="b">
        <f t="shared" si="118"/>
        <v>0</v>
      </c>
      <c r="CK190" s="565">
        <v>15</v>
      </c>
    </row>
    <row r="191" spans="57:132" ht="29" hidden="1" thickBot="1" x14ac:dyDescent="0.35">
      <c r="CD191" s="564">
        <v>16</v>
      </c>
      <c r="CE191" s="674">
        <f t="shared" si="119"/>
        <v>112</v>
      </c>
      <c r="CF191" s="605">
        <f t="shared" si="120"/>
        <v>112</v>
      </c>
      <c r="CG191" s="636">
        <f t="shared" si="116"/>
        <v>-95.616623550000526</v>
      </c>
      <c r="CH191" s="219">
        <f t="shared" si="117"/>
        <v>95.616623550000526</v>
      </c>
      <c r="CI191" s="219">
        <f t="shared" si="121"/>
        <v>11.616623550000526</v>
      </c>
      <c r="CJ191" s="219" t="b">
        <f t="shared" si="118"/>
        <v>0</v>
      </c>
      <c r="CK191" s="565">
        <v>16</v>
      </c>
    </row>
    <row r="192" spans="57:132" ht="29" hidden="1" thickBot="1" x14ac:dyDescent="0.35">
      <c r="BE192" s="81"/>
      <c r="BF192" s="81"/>
      <c r="BG192" s="81"/>
      <c r="BH192" s="81"/>
      <c r="CD192" s="564">
        <v>17</v>
      </c>
      <c r="CE192" s="674">
        <f t="shared" si="119"/>
        <v>140</v>
      </c>
      <c r="CF192" s="605">
        <f t="shared" si="120"/>
        <v>140</v>
      </c>
      <c r="CG192" s="636">
        <f t="shared" si="116"/>
        <v>-67.616623550000526</v>
      </c>
      <c r="CH192" s="219">
        <f t="shared" si="117"/>
        <v>67.616623550000526</v>
      </c>
      <c r="CI192" s="219">
        <f t="shared" si="121"/>
        <v>11.616623550000526</v>
      </c>
      <c r="CJ192" s="219" t="b">
        <f t="shared" si="118"/>
        <v>0</v>
      </c>
      <c r="CK192" s="565">
        <v>17</v>
      </c>
      <c r="DE192" s="81"/>
      <c r="DF192" s="81"/>
    </row>
    <row r="193" spans="82:137" ht="29" hidden="1" thickBot="1" x14ac:dyDescent="0.35">
      <c r="CD193" s="564">
        <v>18</v>
      </c>
      <c r="CE193" s="674">
        <f t="shared" si="119"/>
        <v>168</v>
      </c>
      <c r="CF193" s="605">
        <f t="shared" si="120"/>
        <v>168</v>
      </c>
      <c r="CG193" s="636">
        <f t="shared" si="116"/>
        <v>-39.616623550000526</v>
      </c>
      <c r="CH193" s="219">
        <f t="shared" si="117"/>
        <v>39.616623550000526</v>
      </c>
      <c r="CI193" s="219">
        <f t="shared" si="121"/>
        <v>11.616623550000526</v>
      </c>
      <c r="CJ193" s="219" t="b">
        <f t="shared" si="118"/>
        <v>0</v>
      </c>
      <c r="CK193" s="565">
        <v>18</v>
      </c>
    </row>
    <row r="194" spans="82:137" ht="29" hidden="1" thickBot="1" x14ac:dyDescent="0.35">
      <c r="CD194" s="564">
        <v>19</v>
      </c>
      <c r="CE194" s="674">
        <f t="shared" si="119"/>
        <v>196</v>
      </c>
      <c r="CF194" s="605">
        <f t="shared" si="120"/>
        <v>196</v>
      </c>
      <c r="CG194" s="636">
        <f t="shared" si="116"/>
        <v>-11.616623550000526</v>
      </c>
      <c r="CH194" s="219">
        <f t="shared" si="117"/>
        <v>11.616623550000526</v>
      </c>
      <c r="CI194" s="219">
        <f t="shared" si="121"/>
        <v>11.616623550000526</v>
      </c>
      <c r="CJ194" s="219">
        <f t="shared" si="118"/>
        <v>19</v>
      </c>
      <c r="CK194" s="565">
        <v>19</v>
      </c>
    </row>
    <row r="195" spans="82:137" ht="29" hidden="1" thickBot="1" x14ac:dyDescent="0.35">
      <c r="CD195" s="564">
        <v>20</v>
      </c>
      <c r="CE195" s="674">
        <f t="shared" si="119"/>
        <v>224</v>
      </c>
      <c r="CF195" s="605">
        <f t="shared" si="120"/>
        <v>224</v>
      </c>
      <c r="CG195" s="636">
        <f t="shared" si="116"/>
        <v>16.383376449999474</v>
      </c>
      <c r="CH195" s="219">
        <f t="shared" si="117"/>
        <v>16.383376449999474</v>
      </c>
      <c r="CI195" s="219">
        <f t="shared" si="121"/>
        <v>11.616623550000526</v>
      </c>
      <c r="CJ195" s="219" t="b">
        <f t="shared" si="118"/>
        <v>0</v>
      </c>
      <c r="CK195" s="565">
        <v>20</v>
      </c>
    </row>
    <row r="196" spans="82:137" ht="29" hidden="1" thickBot="1" x14ac:dyDescent="0.35">
      <c r="CD196" s="564">
        <v>21</v>
      </c>
      <c r="CE196" s="674">
        <f t="shared" si="119"/>
        <v>252</v>
      </c>
      <c r="CF196" s="605">
        <f t="shared" si="120"/>
        <v>252</v>
      </c>
      <c r="CG196" s="636">
        <f t="shared" si="116"/>
        <v>44.383376449999474</v>
      </c>
      <c r="CH196" s="219">
        <f t="shared" si="117"/>
        <v>44.383376449999474</v>
      </c>
      <c r="CI196" s="219">
        <f t="shared" si="121"/>
        <v>11.616623550000526</v>
      </c>
      <c r="CJ196" s="219" t="b">
        <f t="shared" si="118"/>
        <v>0</v>
      </c>
      <c r="CK196" s="565">
        <v>21</v>
      </c>
    </row>
    <row r="197" spans="82:137" ht="29" hidden="1" thickBot="1" x14ac:dyDescent="0.35">
      <c r="CD197" s="564">
        <v>22</v>
      </c>
      <c r="CE197" s="674">
        <f t="shared" si="119"/>
        <v>280</v>
      </c>
      <c r="CF197" s="605">
        <f t="shared" si="120"/>
        <v>280</v>
      </c>
      <c r="CG197" s="636">
        <f t="shared" si="116"/>
        <v>72.383376449999474</v>
      </c>
      <c r="CH197" s="219">
        <f t="shared" si="117"/>
        <v>72.383376449999474</v>
      </c>
      <c r="CI197" s="219">
        <f t="shared" si="121"/>
        <v>11.616623550000526</v>
      </c>
      <c r="CJ197" s="219" t="b">
        <f t="shared" si="118"/>
        <v>0</v>
      </c>
      <c r="CK197" s="565">
        <v>22</v>
      </c>
    </row>
    <row r="198" spans="82:137" ht="29" hidden="1" thickBot="1" x14ac:dyDescent="0.35">
      <c r="CD198" s="564">
        <v>23</v>
      </c>
      <c r="CE198" s="674">
        <f t="shared" si="119"/>
        <v>308</v>
      </c>
      <c r="CF198" s="605">
        <f t="shared" si="120"/>
        <v>308</v>
      </c>
      <c r="CG198" s="636">
        <f t="shared" si="116"/>
        <v>100.38337644999947</v>
      </c>
      <c r="CH198" s="219">
        <f t="shared" si="117"/>
        <v>100.38337644999947</v>
      </c>
      <c r="CI198" s="219">
        <f t="shared" si="121"/>
        <v>11.616623550000526</v>
      </c>
      <c r="CJ198" s="219" t="b">
        <f t="shared" si="118"/>
        <v>0</v>
      </c>
      <c r="CK198" s="565">
        <v>23</v>
      </c>
    </row>
    <row r="199" spans="82:137" ht="29" hidden="1" thickBot="1" x14ac:dyDescent="0.35">
      <c r="CD199" s="564">
        <v>24</v>
      </c>
      <c r="CE199" s="674">
        <f t="shared" si="119"/>
        <v>336</v>
      </c>
      <c r="CF199" s="605">
        <f t="shared" si="120"/>
        <v>336</v>
      </c>
      <c r="CG199" s="636">
        <f t="shared" si="116"/>
        <v>128.38337644999947</v>
      </c>
      <c r="CH199" s="219">
        <f t="shared" si="117"/>
        <v>128.38337644999947</v>
      </c>
      <c r="CI199" s="219">
        <f t="shared" si="121"/>
        <v>11.616623550000526</v>
      </c>
      <c r="CJ199" s="219" t="b">
        <f t="shared" si="118"/>
        <v>0</v>
      </c>
      <c r="CK199" s="565">
        <v>24</v>
      </c>
    </row>
    <row r="200" spans="82:137" ht="29" hidden="1" thickBot="1" x14ac:dyDescent="0.35">
      <c r="CD200" s="564">
        <v>25</v>
      </c>
      <c r="CE200" s="674">
        <f t="shared" si="119"/>
        <v>364</v>
      </c>
      <c r="CF200" s="605">
        <f t="shared" si="120"/>
        <v>364</v>
      </c>
      <c r="CG200" s="636">
        <f t="shared" si="116"/>
        <v>156.38337644999947</v>
      </c>
      <c r="CH200" s="219">
        <f t="shared" si="117"/>
        <v>156.38337644999947</v>
      </c>
      <c r="CI200" s="219">
        <f t="shared" si="121"/>
        <v>11.616623550000526</v>
      </c>
      <c r="CJ200" s="219" t="b">
        <f t="shared" si="118"/>
        <v>0</v>
      </c>
      <c r="CK200" s="565">
        <v>25</v>
      </c>
      <c r="DI200" s="77"/>
      <c r="DK200" s="77"/>
      <c r="DM200" s="77"/>
    </row>
    <row r="201" spans="82:137" ht="29" hidden="1" thickBot="1" x14ac:dyDescent="0.35">
      <c r="CD201" s="564">
        <v>26</v>
      </c>
      <c r="CE201" s="674">
        <f t="shared" si="119"/>
        <v>392</v>
      </c>
      <c r="CF201" s="605">
        <f t="shared" si="120"/>
        <v>392</v>
      </c>
      <c r="CG201" s="636">
        <f t="shared" si="116"/>
        <v>184.38337644999947</v>
      </c>
      <c r="CH201" s="219">
        <f t="shared" si="117"/>
        <v>184.38337644999947</v>
      </c>
      <c r="CI201" s="219">
        <f t="shared" si="121"/>
        <v>11.616623550000526</v>
      </c>
      <c r="CJ201" s="219" t="b">
        <f t="shared" si="118"/>
        <v>0</v>
      </c>
      <c r="CK201" s="565">
        <v>26</v>
      </c>
      <c r="DI201" s="77"/>
      <c r="DM201" s="77"/>
    </row>
    <row r="202" spans="82:137" ht="29" hidden="1" thickBot="1" x14ac:dyDescent="0.35">
      <c r="CD202" s="564">
        <v>27</v>
      </c>
      <c r="CE202" s="674">
        <f t="shared" si="119"/>
        <v>420</v>
      </c>
      <c r="CF202" s="605">
        <f t="shared" si="120"/>
        <v>420</v>
      </c>
      <c r="CG202" s="636">
        <f t="shared" si="116"/>
        <v>212.38337644999947</v>
      </c>
      <c r="CH202" s="219">
        <f t="shared" si="117"/>
        <v>212.38337644999947</v>
      </c>
      <c r="CI202" s="219">
        <f t="shared" si="121"/>
        <v>11.616623550000526</v>
      </c>
      <c r="CJ202" s="219" t="b">
        <f t="shared" si="118"/>
        <v>0</v>
      </c>
      <c r="CK202" s="565">
        <v>27</v>
      </c>
      <c r="DI202" s="77"/>
      <c r="DJ202" s="224"/>
      <c r="DK202" s="224"/>
      <c r="DL202" s="224"/>
      <c r="DM202" s="224"/>
      <c r="DN202" s="224"/>
      <c r="DO202" s="224"/>
      <c r="DP202" s="224"/>
      <c r="DQ202" s="224"/>
      <c r="DR202" s="224"/>
      <c r="DS202" s="224"/>
      <c r="DT202" s="224"/>
      <c r="DU202" s="224"/>
      <c r="DV202" s="224"/>
      <c r="DW202" s="224"/>
      <c r="DX202" s="224"/>
      <c r="DY202" s="224"/>
      <c r="DZ202" s="224"/>
      <c r="EA202" s="224"/>
      <c r="EB202" s="224"/>
      <c r="EC202" s="224"/>
      <c r="ED202" s="224"/>
      <c r="EE202" s="224"/>
      <c r="EF202" s="224"/>
      <c r="EG202" s="224"/>
    </row>
    <row r="203" spans="82:137" ht="29" hidden="1" thickBot="1" x14ac:dyDescent="0.35">
      <c r="CD203" s="564">
        <v>28</v>
      </c>
      <c r="CE203" s="674">
        <f t="shared" si="119"/>
        <v>448</v>
      </c>
      <c r="CF203" s="605">
        <f t="shared" si="120"/>
        <v>448</v>
      </c>
      <c r="CG203" s="636">
        <f t="shared" si="116"/>
        <v>240.38337644999947</v>
      </c>
      <c r="CH203" s="219">
        <f t="shared" si="117"/>
        <v>240.38337644999947</v>
      </c>
      <c r="CI203" s="219">
        <f t="shared" si="121"/>
        <v>11.616623550000526</v>
      </c>
      <c r="CJ203" s="219" t="b">
        <f t="shared" si="118"/>
        <v>0</v>
      </c>
      <c r="CK203" s="565">
        <v>28</v>
      </c>
      <c r="DI203" s="77"/>
    </row>
    <row r="204" spans="82:137" ht="29" hidden="1" thickBot="1" x14ac:dyDescent="0.35">
      <c r="CD204" s="564">
        <v>29</v>
      </c>
      <c r="CE204" s="674">
        <f t="shared" si="119"/>
        <v>476</v>
      </c>
      <c r="CF204" s="605">
        <f t="shared" si="120"/>
        <v>476</v>
      </c>
      <c r="CG204" s="636">
        <f t="shared" si="116"/>
        <v>268.38337644999945</v>
      </c>
      <c r="CH204" s="219">
        <f t="shared" si="117"/>
        <v>268.38337644999945</v>
      </c>
      <c r="CI204" s="219">
        <f t="shared" si="121"/>
        <v>11.616623550000526</v>
      </c>
      <c r="CJ204" s="219" t="b">
        <f t="shared" si="118"/>
        <v>0</v>
      </c>
      <c r="CK204" s="565">
        <v>29</v>
      </c>
      <c r="DI204" s="155"/>
      <c r="DJ204" s="225"/>
      <c r="DK204" s="225"/>
      <c r="DL204" s="225"/>
      <c r="DM204" s="225"/>
      <c r="DN204" s="225"/>
      <c r="DO204" s="225"/>
      <c r="DP204" s="225"/>
      <c r="DQ204" s="225"/>
      <c r="DR204" s="225"/>
      <c r="DS204" s="225"/>
      <c r="DT204" s="225"/>
      <c r="DU204" s="225"/>
      <c r="DV204" s="225"/>
      <c r="DW204" s="225"/>
      <c r="DX204" s="225"/>
      <c r="DY204" s="225"/>
      <c r="DZ204" s="225"/>
      <c r="EA204" s="225"/>
      <c r="EB204" s="225"/>
      <c r="EC204" s="225"/>
      <c r="ED204" s="225"/>
      <c r="EE204" s="225"/>
      <c r="EF204" s="225"/>
      <c r="EG204" s="225"/>
    </row>
    <row r="205" spans="82:137" ht="29" hidden="1" thickBot="1" x14ac:dyDescent="0.35">
      <c r="CD205" s="564">
        <v>30</v>
      </c>
      <c r="CE205" s="674">
        <f t="shared" si="119"/>
        <v>504</v>
      </c>
      <c r="CF205" s="605">
        <f t="shared" si="120"/>
        <v>504</v>
      </c>
      <c r="CG205" s="636">
        <f t="shared" si="116"/>
        <v>296.38337644999945</v>
      </c>
      <c r="CH205" s="219">
        <f t="shared" si="117"/>
        <v>296.38337644999945</v>
      </c>
      <c r="CI205" s="219">
        <f t="shared" si="121"/>
        <v>11.616623550000526</v>
      </c>
      <c r="CJ205" s="219" t="b">
        <f t="shared" si="118"/>
        <v>0</v>
      </c>
      <c r="CK205" s="565">
        <v>30</v>
      </c>
      <c r="CP205" s="667"/>
      <c r="CQ205" s="667"/>
      <c r="CR205" s="667"/>
      <c r="CS205" s="667"/>
      <c r="CT205" s="667"/>
      <c r="CU205" s="667"/>
      <c r="CV205" s="667"/>
      <c r="CW205" s="667"/>
      <c r="CX205" s="667"/>
      <c r="CY205" s="667"/>
      <c r="CZ205" s="667"/>
      <c r="DA205" s="667"/>
      <c r="DB205" s="667"/>
      <c r="DC205" s="667"/>
      <c r="DD205" s="667"/>
      <c r="DI205" s="77"/>
      <c r="DJ205" s="124"/>
      <c r="DK205" s="124"/>
      <c r="DL205" s="124"/>
      <c r="DM205" s="124"/>
      <c r="DN205" s="124"/>
      <c r="DO205" s="124"/>
      <c r="DP205" s="124"/>
      <c r="DQ205" s="124"/>
      <c r="DR205" s="124"/>
      <c r="DS205" s="124"/>
      <c r="DT205" s="124"/>
      <c r="DU205" s="124"/>
      <c r="DV205" s="124"/>
      <c r="DW205" s="124"/>
      <c r="DX205" s="124"/>
      <c r="DY205" s="124"/>
      <c r="DZ205" s="124"/>
      <c r="EA205" s="124"/>
      <c r="EB205" s="124"/>
      <c r="EC205" s="124"/>
      <c r="ED205" s="124"/>
      <c r="EE205" s="124"/>
      <c r="EF205" s="124"/>
      <c r="EG205" s="124"/>
    </row>
    <row r="206" spans="82:137" ht="29" hidden="1" thickBot="1" x14ac:dyDescent="0.35">
      <c r="CD206" s="564">
        <v>31</v>
      </c>
      <c r="CE206" s="674">
        <f t="shared" si="119"/>
        <v>532</v>
      </c>
      <c r="CF206" s="605">
        <f t="shared" si="120"/>
        <v>532</v>
      </c>
      <c r="CG206" s="636">
        <f t="shared" si="116"/>
        <v>324.38337644999945</v>
      </c>
      <c r="CH206" s="219">
        <f t="shared" si="117"/>
        <v>324.38337644999945</v>
      </c>
      <c r="CI206" s="219">
        <f t="shared" si="121"/>
        <v>11.616623550000526</v>
      </c>
      <c r="CJ206" s="219" t="b">
        <f t="shared" si="118"/>
        <v>0</v>
      </c>
      <c r="CK206" s="565">
        <v>31</v>
      </c>
      <c r="CP206" s="667"/>
      <c r="CQ206" s="667"/>
      <c r="CR206" s="667"/>
      <c r="CS206" s="667"/>
      <c r="CT206" s="667"/>
      <c r="CU206" s="667"/>
      <c r="CV206" s="667"/>
      <c r="CW206" s="667"/>
      <c r="CX206" s="667"/>
      <c r="CY206" s="667"/>
      <c r="CZ206" s="667"/>
      <c r="DA206" s="667"/>
      <c r="DB206" s="667"/>
      <c r="DC206" s="667"/>
      <c r="DD206" s="667"/>
    </row>
    <row r="207" spans="82:137" ht="29" hidden="1" thickBot="1" x14ac:dyDescent="0.35">
      <c r="CD207" s="564">
        <v>32</v>
      </c>
      <c r="CE207" s="674">
        <f t="shared" si="119"/>
        <v>560</v>
      </c>
      <c r="CF207" s="605">
        <f t="shared" si="120"/>
        <v>560</v>
      </c>
      <c r="CG207" s="636">
        <f t="shared" si="116"/>
        <v>352.38337644999945</v>
      </c>
      <c r="CH207" s="219">
        <f t="shared" si="117"/>
        <v>352.38337644999945</v>
      </c>
      <c r="CI207" s="219">
        <f t="shared" si="121"/>
        <v>11.616623550000526</v>
      </c>
      <c r="CJ207" s="219" t="b">
        <f t="shared" si="118"/>
        <v>0</v>
      </c>
      <c r="CK207" s="565">
        <v>32</v>
      </c>
      <c r="CP207" s="667"/>
      <c r="CQ207" s="667"/>
      <c r="CR207" s="667"/>
      <c r="CS207" s="667"/>
      <c r="CT207" s="667"/>
      <c r="CU207" s="667"/>
      <c r="CV207" s="667"/>
      <c r="CW207" s="667"/>
      <c r="CX207" s="667"/>
      <c r="CY207" s="667"/>
      <c r="CZ207" s="667"/>
      <c r="DA207" s="667"/>
      <c r="DB207" s="667"/>
      <c r="DC207" s="667"/>
      <c r="DD207" s="667"/>
      <c r="DJ207" s="156"/>
      <c r="DK207" s="156"/>
      <c r="DL207" s="156"/>
      <c r="DM207" s="156"/>
      <c r="DN207" s="156"/>
      <c r="DO207" s="156"/>
      <c r="DP207" s="77"/>
      <c r="DQ207" s="77"/>
      <c r="DR207" s="77"/>
      <c r="DS207" s="77"/>
      <c r="DT207" s="77"/>
      <c r="DU207" s="156"/>
      <c r="DV207" s="156"/>
      <c r="DW207" s="156"/>
      <c r="DX207" s="77"/>
      <c r="DY207" s="77"/>
      <c r="DZ207" s="77"/>
      <c r="EA207" s="77"/>
      <c r="EB207" s="77"/>
      <c r="EC207" s="77"/>
      <c r="ED207" s="77"/>
      <c r="EE207" s="77"/>
      <c r="EF207" s="77"/>
      <c r="EG207" s="77"/>
    </row>
    <row r="208" spans="82:137" ht="29" hidden="1" thickBot="1" x14ac:dyDescent="0.35">
      <c r="CD208" s="564">
        <v>33</v>
      </c>
      <c r="CE208" s="674">
        <f t="shared" si="119"/>
        <v>588</v>
      </c>
      <c r="CF208" s="605">
        <f t="shared" si="120"/>
        <v>588</v>
      </c>
      <c r="CG208" s="636">
        <f t="shared" si="116"/>
        <v>380.38337644999945</v>
      </c>
      <c r="CH208" s="219">
        <f t="shared" si="117"/>
        <v>380.38337644999945</v>
      </c>
      <c r="CI208" s="219">
        <f t="shared" si="121"/>
        <v>11.616623550000526</v>
      </c>
      <c r="CJ208" s="219" t="b">
        <f t="shared" si="118"/>
        <v>0</v>
      </c>
      <c r="CK208" s="565">
        <v>33</v>
      </c>
      <c r="CP208" s="667"/>
      <c r="CQ208" s="667"/>
      <c r="CR208" s="667"/>
      <c r="CS208" s="667"/>
      <c r="CT208" s="667"/>
      <c r="CU208" s="667"/>
      <c r="CV208" s="667"/>
      <c r="CW208" s="667"/>
      <c r="CX208" s="667"/>
      <c r="CY208" s="667"/>
      <c r="CZ208" s="667"/>
      <c r="DA208" s="667"/>
      <c r="DB208" s="667"/>
      <c r="DC208" s="667"/>
      <c r="DD208" s="667"/>
      <c r="DJ208" s="156"/>
      <c r="DK208" s="156"/>
      <c r="DL208" s="156"/>
      <c r="DM208" s="156"/>
      <c r="DN208" s="156"/>
      <c r="DO208" s="156"/>
      <c r="DT208" s="156"/>
      <c r="DU208" s="156"/>
      <c r="DV208" s="156"/>
      <c r="DW208" s="156"/>
      <c r="EB208" s="156"/>
      <c r="EC208" s="156"/>
      <c r="ED208" s="156"/>
      <c r="EE208" s="156"/>
      <c r="EF208" s="156"/>
      <c r="EG208" s="156"/>
    </row>
    <row r="209" spans="65:108" ht="29" hidden="1" thickBot="1" x14ac:dyDescent="0.35">
      <c r="CD209" s="564">
        <v>34</v>
      </c>
      <c r="CE209" s="674">
        <f t="shared" si="119"/>
        <v>616</v>
      </c>
      <c r="CF209" s="605">
        <f t="shared" si="120"/>
        <v>616</v>
      </c>
      <c r="CG209" s="636">
        <f t="shared" si="116"/>
        <v>408.38337644999945</v>
      </c>
      <c r="CH209" s="219">
        <f t="shared" si="117"/>
        <v>408.38337644999945</v>
      </c>
      <c r="CI209" s="219">
        <f t="shared" si="121"/>
        <v>11.616623550000526</v>
      </c>
      <c r="CJ209" s="219" t="b">
        <f t="shared" si="118"/>
        <v>0</v>
      </c>
      <c r="CK209" s="565">
        <v>34</v>
      </c>
      <c r="CP209" s="667"/>
      <c r="CQ209" s="667"/>
      <c r="CR209" s="667"/>
      <c r="CS209" s="667"/>
      <c r="CT209" s="667"/>
      <c r="CU209" s="667"/>
      <c r="CV209" s="667"/>
      <c r="CW209" s="667"/>
      <c r="CX209" s="667"/>
      <c r="CY209" s="667"/>
      <c r="CZ209" s="667"/>
      <c r="DA209" s="667"/>
      <c r="DB209" s="667"/>
      <c r="DC209" s="667"/>
      <c r="DD209" s="667"/>
    </row>
    <row r="210" spans="65:108" ht="29" hidden="1" thickBot="1" x14ac:dyDescent="0.35">
      <c r="CD210" s="564">
        <v>35</v>
      </c>
      <c r="CE210" s="674">
        <f t="shared" si="119"/>
        <v>644</v>
      </c>
      <c r="CF210" s="605">
        <f t="shared" si="120"/>
        <v>644</v>
      </c>
      <c r="CG210" s="636">
        <f t="shared" si="116"/>
        <v>436.38337644999945</v>
      </c>
      <c r="CH210" s="219">
        <f t="shared" si="117"/>
        <v>436.38337644999945</v>
      </c>
      <c r="CI210" s="219">
        <f t="shared" si="121"/>
        <v>11.616623550000526</v>
      </c>
      <c r="CJ210" s="219" t="b">
        <f t="shared" si="118"/>
        <v>0</v>
      </c>
      <c r="CK210" s="565">
        <v>35</v>
      </c>
      <c r="CP210" s="667"/>
      <c r="CQ210" s="667"/>
      <c r="CR210" s="667"/>
      <c r="CS210" s="667"/>
      <c r="CT210" s="667"/>
      <c r="CU210" s="667"/>
      <c r="CV210" s="667"/>
      <c r="CW210" s="667"/>
      <c r="CX210" s="667"/>
      <c r="CY210" s="667"/>
      <c r="CZ210" s="667"/>
      <c r="DA210" s="667"/>
      <c r="DB210" s="667"/>
      <c r="DC210" s="667"/>
      <c r="DD210" s="667"/>
    </row>
    <row r="211" spans="65:108" ht="29" hidden="1" thickBot="1" x14ac:dyDescent="0.35">
      <c r="CD211" s="564">
        <v>36</v>
      </c>
      <c r="CE211" s="674">
        <f t="shared" si="119"/>
        <v>672</v>
      </c>
      <c r="CF211" s="605">
        <f t="shared" si="120"/>
        <v>672</v>
      </c>
      <c r="CG211" s="636">
        <f t="shared" si="116"/>
        <v>464.38337644999945</v>
      </c>
      <c r="CH211" s="219">
        <f t="shared" si="117"/>
        <v>464.38337644999945</v>
      </c>
      <c r="CI211" s="219">
        <f t="shared" si="121"/>
        <v>11.616623550000526</v>
      </c>
      <c r="CJ211" s="219" t="b">
        <f t="shared" si="118"/>
        <v>0</v>
      </c>
      <c r="CK211" s="565">
        <v>36</v>
      </c>
      <c r="CP211" s="667"/>
      <c r="CQ211" s="667"/>
      <c r="CR211" s="667"/>
      <c r="CS211" s="667"/>
      <c r="CT211" s="667"/>
      <c r="CU211" s="667"/>
      <c r="CV211" s="667"/>
      <c r="CW211" s="667"/>
      <c r="CX211" s="667"/>
      <c r="CY211" s="667"/>
      <c r="CZ211" s="667"/>
      <c r="DA211" s="667"/>
      <c r="DB211" s="667"/>
      <c r="DC211" s="667"/>
      <c r="DD211" s="667"/>
    </row>
    <row r="212" spans="65:108" ht="29" hidden="1" thickBot="1" x14ac:dyDescent="0.35">
      <c r="CD212" s="566">
        <v>37</v>
      </c>
      <c r="CE212" s="674">
        <f t="shared" si="119"/>
        <v>700</v>
      </c>
      <c r="CF212" s="605">
        <f t="shared" si="120"/>
        <v>700</v>
      </c>
      <c r="CG212" s="636">
        <f t="shared" si="116"/>
        <v>492.38337644999945</v>
      </c>
      <c r="CH212" s="219">
        <f t="shared" si="117"/>
        <v>492.38337644999945</v>
      </c>
      <c r="CI212" s="219">
        <f t="shared" si="121"/>
        <v>11.616623550000526</v>
      </c>
      <c r="CJ212" s="219" t="b">
        <f t="shared" si="118"/>
        <v>0</v>
      </c>
      <c r="CK212" s="567">
        <v>37</v>
      </c>
      <c r="CP212" s="667"/>
      <c r="CQ212" s="667"/>
      <c r="CR212" s="667"/>
      <c r="CS212" s="667"/>
      <c r="CT212" s="667"/>
      <c r="CU212" s="667"/>
      <c r="CV212" s="667"/>
      <c r="CW212" s="667"/>
      <c r="CX212" s="667"/>
      <c r="CY212" s="667"/>
      <c r="CZ212" s="667"/>
      <c r="DA212" s="667"/>
      <c r="DB212" s="667"/>
      <c r="DC212" s="667"/>
      <c r="DD212" s="667"/>
    </row>
    <row r="213" spans="65:108" ht="29" hidden="1" thickBot="1" x14ac:dyDescent="0.35">
      <c r="CD213" s="566">
        <v>38</v>
      </c>
      <c r="CE213" s="674">
        <f t="shared" si="119"/>
        <v>728</v>
      </c>
      <c r="CF213" s="605">
        <f t="shared" si="120"/>
        <v>728</v>
      </c>
      <c r="CG213" s="636">
        <f t="shared" si="116"/>
        <v>520.38337644999945</v>
      </c>
      <c r="CH213" s="219">
        <f t="shared" si="117"/>
        <v>520.38337644999945</v>
      </c>
      <c r="CI213" s="219">
        <f t="shared" si="121"/>
        <v>11.616623550000526</v>
      </c>
      <c r="CJ213" s="219" t="b">
        <f t="shared" si="118"/>
        <v>0</v>
      </c>
      <c r="CK213" s="567">
        <v>38</v>
      </c>
      <c r="CP213" s="667"/>
      <c r="CQ213" s="667"/>
      <c r="CR213" s="667"/>
      <c r="CS213" s="667"/>
      <c r="CT213" s="667"/>
      <c r="CU213" s="667"/>
      <c r="CV213" s="667"/>
      <c r="CW213" s="667"/>
      <c r="CX213" s="667"/>
      <c r="CY213" s="667"/>
      <c r="CZ213" s="667"/>
      <c r="DA213" s="667"/>
      <c r="DB213" s="667"/>
      <c r="DC213" s="667"/>
      <c r="DD213" s="667"/>
    </row>
    <row r="214" spans="65:108" ht="29" hidden="1" thickBot="1" x14ac:dyDescent="0.35">
      <c r="CD214" s="566">
        <v>39</v>
      </c>
      <c r="CE214" s="674">
        <f t="shared" si="119"/>
        <v>756</v>
      </c>
      <c r="CF214" s="605">
        <f t="shared" si="120"/>
        <v>756</v>
      </c>
      <c r="CG214" s="636">
        <f t="shared" si="116"/>
        <v>548.38337644999945</v>
      </c>
      <c r="CH214" s="219">
        <f t="shared" si="117"/>
        <v>548.38337644999945</v>
      </c>
      <c r="CI214" s="219">
        <f t="shared" si="121"/>
        <v>11.616623550000526</v>
      </c>
      <c r="CJ214" s="219" t="b">
        <f t="shared" si="118"/>
        <v>0</v>
      </c>
      <c r="CK214" s="567">
        <v>39</v>
      </c>
      <c r="CO214" s="667"/>
      <c r="CP214" s="667"/>
      <c r="CQ214" s="667"/>
      <c r="CR214" s="667"/>
      <c r="CS214" s="667"/>
      <c r="CT214" s="667"/>
      <c r="CU214" s="667"/>
      <c r="CV214" s="667"/>
      <c r="CW214" s="667"/>
      <c r="CX214" s="667"/>
      <c r="CY214" s="667"/>
      <c r="CZ214" s="667"/>
      <c r="DA214" s="667"/>
      <c r="DB214" s="667"/>
      <c r="DC214" s="667"/>
      <c r="DD214" s="667"/>
    </row>
    <row r="215" spans="65:108" ht="29" hidden="1" thickBot="1" x14ac:dyDescent="0.35">
      <c r="CD215" s="566">
        <v>40</v>
      </c>
      <c r="CE215" s="674">
        <f t="shared" si="119"/>
        <v>784</v>
      </c>
      <c r="CF215" s="605">
        <f t="shared" si="120"/>
        <v>784</v>
      </c>
      <c r="CG215" s="636">
        <f t="shared" si="116"/>
        <v>576.38337644999945</v>
      </c>
      <c r="CH215" s="219">
        <f t="shared" si="117"/>
        <v>576.38337644999945</v>
      </c>
      <c r="CI215" s="219">
        <f t="shared" si="121"/>
        <v>11.616623550000526</v>
      </c>
      <c r="CJ215" s="219" t="b">
        <f t="shared" si="118"/>
        <v>0</v>
      </c>
      <c r="CK215" s="567">
        <v>40</v>
      </c>
    </row>
    <row r="216" spans="65:108" ht="29" hidden="1" thickBot="1" x14ac:dyDescent="0.35">
      <c r="CD216" s="568">
        <v>41</v>
      </c>
      <c r="CE216" s="676">
        <f t="shared" si="119"/>
        <v>812</v>
      </c>
      <c r="CF216" s="677">
        <f t="shared" si="120"/>
        <v>812</v>
      </c>
      <c r="CG216" s="636">
        <f t="shared" si="116"/>
        <v>604.38337644999945</v>
      </c>
      <c r="CH216" s="633">
        <f t="shared" si="117"/>
        <v>604.38337644999945</v>
      </c>
      <c r="CI216" s="572">
        <f t="shared" si="121"/>
        <v>11.616623550000526</v>
      </c>
      <c r="CJ216" s="572" t="b">
        <f t="shared" si="118"/>
        <v>0</v>
      </c>
      <c r="CK216" s="573">
        <v>41</v>
      </c>
    </row>
    <row r="217" spans="65:108" hidden="1" x14ac:dyDescent="0.3"/>
    <row r="218" spans="65:108" hidden="1" x14ac:dyDescent="0.3"/>
    <row r="219" spans="65:108" hidden="1" x14ac:dyDescent="0.3"/>
    <row r="220" spans="65:108" hidden="1" x14ac:dyDescent="0.3">
      <c r="BM220" s="221"/>
      <c r="BN220" s="221"/>
      <c r="BO220" s="221"/>
      <c r="BP220" s="221"/>
      <c r="BQ220" s="221"/>
      <c r="BR220" s="221"/>
      <c r="BS220" s="999"/>
      <c r="BT220" s="999"/>
      <c r="BU220" s="999"/>
      <c r="BV220" s="77"/>
    </row>
    <row r="221" spans="65:108" hidden="1" x14ac:dyDescent="0.3">
      <c r="BS221" s="222"/>
      <c r="CF221" s="222"/>
    </row>
    <row r="222" spans="65:108" hidden="1" x14ac:dyDescent="0.3">
      <c r="BM222" s="223"/>
      <c r="BN222" s="223"/>
      <c r="BO222" s="223"/>
      <c r="BP222" s="223"/>
      <c r="BQ222" s="223"/>
      <c r="BR222" s="223"/>
      <c r="BS222" s="1000"/>
      <c r="BT222" s="1000"/>
      <c r="CE222" s="994"/>
      <c r="CF222" s="994"/>
    </row>
    <row r="223" spans="65:108" hidden="1" x14ac:dyDescent="0.3"/>
    <row r="224" spans="65:108" hidden="1" x14ac:dyDescent="0.3"/>
    <row r="225" spans="65:69" hidden="1" x14ac:dyDescent="0.3"/>
    <row r="226" spans="65:69" hidden="1" x14ac:dyDescent="0.3"/>
    <row r="227" spans="65:69" hidden="1" x14ac:dyDescent="0.3"/>
    <row r="228" spans="65:69" hidden="1" x14ac:dyDescent="0.3"/>
    <row r="229" spans="65:69" hidden="1" x14ac:dyDescent="0.3"/>
    <row r="230" spans="65:69" hidden="1" x14ac:dyDescent="0.3"/>
    <row r="231" spans="65:69" hidden="1" x14ac:dyDescent="0.3"/>
    <row r="232" spans="65:69" hidden="1" x14ac:dyDescent="0.3"/>
    <row r="233" spans="65:69" hidden="1" x14ac:dyDescent="0.3"/>
    <row r="234" spans="65:69" hidden="1" x14ac:dyDescent="0.3"/>
    <row r="235" spans="65:69" hidden="1" x14ac:dyDescent="0.3"/>
    <row r="236" spans="65:69" hidden="1" x14ac:dyDescent="0.3"/>
    <row r="237" spans="65:69" hidden="1" x14ac:dyDescent="0.3"/>
    <row r="238" spans="65:69" hidden="1" x14ac:dyDescent="0.3"/>
    <row r="239" spans="65:69" hidden="1" x14ac:dyDescent="0.3">
      <c r="BM239" s="77"/>
      <c r="BO239" s="77"/>
      <c r="BQ239" s="77"/>
    </row>
    <row r="240" spans="65:69" hidden="1" x14ac:dyDescent="0.3">
      <c r="BM240" s="77"/>
      <c r="BQ240" s="77"/>
    </row>
    <row r="241" spans="65:86" hidden="1" x14ac:dyDescent="0.3">
      <c r="BM241" s="77"/>
      <c r="BN241" s="224"/>
      <c r="BO241" s="224"/>
      <c r="BP241" s="224"/>
      <c r="BQ241" s="224"/>
      <c r="BR241" s="224"/>
      <c r="BS241" s="224"/>
      <c r="BT241" s="224"/>
      <c r="BU241" s="224"/>
      <c r="BV241" s="224"/>
      <c r="BW241" s="224"/>
      <c r="BX241" s="224"/>
      <c r="BY241" s="224"/>
      <c r="BZ241" s="224"/>
      <c r="CA241" s="224"/>
      <c r="CB241" s="224"/>
      <c r="CC241" s="224"/>
      <c r="CD241" s="224"/>
      <c r="CE241" s="224"/>
      <c r="CF241" s="224"/>
      <c r="CG241" s="224"/>
      <c r="CH241" s="224"/>
    </row>
    <row r="242" spans="65:86" hidden="1" x14ac:dyDescent="0.3">
      <c r="BM242" s="77"/>
    </row>
    <row r="243" spans="65:86" hidden="1" x14ac:dyDescent="0.3">
      <c r="BM243" s="155"/>
      <c r="BN243" s="225"/>
      <c r="BO243" s="225"/>
      <c r="BP243" s="225"/>
      <c r="BQ243" s="225"/>
      <c r="BR243" s="225"/>
      <c r="BS243" s="225"/>
      <c r="BT243" s="225"/>
      <c r="BU243" s="225"/>
      <c r="BV243" s="225"/>
      <c r="BW243" s="225"/>
      <c r="BX243" s="225"/>
      <c r="BY243" s="225"/>
      <c r="BZ243" s="225"/>
      <c r="CA243" s="225"/>
      <c r="CB243" s="225"/>
      <c r="CC243" s="225"/>
      <c r="CD243" s="225"/>
      <c r="CE243" s="225"/>
      <c r="CF243" s="225"/>
      <c r="CG243" s="225"/>
      <c r="CH243" s="225"/>
    </row>
    <row r="244" spans="65:86" hidden="1" x14ac:dyDescent="0.3">
      <c r="BM244" s="77"/>
      <c r="BN244" s="124"/>
      <c r="BO244" s="124"/>
      <c r="BP244" s="124"/>
      <c r="BQ244" s="124"/>
      <c r="BR244" s="124"/>
      <c r="BS244" s="124"/>
      <c r="BT244" s="124"/>
      <c r="BU244" s="124"/>
      <c r="BV244" s="124"/>
      <c r="BW244" s="124"/>
      <c r="BX244" s="124"/>
      <c r="BY244" s="124"/>
      <c r="BZ244" s="124"/>
      <c r="CA244" s="124"/>
      <c r="CB244" s="124"/>
      <c r="CC244" s="124"/>
      <c r="CD244" s="124"/>
      <c r="CE244" s="124"/>
      <c r="CF244" s="124"/>
      <c r="CG244" s="124"/>
      <c r="CH244" s="124"/>
    </row>
    <row r="245" spans="65:86" hidden="1" x14ac:dyDescent="0.3"/>
    <row r="246" spans="65:86" hidden="1" x14ac:dyDescent="0.3">
      <c r="BN246" s="156"/>
      <c r="BO246" s="156"/>
      <c r="BP246" s="156"/>
      <c r="BQ246" s="156"/>
      <c r="BR246" s="156"/>
      <c r="BS246" s="156"/>
      <c r="BT246" s="77"/>
      <c r="BU246" s="77"/>
      <c r="BV246" s="77"/>
      <c r="BW246" s="77"/>
      <c r="BX246" s="77"/>
      <c r="BY246" s="156"/>
      <c r="BZ246" s="156"/>
      <c r="CA246" s="156"/>
      <c r="CB246" s="77"/>
      <c r="CC246" s="77"/>
      <c r="CD246" s="77"/>
      <c r="CE246" s="77"/>
      <c r="CF246" s="77"/>
      <c r="CG246" s="77"/>
      <c r="CH246" s="77"/>
    </row>
    <row r="247" spans="65:86" x14ac:dyDescent="0.3">
      <c r="BN247" s="156"/>
      <c r="BO247" s="156"/>
      <c r="BP247" s="156"/>
      <c r="BQ247" s="156"/>
      <c r="BR247" s="156"/>
      <c r="BS247" s="156"/>
      <c r="BX247" s="156"/>
      <c r="BY247" s="156"/>
      <c r="BZ247" s="156"/>
      <c r="CA247" s="156"/>
      <c r="CF247" s="156"/>
      <c r="CG247" s="156"/>
      <c r="CH247" s="156"/>
    </row>
  </sheetData>
  <sheetProtection algorithmName="SHA-512" hashValue="C8HLeNvb0TQ7y77gNtqmkiEsQCFXj8FjaDJU4oNBMrIVwF2ZhE0xAqc8jtuOiCGvzI7IkZjQfbIg8ZxPphFx8w==" saltValue="d1Ve45JVpWy8flOXLlHmDw==" spinCount="100000" sheet="1" objects="1" scenarios="1" selectLockedCells="1"/>
  <protectedRanges>
    <protectedRange sqref="B136 B139 D142:D153 B160 D163:D171" name="Range1"/>
  </protectedRanges>
  <mergeCells count="13">
    <mergeCell ref="DJ113:DK113"/>
    <mergeCell ref="DO181:DQ181"/>
    <mergeCell ref="DO183:DP183"/>
    <mergeCell ref="EA183:EB183"/>
    <mergeCell ref="B134:B135"/>
    <mergeCell ref="W139:AA139"/>
    <mergeCell ref="AZ139:BA139"/>
    <mergeCell ref="AZ160:BA160"/>
    <mergeCell ref="BN40:BO40"/>
    <mergeCell ref="BS220:BU220"/>
    <mergeCell ref="BS222:BT222"/>
    <mergeCell ref="CE222:CF222"/>
    <mergeCell ref="B116:E116"/>
  </mergeCells>
  <conditionalFormatting sqref="B142:B153">
    <cfRule type="cellIs" dxfId="79" priority="158" stopIfTrue="1" operator="greaterThan">
      <formula>$B$139</formula>
    </cfRule>
  </conditionalFormatting>
  <conditionalFormatting sqref="B164:G164">
    <cfRule type="expression" dxfId="78" priority="21" stopIfTrue="1">
      <formula>$B$160&lt;2</formula>
    </cfRule>
  </conditionalFormatting>
  <conditionalFormatting sqref="B165:G165">
    <cfRule type="expression" dxfId="77" priority="20" stopIfTrue="1">
      <formula>$B$160&lt;3</formula>
    </cfRule>
  </conditionalFormatting>
  <conditionalFormatting sqref="B166:G166">
    <cfRule type="expression" dxfId="76" priority="19" stopIfTrue="1">
      <formula>$B$160&lt;4</formula>
    </cfRule>
  </conditionalFormatting>
  <conditionalFormatting sqref="B167:G167">
    <cfRule type="expression" dxfId="75" priority="18" stopIfTrue="1">
      <formula>$B$160&lt;5</formula>
    </cfRule>
  </conditionalFormatting>
  <conditionalFormatting sqref="B168:G168">
    <cfRule type="expression" dxfId="74" priority="17">
      <formula>$B$160&lt;6</formula>
    </cfRule>
  </conditionalFormatting>
  <conditionalFormatting sqref="B169:BA169">
    <cfRule type="expression" dxfId="73" priority="11">
      <formula>$B$160&lt;7</formula>
    </cfRule>
  </conditionalFormatting>
  <conditionalFormatting sqref="B170:BA170">
    <cfRule type="expression" dxfId="72" priority="8">
      <formula>$B$160&lt;8</formula>
    </cfRule>
  </conditionalFormatting>
  <conditionalFormatting sqref="B171:BA171">
    <cfRule type="expression" dxfId="71" priority="7">
      <formula>$B$160&lt;9</formula>
    </cfRule>
  </conditionalFormatting>
  <conditionalFormatting sqref="C124">
    <cfRule type="cellIs" dxfId="70" priority="88" stopIfTrue="1" operator="between">
      <formula>"OVERLOAD"</formula>
      <formula>"OVERLOAD"</formula>
    </cfRule>
  </conditionalFormatting>
  <conditionalFormatting sqref="D135">
    <cfRule type="cellIs" dxfId="69" priority="68" stopIfTrue="1" operator="equal">
      <formula>"USE EXBAR-N AT THE FRONT"</formula>
    </cfRule>
  </conditionalFormatting>
  <conditionalFormatting sqref="D136">
    <cfRule type="cellIs" dxfId="68" priority="67" stopIfTrue="1" operator="equal">
      <formula>"USE EXBAR-N AT THE BACK"</formula>
    </cfRule>
  </conditionalFormatting>
  <conditionalFormatting sqref="D142:D153">
    <cfRule type="cellIs" dxfId="67" priority="159" stopIfTrue="1" operator="notEqual">
      <formula>0</formula>
    </cfRule>
  </conditionalFormatting>
  <conditionalFormatting sqref="D163:D168">
    <cfRule type="cellIs" dxfId="66" priority="147" stopIfTrue="1" operator="notEqual">
      <formula>0</formula>
    </cfRule>
  </conditionalFormatting>
  <conditionalFormatting sqref="D169:D171">
    <cfRule type="cellIs" dxfId="65" priority="13" stopIfTrue="1" operator="notEqual">
      <formula>0</formula>
    </cfRule>
  </conditionalFormatting>
  <conditionalFormatting sqref="D133:G134">
    <cfRule type="cellIs" dxfId="64" priority="69" stopIfTrue="1" operator="equal">
      <formula>"change the angle of frame or of cabinets"</formula>
    </cfRule>
  </conditionalFormatting>
  <conditionalFormatting sqref="D142:G142">
    <cfRule type="expression" dxfId="63" priority="110" stopIfTrue="1">
      <formula>$B$139&lt;1</formula>
    </cfRule>
  </conditionalFormatting>
  <conditionalFormatting sqref="D143:AB143">
    <cfRule type="expression" dxfId="62" priority="109" stopIfTrue="1">
      <formula>$B$139&lt;2</formula>
    </cfRule>
  </conditionalFormatting>
  <conditionalFormatting sqref="D144:AB144">
    <cfRule type="expression" dxfId="61" priority="108" stopIfTrue="1">
      <formula>$B$139&lt;3</formula>
    </cfRule>
  </conditionalFormatting>
  <conditionalFormatting sqref="D145:AB145">
    <cfRule type="expression" dxfId="60" priority="107" stopIfTrue="1">
      <formula>$B$139&lt;4</formula>
    </cfRule>
  </conditionalFormatting>
  <conditionalFormatting sqref="D146:AB146">
    <cfRule type="expression" dxfId="59" priority="106" stopIfTrue="1">
      <formula>$B$139&lt;5</formula>
    </cfRule>
  </conditionalFormatting>
  <conditionalFormatting sqref="D147:AB147">
    <cfRule type="expression" dxfId="58" priority="105" stopIfTrue="1">
      <formula>$B$139&lt;6</formula>
    </cfRule>
  </conditionalFormatting>
  <conditionalFormatting sqref="D148:AB148">
    <cfRule type="expression" dxfId="57" priority="104" stopIfTrue="1">
      <formula>$B$139&lt;7</formula>
    </cfRule>
  </conditionalFormatting>
  <conditionalFormatting sqref="D149:AB149">
    <cfRule type="expression" dxfId="56" priority="103" stopIfTrue="1">
      <formula>$B$139&lt;8</formula>
    </cfRule>
  </conditionalFormatting>
  <conditionalFormatting sqref="D150:AB150">
    <cfRule type="expression" dxfId="55" priority="102" stopIfTrue="1">
      <formula>$B$139&lt;9</formula>
    </cfRule>
  </conditionalFormatting>
  <conditionalFormatting sqref="D151:AB151">
    <cfRule type="expression" dxfId="54" priority="101" stopIfTrue="1">
      <formula>$B$139&lt;10</formula>
    </cfRule>
  </conditionalFormatting>
  <conditionalFormatting sqref="D152:AB152">
    <cfRule type="expression" dxfId="53" priority="100" stopIfTrue="1">
      <formula>$B$139&lt;11</formula>
    </cfRule>
  </conditionalFormatting>
  <conditionalFormatting sqref="D153:AB153 AX153:BA153">
    <cfRule type="expression" dxfId="52" priority="98" stopIfTrue="1">
      <formula>$B$139&lt;12</formula>
    </cfRule>
  </conditionalFormatting>
  <conditionalFormatting sqref="E164:E168">
    <cfRule type="cellIs" dxfId="51" priority="22" stopIfTrue="1" operator="notEqual">
      <formula>0</formula>
    </cfRule>
  </conditionalFormatting>
  <conditionalFormatting sqref="E169">
    <cfRule type="expression" dxfId="50" priority="9">
      <formula>$B$160&lt;7</formula>
    </cfRule>
  </conditionalFormatting>
  <conditionalFormatting sqref="E169:E171">
    <cfRule type="cellIs" dxfId="49" priority="10" stopIfTrue="1" operator="notEqual">
      <formula>0</formula>
    </cfRule>
  </conditionalFormatting>
  <conditionalFormatting sqref="F135:G135">
    <cfRule type="cellIs" dxfId="48" priority="162" stopIfTrue="1" operator="equal">
      <formula>"USE EXBAR VR AT THE FRONT"</formula>
    </cfRule>
  </conditionalFormatting>
  <conditionalFormatting sqref="F136:G136">
    <cfRule type="cellIs" dxfId="47" priority="161" stopIfTrue="1" operator="equal">
      <formula>"USE EXBAR VR AT THE BACK"</formula>
    </cfRule>
  </conditionalFormatting>
  <conditionalFormatting sqref="J164:AH164 AJ164 AM164 AO164:BA164">
    <cfRule type="expression" dxfId="46" priority="143" stopIfTrue="1">
      <formula>$B$160&lt;2</formula>
    </cfRule>
  </conditionalFormatting>
  <conditionalFormatting sqref="J165:AH165 AJ165 AM165 AO165 AQ165:BA165">
    <cfRule type="expression" dxfId="45" priority="142" stopIfTrue="1">
      <formula>$B$160&lt;3</formula>
    </cfRule>
  </conditionalFormatting>
  <conditionalFormatting sqref="J166:AH166 AJ166 AM166 AO166 AQ166:BA166">
    <cfRule type="expression" dxfId="44" priority="141" stopIfTrue="1">
      <formula>$B$160&lt;4</formula>
    </cfRule>
  </conditionalFormatting>
  <conditionalFormatting sqref="J167:AH167 AJ167 AM167 AO167 AQ167:BA167">
    <cfRule type="expression" dxfId="43" priority="140" stopIfTrue="1">
      <formula>$B$160&lt;5</formula>
    </cfRule>
  </conditionalFormatting>
  <conditionalFormatting sqref="J168:AH168 AJ168 AM168 AO168 AQ168:BA168">
    <cfRule type="expression" dxfId="42" priority="139">
      <formula>$B$160&lt;6</formula>
    </cfRule>
  </conditionalFormatting>
  <conditionalFormatting sqref="K142:O142 R142 T142:V142 X142 AB142">
    <cfRule type="expression" dxfId="41" priority="157" stopIfTrue="1">
      <formula>$B$139&lt;1</formula>
    </cfRule>
  </conditionalFormatting>
  <conditionalFormatting sqref="U56 AB56:AE56 U59:U64 AB59:AE64 U93:U124 AB93:AE124">
    <cfRule type="cellIs" dxfId="40" priority="164" stopIfTrue="1" operator="between">
      <formula>"OVERLOAD"</formula>
      <formula>"OVERLOAD"</formula>
    </cfRule>
  </conditionalFormatting>
  <conditionalFormatting sqref="W142">
    <cfRule type="expression" dxfId="39" priority="51" stopIfTrue="1">
      <formula>$B$177&lt;1</formula>
    </cfRule>
  </conditionalFormatting>
  <conditionalFormatting sqref="Y142">
    <cfRule type="expression" dxfId="38" priority="50" stopIfTrue="1">
      <formula>$B$177&lt;1</formula>
    </cfRule>
  </conditionalFormatting>
  <conditionalFormatting sqref="Z142:AA142">
    <cfRule type="expression" dxfId="37" priority="97" stopIfTrue="1">
      <formula>$B$142&lt;1</formula>
    </cfRule>
  </conditionalFormatting>
  <conditionalFormatting sqref="AC143:AC153">
    <cfRule type="expression" dxfId="36" priority="93" stopIfTrue="1">
      <formula>$B$142&lt;1</formula>
    </cfRule>
  </conditionalFormatting>
  <conditionalFormatting sqref="AC142:AD142">
    <cfRule type="expression" dxfId="35" priority="96" stopIfTrue="1">
      <formula>$B$142&lt;1</formula>
    </cfRule>
  </conditionalFormatting>
  <conditionalFormatting sqref="AD142:AE153">
    <cfRule type="expression" dxfId="34" priority="89" stopIfTrue="1">
      <formula>$B$142&lt;1</formula>
    </cfRule>
  </conditionalFormatting>
  <conditionalFormatting sqref="AX143:BA143">
    <cfRule type="expression" dxfId="33" priority="155" stopIfTrue="1">
      <formula>$B$139&lt;2</formula>
    </cfRule>
  </conditionalFormatting>
  <conditionalFormatting sqref="AX144:BA144">
    <cfRule type="expression" dxfId="32" priority="154" stopIfTrue="1">
      <formula>$B$139&lt;3</formula>
    </cfRule>
  </conditionalFormatting>
  <conditionalFormatting sqref="AX145:BA145">
    <cfRule type="expression" dxfId="31" priority="153" stopIfTrue="1">
      <formula>$B$139&lt;4</formula>
    </cfRule>
  </conditionalFormatting>
  <conditionalFormatting sqref="AX146:BA146">
    <cfRule type="expression" dxfId="30" priority="152" stopIfTrue="1">
      <formula>$B$139&lt;5</formula>
    </cfRule>
  </conditionalFormatting>
  <conditionalFormatting sqref="AX147:BA147">
    <cfRule type="expression" dxfId="29" priority="151" stopIfTrue="1">
      <formula>$B$139&lt;6</formula>
    </cfRule>
  </conditionalFormatting>
  <conditionalFormatting sqref="AX148:BA148">
    <cfRule type="expression" dxfId="28" priority="150" stopIfTrue="1">
      <formula>$B$139&lt;7</formula>
    </cfRule>
  </conditionalFormatting>
  <conditionalFormatting sqref="AX149:BA149">
    <cfRule type="expression" dxfId="27" priority="149" stopIfTrue="1">
      <formula>$B$139&lt;8</formula>
    </cfRule>
  </conditionalFormatting>
  <conditionalFormatting sqref="AX150:BA150">
    <cfRule type="expression" dxfId="26" priority="148" stopIfTrue="1">
      <formula>$B$139&lt;9</formula>
    </cfRule>
  </conditionalFormatting>
  <conditionalFormatting sqref="AX151:BA151">
    <cfRule type="expression" dxfId="25" priority="124" stopIfTrue="1">
      <formula>$B$139&lt;10</formula>
    </cfRule>
  </conditionalFormatting>
  <conditionalFormatting sqref="AX152:BA152">
    <cfRule type="expression" dxfId="24" priority="111" stopIfTrue="1">
      <formula>$B$139&lt;11</formula>
    </cfRule>
  </conditionalFormatting>
  <conditionalFormatting sqref="AZ142:BA153">
    <cfRule type="cellIs" dxfId="23" priority="156" stopIfTrue="1" operator="lessThan">
      <formula>10</formula>
    </cfRule>
  </conditionalFormatting>
  <conditionalFormatting sqref="AZ163:BA168">
    <cfRule type="cellIs" dxfId="22" priority="145" stopIfTrue="1" operator="lessThan">
      <formula>10</formula>
    </cfRule>
  </conditionalFormatting>
  <conditionalFormatting sqref="AZ169:BA171">
    <cfRule type="cellIs" dxfId="21" priority="12" stopIfTrue="1" operator="lessThan">
      <formula>10</formula>
    </cfRule>
  </conditionalFormatting>
  <conditionalFormatting sqref="BK41">
    <cfRule type="cellIs" dxfId="20" priority="66" stopIfTrue="1" operator="equal">
      <formula>"negative force at the motor"</formula>
    </cfRule>
  </conditionalFormatting>
  <conditionalFormatting sqref="BK41:BK42">
    <cfRule type="cellIs" dxfId="19" priority="65" operator="equal">
      <formula>"""OK"""</formula>
    </cfRule>
  </conditionalFormatting>
  <conditionalFormatting sqref="BK42">
    <cfRule type="cellIs" dxfId="18" priority="73" stopIfTrue="1" operator="equal">
      <formula>"overload"</formula>
    </cfRule>
  </conditionalFormatting>
  <conditionalFormatting sqref="BK44">
    <cfRule type="cellIs" dxfId="17" priority="64" stopIfTrue="1" operator="equal">
      <formula>"negative force at the motor"</formula>
    </cfRule>
  </conditionalFormatting>
  <conditionalFormatting sqref="BK45 BK48 BK71 BK76 BK129">
    <cfRule type="cellIs" dxfId="16" priority="70" stopIfTrue="1" operator="equal">
      <formula>"overload"</formula>
    </cfRule>
  </conditionalFormatting>
  <conditionalFormatting sqref="BK47">
    <cfRule type="cellIs" dxfId="15" priority="62" stopIfTrue="1" operator="equal">
      <formula>"negative force at the motor"</formula>
    </cfRule>
  </conditionalFormatting>
  <conditionalFormatting sqref="BK71 BK129 BK44:BK45 BK47:BK48 BK76">
    <cfRule type="cellIs" dxfId="14" priority="58" operator="equal">
      <formula>"""OK"""</formula>
    </cfRule>
  </conditionalFormatting>
  <conditionalFormatting sqref="BK71">
    <cfRule type="expression" dxfId="13" priority="71">
      <formula>SUM($BY$75:$CR$75)=0</formula>
    </cfRule>
  </conditionalFormatting>
  <conditionalFormatting sqref="BK71:BL71 BK129:BL129">
    <cfRule type="expression" dxfId="12" priority="3">
      <formula>$B$136&lt;&gt;0</formula>
    </cfRule>
  </conditionalFormatting>
  <conditionalFormatting sqref="BL70">
    <cfRule type="expression" dxfId="11" priority="1">
      <formula>$B$136&lt;&gt;0</formula>
    </cfRule>
    <cfRule type="expression" dxfId="10" priority="2">
      <formula>SUM($BY$70:$CR$70)=0</formula>
    </cfRule>
  </conditionalFormatting>
  <conditionalFormatting sqref="BL71">
    <cfRule type="expression" dxfId="9" priority="4">
      <formula>SUM($BY$70:$CR$70)=0</formula>
    </cfRule>
  </conditionalFormatting>
  <conditionalFormatting sqref="BL128">
    <cfRule type="expression" dxfId="8" priority="6">
      <formula>$B$136&lt;&gt;0</formula>
    </cfRule>
  </conditionalFormatting>
  <conditionalFormatting sqref="BN128:CF128">
    <cfRule type="expression" dxfId="7" priority="24">
      <formula>$B$136=0</formula>
    </cfRule>
  </conditionalFormatting>
  <conditionalFormatting sqref="BY70:CR70">
    <cfRule type="cellIs" dxfId="6" priority="30" operator="equal">
      <formula>0</formula>
    </cfRule>
    <cfRule type="expression" dxfId="5" priority="31">
      <formula>$B$136=0</formula>
    </cfRule>
  </conditionalFormatting>
  <conditionalFormatting sqref="CG128:CO128">
    <cfRule type="expression" dxfId="4" priority="25">
      <formula>$B$136=0</formula>
    </cfRule>
  </conditionalFormatting>
  <conditionalFormatting sqref="CP128">
    <cfRule type="expression" dxfId="3" priority="23">
      <formula>$B$136=0</formula>
    </cfRule>
  </conditionalFormatting>
  <conditionalFormatting sqref="CQ128:DB128">
    <cfRule type="expression" dxfId="2" priority="29">
      <formula>$B$136=0</formula>
    </cfRule>
  </conditionalFormatting>
  <conditionalFormatting sqref="DJ202:EG202">
    <cfRule type="cellIs" dxfId="1" priority="85" stopIfTrue="1" operator="equal">
      <formula>0</formula>
    </cfRule>
  </conditionalFormatting>
  <conditionalFormatting sqref="DJ204:EG205">
    <cfRule type="cellIs" dxfId="0" priority="163" stopIfTrue="1" operator="equal">
      <formula>FALSE</formula>
    </cfRule>
  </conditionalFormatting>
  <dataValidations count="9">
    <dataValidation type="decimal" allowBlank="1" showInputMessage="1" showErrorMessage="1" sqref="B136" xr:uid="{00000000-0002-0000-0400-000000000000}">
      <formula1>-89.9</formula1>
      <formula2>89.9</formula2>
    </dataValidation>
    <dataValidation type="list" allowBlank="1" showDropDown="1" showInputMessage="1" showErrorMessage="1" sqref="D163" xr:uid="{00000000-0002-0000-0400-000001000000}">
      <formula1>"0"</formula1>
    </dataValidation>
    <dataValidation type="whole" allowBlank="1" showInputMessage="1" showErrorMessage="1" errorTitle="Coda Audio" error="YOU HAVE ENTERED A WRONG NUMBER OF CABINETS" promptTitle="Coda Audio" prompt="ENTER THE NUMBER OF CABINETS FROM 1 UP TO 9" sqref="B160" xr:uid="{00000000-0002-0000-0400-000002000000}">
      <formula1>1</formula1>
      <formula2>9</formula2>
    </dataValidation>
    <dataValidation type="whole" allowBlank="1" showInputMessage="1" showErrorMessage="1" errorTitle="Coda Audio" error="YOU HAVE ENTERED A WRONG NUMBER OF CABINETS" promptTitle="Coda Audio" prompt="ENTER THE NUMBER OF CABINETS FROM 1 UP TO 12" sqref="B139" xr:uid="{00000000-0002-0000-0400-000003000000}">
      <formula1>1</formula1>
      <formula2>12</formula2>
    </dataValidation>
    <dataValidation type="decimal" allowBlank="1" showInputMessage="1" showErrorMessage="1" sqref="G143:G153 G164:G171 F144:F153 F165:F171" xr:uid="{00000000-0002-0000-0400-000004000000}">
      <formula1>0</formula1>
      <formula2>8</formula2>
    </dataValidation>
    <dataValidation type="decimal" allowBlank="1" showInputMessage="1" showErrorMessage="1" sqref="F142:G142 F163:G163" xr:uid="{00000000-0002-0000-0400-000005000000}">
      <formula1>0</formula1>
      <formula2>4</formula2>
    </dataValidation>
    <dataValidation type="list" allowBlank="1" showDropDown="1" showInputMessage="1" showErrorMessage="1" sqref="D164" xr:uid="{00000000-0002-0000-0400-000006000000}">
      <formula1>"0,1,2,3,4,5,6,7,8,10"</formula1>
    </dataValidation>
    <dataValidation type="list" allowBlank="1" showDropDown="1" showInputMessage="1" showErrorMessage="1" sqref="D165:D171" xr:uid="{00000000-0002-0000-0400-000007000000}">
      <formula1>"0,1,2,3,4,5,6,7,8,10,12"</formula1>
    </dataValidation>
    <dataValidation type="list" allowBlank="1" showDropDown="1" showInputMessage="1" showErrorMessage="1" sqref="D142:D153" xr:uid="{00000000-0002-0000-0400-000008000000}">
      <formula1>"0,2,5"</formula1>
    </dataValidation>
  </dataValidations>
  <pageMargins left="0.75" right="0.75" top="1" bottom="1" header="0.5" footer="0.5"/>
  <pageSetup paperSize="9" orientation="portrait" horizontalDpi="4294967293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N-RAY with FR-NR</vt:lpstr>
      <vt:lpstr>SCN-F with FR-NR</vt:lpstr>
      <vt:lpstr>SCN-F+N-RAY</vt:lpstr>
      <vt:lpstr>N-RAY+SCN-F+N-RAY</vt:lpstr>
      <vt:lpstr>SCN-F+N-RAY with NR-LINK</vt:lpstr>
    </vt:vector>
  </TitlesOfParts>
  <Company>CODA AUDIO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</dc:creator>
  <cp:lastModifiedBy>Edgar Krueger</cp:lastModifiedBy>
  <dcterms:created xsi:type="dcterms:W3CDTF">2009-10-07T12:24:30Z</dcterms:created>
  <dcterms:modified xsi:type="dcterms:W3CDTF">2023-11-07T15:09:49Z</dcterms:modified>
</cp:coreProperties>
</file>